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2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2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 codeName="{3D1A710C-6663-3D7B-7F91-EC182F24A4BC}"/>
  <workbookPr showInkAnnotation="0"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zniszczol\Documents\KATALOGY+CENY\Katalog BLUM\LegraBox\excel\"/>
    </mc:Choice>
  </mc:AlternateContent>
  <xr:revisionPtr revIDLastSave="0" documentId="13_ncr:1_{E5FB2390-5B57-4B55-88B8-4DA4E8D8CFFA}" xr6:coauthVersionLast="36" xr6:coauthVersionMax="36" xr10:uidLastSave="{00000000-0000-0000-0000-000000000000}"/>
  <bookViews>
    <workbookView showSheetTabs="0" xWindow="0" yWindow="0" windowWidth="15600" windowHeight="10350" tabRatio="810" xr2:uid="{00000000-000D-0000-FFFF-FFFF00000000}"/>
  </bookViews>
  <sheets>
    <sheet name="Form" sheetId="11" r:id="rId1"/>
    <sheet name="Menu" sheetId="10" r:id="rId2"/>
    <sheet name="7N400P" sheetId="83" r:id="rId3"/>
    <sheet name="7M400P" sheetId="82" r:id="rId4"/>
    <sheet name="7M40VP" sheetId="81" r:id="rId5"/>
    <sheet name="7K400P" sheetId="84" r:id="rId6"/>
    <sheet name="7C410P" sheetId="85" r:id="rId7"/>
    <sheet name="7C410F" sheetId="104" r:id="rId8"/>
    <sheet name="7C41VP" sheetId="80" r:id="rId9"/>
    <sheet name="7C41VF" sheetId="105" r:id="rId10"/>
    <sheet name="7C41NP" sheetId="87" r:id="rId11"/>
    <sheet name="7C41NF" sheetId="106" r:id="rId12"/>
    <sheet name="7C41RP" sheetId="88" r:id="rId13"/>
    <sheet name="7C41RF" sheetId="107" r:id="rId14"/>
    <sheet name="7F410P" sheetId="86" r:id="rId15"/>
    <sheet name="7M442P" sheetId="93" r:id="rId16"/>
    <sheet name="7C442P" sheetId="89" r:id="rId17"/>
    <sheet name="7C442F" sheetId="108" r:id="rId18"/>
    <sheet name="7CM42P" sheetId="110" r:id="rId19"/>
    <sheet name="7CM42F" sheetId="111" r:id="rId20"/>
    <sheet name="7CM52P" sheetId="90" r:id="rId21"/>
    <sheet name="7CM52F" sheetId="112" r:id="rId22"/>
    <sheet name="7STCGP" sheetId="95" r:id="rId23"/>
    <sheet name="7STCGF" sheetId="109" r:id="rId24"/>
    <sheet name="7STCRP" sheetId="92" r:id="rId25"/>
    <sheet name="7STCRF" sheetId="113" r:id="rId26"/>
    <sheet name="7STMGP" sheetId="96" r:id="rId27"/>
    <sheet name="7STMGF" sheetId="114" r:id="rId28"/>
    <sheet name="7STMRP" sheetId="97" r:id="rId29"/>
    <sheet name="7STMRF" sheetId="115" r:id="rId30"/>
    <sheet name="Acs" sheetId="16" r:id="rId31"/>
    <sheet name="SD" sheetId="75" r:id="rId32"/>
    <sheet name="AL" sheetId="3" r:id="rId33"/>
    <sheet name="ALds" sheetId="99" r:id="rId34"/>
    <sheet name="ALpos" sheetId="101" r:id="rId35"/>
    <sheet name="ALbot" sheetId="117" r:id="rId36"/>
    <sheet name="ALdw" sheetId="100" r:id="rId37"/>
    <sheet name="ALpow" sheetId="102" r:id="rId38"/>
    <sheet name="ALrel" sheetId="116" r:id="rId39"/>
    <sheet name="ALkh" sheetId="103" r:id="rId40"/>
    <sheet name="Sum" sheetId="15" r:id="rId41"/>
    <sheet name="Zones" sheetId="1" state="hidden" r:id="rId42"/>
    <sheet name="Ord" sheetId="48" r:id="rId43"/>
    <sheet name="List" sheetId="12" r:id="rId44"/>
    <sheet name="Cen" sheetId="9" state="hidden" r:id="rId45"/>
    <sheet name="Price" sheetId="8" r:id="rId46"/>
  </sheets>
  <definedNames>
    <definedName name="_xlnm._FilterDatabase" localSheetId="42" hidden="1">Ord!$F$10:$F$290</definedName>
    <definedName name="_xlnm.Print_Titles" localSheetId="42">Ord!$1:$2</definedName>
    <definedName name="_xlnm.Print_Area" localSheetId="30">Acs!$A$1:$G$45</definedName>
    <definedName name="_xlnm.Print_Area" localSheetId="32">AL!$B$1:$N$32</definedName>
    <definedName name="_xlnm.Print_Area" localSheetId="35">ALbot!$B$2:$L$30</definedName>
    <definedName name="_xlnm.Print_Area" localSheetId="33">ALds!$B$2:$M$32</definedName>
    <definedName name="_xlnm.Print_Area" localSheetId="36">ALdw!$B$2:$M$30</definedName>
    <definedName name="_xlnm.Print_Area" localSheetId="39">ALkh!$B$2:$L$30</definedName>
    <definedName name="_xlnm.Print_Area" localSheetId="34">ALpos!$B$2:$L$30</definedName>
    <definedName name="_xlnm.Print_Area" localSheetId="37">ALpow!$B$2:$L$30</definedName>
    <definedName name="_xlnm.Print_Area" localSheetId="38">ALrel!$B$2:$L$30</definedName>
    <definedName name="_xlnm.Print_Area" localSheetId="1">Menu!$B$1:$R$98</definedName>
    <definedName name="_xlnm.Print_Area" localSheetId="42">Ord!$B$1:$K$301</definedName>
    <definedName name="_xlnm.Print_Area" localSheetId="31">SD!$A$1:$G$40</definedName>
    <definedName name="_xlnm.Print_Area" localSheetId="40">Sum!$B$2:$L$63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15" l="1"/>
  <c r="W3" i="89" l="1"/>
  <c r="W3" i="108"/>
  <c r="W3" i="93"/>
  <c r="W3" i="111"/>
  <c r="W3" i="110"/>
  <c r="W3" i="104"/>
  <c r="W3" i="80"/>
  <c r="W3" i="105"/>
  <c r="W3" i="87"/>
  <c r="W3" i="106"/>
  <c r="W3" i="88"/>
  <c r="W3" i="107"/>
  <c r="W3" i="86"/>
  <c r="W3" i="85"/>
  <c r="W3" i="82"/>
  <c r="W3" i="81"/>
  <c r="W3" i="84"/>
  <c r="W3" i="83"/>
  <c r="S25" i="86"/>
  <c r="S24" i="86"/>
  <c r="S23" i="86"/>
  <c r="S22" i="86"/>
  <c r="S21" i="86"/>
  <c r="S20" i="86"/>
  <c r="S19" i="86"/>
  <c r="S18" i="86"/>
  <c r="S17" i="86"/>
  <c r="S16" i="86"/>
  <c r="S15" i="86"/>
  <c r="S14" i="86"/>
  <c r="S13" i="86"/>
  <c r="S25" i="105"/>
  <c r="S24" i="105"/>
  <c r="S23" i="105"/>
  <c r="S22" i="105"/>
  <c r="S21" i="105"/>
  <c r="S20" i="105"/>
  <c r="S19" i="105"/>
  <c r="S18" i="105"/>
  <c r="S17" i="105"/>
  <c r="S16" i="105"/>
  <c r="S15" i="105"/>
  <c r="S14" i="105"/>
  <c r="S13" i="105"/>
  <c r="S25" i="87"/>
  <c r="S24" i="87"/>
  <c r="S23" i="87"/>
  <c r="S22" i="87"/>
  <c r="S21" i="87"/>
  <c r="S20" i="87"/>
  <c r="S19" i="87"/>
  <c r="S18" i="87"/>
  <c r="S17" i="87"/>
  <c r="S16" i="87"/>
  <c r="S15" i="87"/>
  <c r="S14" i="87"/>
  <c r="S13" i="87"/>
  <c r="S25" i="106"/>
  <c r="S24" i="106"/>
  <c r="S23" i="106"/>
  <c r="S22" i="106"/>
  <c r="S21" i="106"/>
  <c r="S20" i="106"/>
  <c r="S19" i="106"/>
  <c r="S18" i="106"/>
  <c r="S17" i="106"/>
  <c r="S16" i="106"/>
  <c r="S15" i="106"/>
  <c r="S14" i="106"/>
  <c r="S13" i="106"/>
  <c r="S25" i="88"/>
  <c r="S24" i="88"/>
  <c r="S23" i="88"/>
  <c r="S22" i="88"/>
  <c r="S21" i="88"/>
  <c r="S20" i="88"/>
  <c r="S19" i="88"/>
  <c r="S18" i="88"/>
  <c r="S17" i="88"/>
  <c r="S16" i="88"/>
  <c r="S15" i="88"/>
  <c r="S14" i="88"/>
  <c r="S13" i="88"/>
  <c r="S25" i="107"/>
  <c r="S24" i="107"/>
  <c r="S23" i="107"/>
  <c r="S22" i="107"/>
  <c r="S21" i="107"/>
  <c r="S20" i="107"/>
  <c r="S19" i="107"/>
  <c r="S18" i="107"/>
  <c r="S17" i="107"/>
  <c r="S16" i="107"/>
  <c r="S15" i="107"/>
  <c r="S14" i="107"/>
  <c r="S13" i="107"/>
  <c r="S25" i="80"/>
  <c r="S24" i="80"/>
  <c r="S23" i="80"/>
  <c r="S22" i="80"/>
  <c r="S21" i="80"/>
  <c r="S20" i="80"/>
  <c r="S19" i="80"/>
  <c r="S18" i="80"/>
  <c r="S17" i="80"/>
  <c r="S16" i="80"/>
  <c r="S15" i="80"/>
  <c r="S14" i="80"/>
  <c r="S13" i="80"/>
  <c r="S25" i="104"/>
  <c r="S24" i="104"/>
  <c r="S23" i="104"/>
  <c r="S22" i="104"/>
  <c r="S21" i="104"/>
  <c r="S20" i="104"/>
  <c r="S19" i="104"/>
  <c r="S18" i="104"/>
  <c r="S17" i="104"/>
  <c r="S16" i="104"/>
  <c r="S15" i="104"/>
  <c r="S14" i="104"/>
  <c r="S13" i="104"/>
  <c r="S25" i="85"/>
  <c r="S24" i="85"/>
  <c r="S23" i="85"/>
  <c r="S22" i="85"/>
  <c r="S21" i="85"/>
  <c r="S20" i="85"/>
  <c r="S19" i="85"/>
  <c r="S18" i="85"/>
  <c r="S17" i="85"/>
  <c r="S16" i="85"/>
  <c r="S15" i="85"/>
  <c r="S14" i="85"/>
  <c r="S13" i="85"/>
  <c r="S23" i="84"/>
  <c r="S22" i="84"/>
  <c r="S21" i="84"/>
  <c r="S20" i="84"/>
  <c r="S19" i="84"/>
  <c r="S18" i="84"/>
  <c r="S17" i="84"/>
  <c r="S16" i="84"/>
  <c r="S15" i="84"/>
  <c r="S14" i="84"/>
  <c r="S13" i="84"/>
  <c r="S25" i="81"/>
  <c r="S24" i="81"/>
  <c r="S23" i="81"/>
  <c r="S22" i="81"/>
  <c r="S21" i="81"/>
  <c r="S20" i="81"/>
  <c r="S19" i="81"/>
  <c r="S18" i="81"/>
  <c r="S17" i="81"/>
  <c r="S16" i="81"/>
  <c r="S15" i="81"/>
  <c r="S14" i="81"/>
  <c r="S13" i="81"/>
  <c r="BB255" i="48" l="1"/>
  <c r="BB256" i="48"/>
  <c r="W3" i="92"/>
  <c r="S93" i="92" s="1"/>
  <c r="AM256" i="48" s="1"/>
  <c r="W3" i="113"/>
  <c r="S93" i="113" s="1"/>
  <c r="W3" i="96"/>
  <c r="S91" i="96" s="1"/>
  <c r="AO253" i="48" s="1"/>
  <c r="W3" i="114"/>
  <c r="S93" i="114" s="1"/>
  <c r="AP256" i="48" s="1"/>
  <c r="W3" i="97"/>
  <c r="S93" i="97" s="1"/>
  <c r="AQ256" i="48" s="1"/>
  <c r="W3" i="115"/>
  <c r="S91" i="115" s="1"/>
  <c r="W3" i="109"/>
  <c r="U53" i="92"/>
  <c r="U52" i="92"/>
  <c r="U51" i="92"/>
  <c r="V50" i="92"/>
  <c r="S21" i="92" s="1"/>
  <c r="V49" i="92"/>
  <c r="S20" i="92" s="1"/>
  <c r="V48" i="92"/>
  <c r="S19" i="92" s="1"/>
  <c r="V47" i="92"/>
  <c r="S18" i="92" s="1"/>
  <c r="V46" i="92"/>
  <c r="S17" i="92" s="1"/>
  <c r="V45" i="92"/>
  <c r="S16" i="92" s="1"/>
  <c r="U44" i="92"/>
  <c r="U43" i="92"/>
  <c r="U42" i="92"/>
  <c r="U41" i="92"/>
  <c r="U53" i="113"/>
  <c r="U52" i="113"/>
  <c r="U51" i="113"/>
  <c r="V50" i="113"/>
  <c r="S21" i="113" s="1"/>
  <c r="V49" i="113"/>
  <c r="S20" i="113" s="1"/>
  <c r="V48" i="113"/>
  <c r="S19" i="113" s="1"/>
  <c r="V47" i="113"/>
  <c r="S18" i="113" s="1"/>
  <c r="V46" i="113"/>
  <c r="S17" i="113" s="1"/>
  <c r="V45" i="113"/>
  <c r="S16" i="113" s="1"/>
  <c r="U44" i="113"/>
  <c r="U43" i="113"/>
  <c r="U42" i="113"/>
  <c r="U41" i="113"/>
  <c r="U53" i="96"/>
  <c r="U52" i="96"/>
  <c r="U51" i="96"/>
  <c r="V50" i="96"/>
  <c r="S21" i="96" s="1"/>
  <c r="V49" i="96"/>
  <c r="S20" i="96" s="1"/>
  <c r="V48" i="96"/>
  <c r="S19" i="96" s="1"/>
  <c r="V47" i="96"/>
  <c r="S18" i="96" s="1"/>
  <c r="V46" i="96"/>
  <c r="S17" i="96" s="1"/>
  <c r="V45" i="96"/>
  <c r="S16" i="96" s="1"/>
  <c r="U44" i="96"/>
  <c r="U43" i="96"/>
  <c r="U42" i="96"/>
  <c r="U41" i="96"/>
  <c r="U53" i="114"/>
  <c r="U52" i="114"/>
  <c r="U51" i="114"/>
  <c r="V50" i="114"/>
  <c r="S21" i="114" s="1"/>
  <c r="V49" i="114"/>
  <c r="S20" i="114" s="1"/>
  <c r="V48" i="114"/>
  <c r="S19" i="114" s="1"/>
  <c r="V47" i="114"/>
  <c r="S18" i="114" s="1"/>
  <c r="V46" i="114"/>
  <c r="S17" i="114" s="1"/>
  <c r="V45" i="114"/>
  <c r="S16" i="114" s="1"/>
  <c r="U44" i="114"/>
  <c r="U43" i="114"/>
  <c r="U42" i="114"/>
  <c r="U41" i="114"/>
  <c r="U53" i="97"/>
  <c r="U52" i="97"/>
  <c r="U51" i="97"/>
  <c r="V50" i="97"/>
  <c r="S21" i="97" s="1"/>
  <c r="V49" i="97"/>
  <c r="S20" i="97" s="1"/>
  <c r="V48" i="97"/>
  <c r="S19" i="97" s="1"/>
  <c r="V47" i="97"/>
  <c r="S18" i="97" s="1"/>
  <c r="V46" i="97"/>
  <c r="S17" i="97" s="1"/>
  <c r="V45" i="97"/>
  <c r="S16" i="97" s="1"/>
  <c r="U44" i="97"/>
  <c r="U43" i="97"/>
  <c r="U42" i="97"/>
  <c r="U41" i="97"/>
  <c r="U53" i="115"/>
  <c r="U52" i="115"/>
  <c r="U51" i="115"/>
  <c r="V50" i="115"/>
  <c r="S21" i="115" s="1"/>
  <c r="V49" i="115"/>
  <c r="S20" i="115" s="1"/>
  <c r="V48" i="115"/>
  <c r="S19" i="115" s="1"/>
  <c r="V47" i="115"/>
  <c r="S18" i="115" s="1"/>
  <c r="V46" i="115"/>
  <c r="S17" i="115" s="1"/>
  <c r="V45" i="115"/>
  <c r="S16" i="115" s="1"/>
  <c r="U44" i="115"/>
  <c r="U43" i="115"/>
  <c r="U42" i="115"/>
  <c r="U41" i="115"/>
  <c r="U53" i="109"/>
  <c r="U52" i="109"/>
  <c r="U51" i="109"/>
  <c r="V50" i="109"/>
  <c r="V49" i="109"/>
  <c r="S20" i="109" s="1"/>
  <c r="V48" i="109"/>
  <c r="V47" i="109"/>
  <c r="S18" i="109" s="1"/>
  <c r="V46" i="109"/>
  <c r="V45" i="109"/>
  <c r="S16" i="109" s="1"/>
  <c r="U44" i="109"/>
  <c r="U43" i="109"/>
  <c r="U42" i="109"/>
  <c r="U41" i="109"/>
  <c r="V93" i="92"/>
  <c r="V92" i="92"/>
  <c r="V91" i="92"/>
  <c r="V90" i="92"/>
  <c r="V93" i="113"/>
  <c r="V92" i="113"/>
  <c r="V91" i="113"/>
  <c r="V90" i="113"/>
  <c r="V93" i="96"/>
  <c r="V92" i="96"/>
  <c r="V91" i="96"/>
  <c r="V90" i="96"/>
  <c r="V93" i="114"/>
  <c r="V92" i="114"/>
  <c r="V91" i="114"/>
  <c r="V90" i="114"/>
  <c r="V93" i="97"/>
  <c r="V92" i="97"/>
  <c r="V91" i="97"/>
  <c r="V90" i="97"/>
  <c r="V93" i="115"/>
  <c r="V92" i="115"/>
  <c r="V91" i="115"/>
  <c r="V90" i="115"/>
  <c r="V93" i="109"/>
  <c r="V92" i="109"/>
  <c r="V91" i="109"/>
  <c r="V90" i="109"/>
  <c r="S96" i="92"/>
  <c r="AM267" i="48" s="1"/>
  <c r="S96" i="113"/>
  <c r="AN267" i="48" s="1"/>
  <c r="S96" i="96"/>
  <c r="AO267" i="48" s="1"/>
  <c r="S96" i="114"/>
  <c r="AP267" i="48" s="1"/>
  <c r="S96" i="97"/>
  <c r="S96" i="115"/>
  <c r="S96" i="109"/>
  <c r="AL267" i="48" s="1"/>
  <c r="BC249" i="48"/>
  <c r="F249" i="48" s="1"/>
  <c r="BB215" i="48"/>
  <c r="F215" i="48" s="1"/>
  <c r="L215" i="48" s="1"/>
  <c r="BB216" i="48"/>
  <c r="F216" i="48" s="1"/>
  <c r="E639" i="9"/>
  <c r="E640" i="9"/>
  <c r="S90" i="109" l="1"/>
  <c r="S92" i="109"/>
  <c r="AL255" i="48" s="1"/>
  <c r="S93" i="109"/>
  <c r="AL256" i="48" s="1"/>
  <c r="S91" i="114"/>
  <c r="AP253" i="48" s="1"/>
  <c r="S91" i="109"/>
  <c r="S90" i="96"/>
  <c r="S90" i="92"/>
  <c r="S92" i="92"/>
  <c r="AM255" i="48" s="1"/>
  <c r="S90" i="114"/>
  <c r="S92" i="96"/>
  <c r="AO255" i="48" s="1"/>
  <c r="S93" i="96"/>
  <c r="AO256" i="48" s="1"/>
  <c r="S92" i="114"/>
  <c r="S92" i="113"/>
  <c r="AR267" i="48"/>
  <c r="AQ267" i="48"/>
  <c r="S90" i="97"/>
  <c r="S92" i="97"/>
  <c r="AQ255" i="48" s="1"/>
  <c r="S90" i="113"/>
  <c r="AR253" i="48"/>
  <c r="S90" i="115"/>
  <c r="S92" i="115"/>
  <c r="AN256" i="48"/>
  <c r="S93" i="115"/>
  <c r="S91" i="97"/>
  <c r="S91" i="113"/>
  <c r="S91" i="92"/>
  <c r="L249" i="48"/>
  <c r="L216" i="48"/>
  <c r="AN255" i="48" l="1"/>
  <c r="S94" i="109"/>
  <c r="AL253" i="48"/>
  <c r="S94" i="96"/>
  <c r="AO265" i="48" s="1"/>
  <c r="AP255" i="48"/>
  <c r="S94" i="114"/>
  <c r="AP265" i="48" s="1"/>
  <c r="AR255" i="48"/>
  <c r="AR256" i="48"/>
  <c r="AM253" i="48"/>
  <c r="S94" i="92"/>
  <c r="AN253" i="48"/>
  <c r="AQ253" i="48"/>
  <c r="S94" i="113"/>
  <c r="S94" i="115"/>
  <c r="S94" i="97"/>
  <c r="AQ265" i="48" s="1"/>
  <c r="AL265" i="48" l="1"/>
  <c r="AM265" i="48"/>
  <c r="AN265" i="48"/>
  <c r="AR265" i="48"/>
  <c r="O16" i="11" l="1"/>
  <c r="P14" i="11" s="1"/>
  <c r="S96" i="95"/>
  <c r="AK267" i="48" s="1"/>
  <c r="V93" i="95"/>
  <c r="V92" i="95"/>
  <c r="V91" i="95"/>
  <c r="V90" i="95"/>
  <c r="W3" i="95"/>
  <c r="S90" i="95" s="1"/>
  <c r="E708" i="9"/>
  <c r="L708" i="9"/>
  <c r="A708" i="9" s="1"/>
  <c r="M708" i="9"/>
  <c r="B708" i="9" s="1"/>
  <c r="N708" i="9"/>
  <c r="C708" i="9" s="1"/>
  <c r="O708" i="9"/>
  <c r="D708" i="9" s="1"/>
  <c r="E255" i="48" s="1"/>
  <c r="Q708" i="9"/>
  <c r="T708" i="9"/>
  <c r="I708" i="9" s="1"/>
  <c r="J255" i="48" s="1"/>
  <c r="U708" i="9"/>
  <c r="J708" i="9" s="1"/>
  <c r="K255" i="48" s="1"/>
  <c r="E709" i="9"/>
  <c r="L709" i="9"/>
  <c r="A709" i="9" s="1"/>
  <c r="M709" i="9"/>
  <c r="B709" i="9" s="1"/>
  <c r="N709" i="9"/>
  <c r="C709" i="9" s="1"/>
  <c r="O709" i="9"/>
  <c r="D709" i="9" s="1"/>
  <c r="E256" i="48" s="1"/>
  <c r="Q709" i="9"/>
  <c r="T709" i="9"/>
  <c r="I709" i="9" s="1"/>
  <c r="J256" i="48" s="1"/>
  <c r="U709" i="9"/>
  <c r="J709" i="9" s="1"/>
  <c r="K256" i="48" s="1"/>
  <c r="S37" i="111"/>
  <c r="S36" i="111"/>
  <c r="S35" i="111"/>
  <c r="S34" i="111"/>
  <c r="S33" i="111"/>
  <c r="S32" i="111"/>
  <c r="S31" i="111"/>
  <c r="S30" i="111"/>
  <c r="S29" i="111"/>
  <c r="S25" i="111"/>
  <c r="S24" i="111"/>
  <c r="S23" i="111"/>
  <c r="S22" i="111"/>
  <c r="S21" i="111"/>
  <c r="S20" i="111"/>
  <c r="S19" i="111"/>
  <c r="S18" i="111"/>
  <c r="S17" i="111"/>
  <c r="S37" i="110"/>
  <c r="S36" i="110"/>
  <c r="S35" i="110"/>
  <c r="S34" i="110"/>
  <c r="S33" i="110"/>
  <c r="S32" i="110"/>
  <c r="S31" i="110"/>
  <c r="S30" i="110"/>
  <c r="S29" i="110"/>
  <c r="S25" i="110"/>
  <c r="S24" i="110"/>
  <c r="S23" i="110"/>
  <c r="S22" i="110"/>
  <c r="S21" i="110"/>
  <c r="S20" i="110"/>
  <c r="S19" i="110"/>
  <c r="S18" i="110"/>
  <c r="S17" i="110"/>
  <c r="S61" i="111"/>
  <c r="AF96" i="48" s="1"/>
  <c r="S61" i="110"/>
  <c r="AE96" i="48" s="1"/>
  <c r="S60" i="111"/>
  <c r="AF95" i="48" s="1"/>
  <c r="S60" i="110"/>
  <c r="H95" i="48"/>
  <c r="H96" i="48"/>
  <c r="E292" i="9"/>
  <c r="L292" i="9"/>
  <c r="A292" i="9" s="1"/>
  <c r="P60" i="111" s="1"/>
  <c r="M292" i="9"/>
  <c r="B292" i="9" s="1"/>
  <c r="Q60" i="111" s="1"/>
  <c r="N292" i="9"/>
  <c r="C292" i="9" s="1"/>
  <c r="D95" i="48" s="1"/>
  <c r="O292" i="9"/>
  <c r="D292" i="9" s="1"/>
  <c r="E95" i="48" s="1"/>
  <c r="Q292" i="9"/>
  <c r="T292" i="9"/>
  <c r="I292" i="9" s="1"/>
  <c r="J95" i="48" s="1"/>
  <c r="U292" i="9"/>
  <c r="J292" i="9" s="1"/>
  <c r="E293" i="9"/>
  <c r="L293" i="9"/>
  <c r="A293" i="9" s="1"/>
  <c r="P61" i="111" s="1"/>
  <c r="M293" i="9"/>
  <c r="B293" i="9" s="1"/>
  <c r="Q61" i="111" s="1"/>
  <c r="N293" i="9"/>
  <c r="C293" i="9" s="1"/>
  <c r="R61" i="111" s="1"/>
  <c r="O293" i="9"/>
  <c r="D293" i="9" s="1"/>
  <c r="E96" i="48" s="1"/>
  <c r="Q293" i="9"/>
  <c r="T293" i="9"/>
  <c r="I293" i="9" s="1"/>
  <c r="J96" i="48" s="1"/>
  <c r="U293" i="9"/>
  <c r="J293" i="9" s="1"/>
  <c r="C3" i="9"/>
  <c r="B3" i="9" s="1"/>
  <c r="L352" i="9"/>
  <c r="M352" i="9"/>
  <c r="N352" i="9"/>
  <c r="O352" i="9"/>
  <c r="Q352" i="9"/>
  <c r="T352" i="9"/>
  <c r="U352" i="9"/>
  <c r="L349" i="9"/>
  <c r="M349" i="9"/>
  <c r="N349" i="9"/>
  <c r="O349" i="9"/>
  <c r="Q349" i="9"/>
  <c r="T349" i="9"/>
  <c r="U349" i="9"/>
  <c r="L346" i="9"/>
  <c r="M346" i="9"/>
  <c r="N346" i="9"/>
  <c r="O346" i="9"/>
  <c r="Q346" i="9"/>
  <c r="T346" i="9"/>
  <c r="U346" i="9"/>
  <c r="S25" i="82"/>
  <c r="S24" i="82"/>
  <c r="S23" i="82"/>
  <c r="S22" i="82"/>
  <c r="S21" i="82"/>
  <c r="S20" i="82"/>
  <c r="S19" i="82"/>
  <c r="S18" i="82"/>
  <c r="S17" i="82"/>
  <c r="S16" i="82"/>
  <c r="S15" i="82"/>
  <c r="S14" i="82"/>
  <c r="S13" i="82"/>
  <c r="P92" i="92" l="1"/>
  <c r="P92" i="96"/>
  <c r="P92" i="97"/>
  <c r="P92" i="109"/>
  <c r="P92" i="113"/>
  <c r="P92" i="114"/>
  <c r="P92" i="115"/>
  <c r="B27" i="16"/>
  <c r="R93" i="113"/>
  <c r="R93" i="114"/>
  <c r="R93" i="115"/>
  <c r="R93" i="92"/>
  <c r="R93" i="96"/>
  <c r="R93" i="97"/>
  <c r="R93" i="109"/>
  <c r="D28" i="16"/>
  <c r="R92" i="113"/>
  <c r="R92" i="114"/>
  <c r="R92" i="115"/>
  <c r="R92" i="92"/>
  <c r="R92" i="96"/>
  <c r="R92" i="97"/>
  <c r="R92" i="109"/>
  <c r="D27" i="16"/>
  <c r="Q93" i="109"/>
  <c r="Q93" i="113"/>
  <c r="Q93" i="114"/>
  <c r="Q93" i="115"/>
  <c r="Q93" i="92"/>
  <c r="Q93" i="96"/>
  <c r="Q93" i="97"/>
  <c r="C28" i="16"/>
  <c r="Q92" i="109"/>
  <c r="Q92" i="113"/>
  <c r="Q92" i="114"/>
  <c r="Q92" i="115"/>
  <c r="Q92" i="92"/>
  <c r="Q92" i="96"/>
  <c r="Q92" i="97"/>
  <c r="C27" i="16"/>
  <c r="P93" i="92"/>
  <c r="P93" i="97"/>
  <c r="P93" i="115"/>
  <c r="P93" i="114"/>
  <c r="B28" i="16"/>
  <c r="P93" i="113"/>
  <c r="P93" i="96"/>
  <c r="P93" i="109"/>
  <c r="S64" i="110"/>
  <c r="AE95" i="48"/>
  <c r="D256" i="48"/>
  <c r="D255" i="48"/>
  <c r="R93" i="95"/>
  <c r="C256" i="48"/>
  <c r="C255" i="48"/>
  <c r="Q93" i="95"/>
  <c r="B256" i="48"/>
  <c r="B255" i="48"/>
  <c r="P93" i="95"/>
  <c r="P92" i="95"/>
  <c r="Q92" i="95"/>
  <c r="R92" i="95"/>
  <c r="S91" i="95"/>
  <c r="AK253" i="48" s="1"/>
  <c r="S92" i="95"/>
  <c r="AK255" i="48" s="1"/>
  <c r="F255" i="48" s="1"/>
  <c r="L255" i="48" s="1"/>
  <c r="S93" i="95"/>
  <c r="F95" i="48"/>
  <c r="R61" i="110"/>
  <c r="D96" i="48"/>
  <c r="C95" i="48"/>
  <c r="Q61" i="110"/>
  <c r="R60" i="110"/>
  <c r="R60" i="111"/>
  <c r="C96" i="48"/>
  <c r="B95" i="48"/>
  <c r="P61" i="110"/>
  <c r="Q60" i="110"/>
  <c r="B96" i="48"/>
  <c r="P60" i="110"/>
  <c r="F96" i="48"/>
  <c r="I37" i="92"/>
  <c r="I37" i="113"/>
  <c r="I37" i="96"/>
  <c r="I37" i="114"/>
  <c r="I37" i="97"/>
  <c r="I37" i="115"/>
  <c r="I37" i="109"/>
  <c r="I36" i="92"/>
  <c r="I36" i="113"/>
  <c r="I36" i="96"/>
  <c r="I36" i="114"/>
  <c r="I36" i="97"/>
  <c r="I36" i="115"/>
  <c r="I36" i="109"/>
  <c r="I29" i="92"/>
  <c r="I29" i="113"/>
  <c r="I29" i="96"/>
  <c r="I29" i="114"/>
  <c r="I29" i="97"/>
  <c r="I29" i="115"/>
  <c r="I29" i="109"/>
  <c r="I28" i="92"/>
  <c r="I28" i="113"/>
  <c r="I28" i="96"/>
  <c r="I28" i="114"/>
  <c r="I28" i="97"/>
  <c r="I28" i="115"/>
  <c r="I28" i="109"/>
  <c r="S59" i="109"/>
  <c r="S58" i="109"/>
  <c r="S57" i="109"/>
  <c r="AL92" i="48" s="1"/>
  <c r="S59" i="92"/>
  <c r="S59" i="113"/>
  <c r="S59" i="96"/>
  <c r="S59" i="114"/>
  <c r="S59" i="97"/>
  <c r="S59" i="115"/>
  <c r="S59" i="95"/>
  <c r="S58" i="92"/>
  <c r="S58" i="113"/>
  <c r="S58" i="96"/>
  <c r="S58" i="114"/>
  <c r="S58" i="97"/>
  <c r="S58" i="115"/>
  <c r="S58" i="95"/>
  <c r="AK93" i="48" s="1"/>
  <c r="S57" i="92"/>
  <c r="S57" i="113"/>
  <c r="AN92" i="48" s="1"/>
  <c r="S57" i="96"/>
  <c r="AO92" i="48" s="1"/>
  <c r="S57" i="114"/>
  <c r="AP92" i="48" s="1"/>
  <c r="S57" i="97"/>
  <c r="AQ92" i="48" s="1"/>
  <c r="S57" i="115"/>
  <c r="AR92" i="48" s="1"/>
  <c r="S57" i="95"/>
  <c r="AK256" i="48" l="1"/>
  <c r="F256" i="48" s="1"/>
  <c r="L256" i="48" s="1"/>
  <c r="S94" i="95"/>
  <c r="AK265" i="48" s="1"/>
  <c r="S61" i="92"/>
  <c r="AM92" i="48"/>
  <c r="AK92" i="48"/>
  <c r="S61" i="115"/>
  <c r="S61" i="97"/>
  <c r="S61" i="114"/>
  <c r="S61" i="96"/>
  <c r="S61" i="113"/>
  <c r="S61" i="109"/>
  <c r="V50" i="95"/>
  <c r="S21" i="95" s="1"/>
  <c r="V49" i="95"/>
  <c r="S20" i="95" s="1"/>
  <c r="V48" i="95"/>
  <c r="S19" i="95" s="1"/>
  <c r="V47" i="95"/>
  <c r="S18" i="95" s="1"/>
  <c r="V46" i="95"/>
  <c r="S17" i="95" s="1"/>
  <c r="V45" i="95"/>
  <c r="S16" i="95" s="1"/>
  <c r="I37" i="95"/>
  <c r="I36" i="95"/>
  <c r="I29" i="95"/>
  <c r="I28" i="95"/>
  <c r="H23" i="15" l="1"/>
  <c r="H22" i="15"/>
  <c r="D22" i="15"/>
  <c r="D23" i="15"/>
  <c r="H17" i="15"/>
  <c r="H16" i="15"/>
  <c r="D16" i="15"/>
  <c r="D17" i="15"/>
  <c r="Q1" i="84" l="1"/>
  <c r="Q1" i="83"/>
  <c r="S20" i="83" l="1"/>
  <c r="N70" i="48" s="1"/>
  <c r="S16" i="83"/>
  <c r="N66" i="48" s="1"/>
  <c r="S18" i="83"/>
  <c r="N68" i="48" s="1"/>
  <c r="S15" i="83"/>
  <c r="N65" i="48" s="1"/>
  <c r="D42" i="84"/>
  <c r="S9" i="83"/>
  <c r="D36" i="83"/>
  <c r="E23" i="84"/>
  <c r="K28" i="84"/>
  <c r="S36" i="84"/>
  <c r="E28" i="84"/>
  <c r="S10" i="84"/>
  <c r="K18" i="84"/>
  <c r="S4" i="84"/>
  <c r="S26" i="84"/>
  <c r="E18" i="84"/>
  <c r="K23" i="84"/>
  <c r="S6" i="83"/>
  <c r="S35" i="84"/>
  <c r="S28" i="83"/>
  <c r="S33" i="83"/>
  <c r="L527" i="9"/>
  <c r="M527" i="9"/>
  <c r="N527" i="9"/>
  <c r="O527" i="9"/>
  <c r="Q527" i="9"/>
  <c r="T527" i="9"/>
  <c r="U527" i="9"/>
  <c r="L523" i="9"/>
  <c r="M523" i="9"/>
  <c r="N523" i="9"/>
  <c r="O523" i="9"/>
  <c r="Q523" i="9"/>
  <c r="T523" i="9"/>
  <c r="U523" i="9"/>
  <c r="L401" i="9"/>
  <c r="M401" i="9"/>
  <c r="N401" i="9"/>
  <c r="O401" i="9"/>
  <c r="Q401" i="9"/>
  <c r="T401" i="9"/>
  <c r="U401" i="9"/>
  <c r="S6" i="86" l="1"/>
  <c r="Z47" i="48" s="1"/>
  <c r="F47" i="48" s="1"/>
  <c r="L47" i="48" s="1"/>
  <c r="S56" i="84"/>
  <c r="Q91" i="48" s="1"/>
  <c r="S55" i="84"/>
  <c r="Q90" i="48" s="1"/>
  <c r="I35" i="84"/>
  <c r="Q87" i="48"/>
  <c r="Q86" i="48"/>
  <c r="Q77" i="48"/>
  <c r="Q73" i="48"/>
  <c r="Q72" i="48"/>
  <c r="Q30" i="48"/>
  <c r="F30" i="48" s="1"/>
  <c r="L30" i="48" s="1"/>
  <c r="S5" i="84"/>
  <c r="Q24" i="48"/>
  <c r="F24" i="48" s="1"/>
  <c r="L24" i="48" s="1"/>
  <c r="Q63" i="48"/>
  <c r="N84" i="48"/>
  <c r="N79" i="48"/>
  <c r="N11" i="48"/>
  <c r="F11" i="48" s="1"/>
  <c r="L11" i="48" s="1"/>
  <c r="N14" i="48"/>
  <c r="F14" i="48" s="1"/>
  <c r="L14" i="48" s="1"/>
  <c r="L201" i="9"/>
  <c r="M201" i="9"/>
  <c r="N201" i="9"/>
  <c r="O201" i="9"/>
  <c r="Q201" i="9"/>
  <c r="T201" i="9"/>
  <c r="U201" i="9"/>
  <c r="L202" i="9"/>
  <c r="M202" i="9"/>
  <c r="N202" i="9"/>
  <c r="O202" i="9"/>
  <c r="Q202" i="9"/>
  <c r="T202" i="9"/>
  <c r="U202" i="9"/>
  <c r="L203" i="9"/>
  <c r="M203" i="9"/>
  <c r="N203" i="9"/>
  <c r="O203" i="9"/>
  <c r="Q203" i="9"/>
  <c r="T203" i="9"/>
  <c r="U203" i="9"/>
  <c r="L204" i="9"/>
  <c r="M204" i="9"/>
  <c r="N204" i="9"/>
  <c r="O204" i="9"/>
  <c r="Q204" i="9"/>
  <c r="T204" i="9"/>
  <c r="U204" i="9"/>
  <c r="L205" i="9"/>
  <c r="M205" i="9"/>
  <c r="N205" i="9"/>
  <c r="O205" i="9"/>
  <c r="Q205" i="9"/>
  <c r="T205" i="9"/>
  <c r="U205" i="9"/>
  <c r="L106" i="9"/>
  <c r="M106" i="9"/>
  <c r="N106" i="9"/>
  <c r="O106" i="9"/>
  <c r="Q106" i="9"/>
  <c r="T106" i="9"/>
  <c r="U106" i="9"/>
  <c r="L107" i="9"/>
  <c r="M107" i="9"/>
  <c r="N107" i="9"/>
  <c r="O107" i="9"/>
  <c r="Q107" i="9"/>
  <c r="T107" i="9"/>
  <c r="U107" i="9"/>
  <c r="L108" i="9"/>
  <c r="M108" i="9"/>
  <c r="N108" i="9"/>
  <c r="O108" i="9"/>
  <c r="Q108" i="9"/>
  <c r="T108" i="9"/>
  <c r="U108" i="9"/>
  <c r="L109" i="9"/>
  <c r="M109" i="9"/>
  <c r="N109" i="9"/>
  <c r="O109" i="9"/>
  <c r="Q109" i="9"/>
  <c r="T109" i="9"/>
  <c r="U109" i="9"/>
  <c r="L110" i="9"/>
  <c r="M110" i="9"/>
  <c r="N110" i="9"/>
  <c r="O110" i="9"/>
  <c r="Q110" i="9"/>
  <c r="T110" i="9"/>
  <c r="U110" i="9"/>
  <c r="L76" i="9"/>
  <c r="M76" i="9"/>
  <c r="N76" i="9"/>
  <c r="O76" i="9"/>
  <c r="Q76" i="9"/>
  <c r="T76" i="9"/>
  <c r="U76" i="9"/>
  <c r="L77" i="9"/>
  <c r="M77" i="9"/>
  <c r="N77" i="9"/>
  <c r="O77" i="9"/>
  <c r="Q77" i="9"/>
  <c r="T77" i="9"/>
  <c r="U77" i="9"/>
  <c r="L78" i="9"/>
  <c r="M78" i="9"/>
  <c r="N78" i="9"/>
  <c r="O78" i="9"/>
  <c r="Q78" i="9"/>
  <c r="T78" i="9"/>
  <c r="U78" i="9"/>
  <c r="L79" i="9"/>
  <c r="M79" i="9"/>
  <c r="N79" i="9"/>
  <c r="O79" i="9"/>
  <c r="Q79" i="9"/>
  <c r="T79" i="9"/>
  <c r="U79" i="9"/>
  <c r="L80" i="9"/>
  <c r="M80" i="9"/>
  <c r="N80" i="9"/>
  <c r="O80" i="9"/>
  <c r="Q80" i="9"/>
  <c r="T80" i="9"/>
  <c r="U80" i="9"/>
  <c r="L26" i="9"/>
  <c r="M26" i="9"/>
  <c r="N26" i="9"/>
  <c r="O26" i="9"/>
  <c r="Q26" i="9"/>
  <c r="T26" i="9"/>
  <c r="U26" i="9"/>
  <c r="L27" i="9"/>
  <c r="M27" i="9"/>
  <c r="N27" i="9"/>
  <c r="O27" i="9"/>
  <c r="Q27" i="9"/>
  <c r="T27" i="9"/>
  <c r="U27" i="9"/>
  <c r="L28" i="9"/>
  <c r="M28" i="9"/>
  <c r="N28" i="9"/>
  <c r="O28" i="9"/>
  <c r="Q28" i="9"/>
  <c r="T28" i="9"/>
  <c r="U28" i="9"/>
  <c r="L29" i="9"/>
  <c r="M29" i="9"/>
  <c r="N29" i="9"/>
  <c r="O29" i="9"/>
  <c r="Q29" i="9"/>
  <c r="T29" i="9"/>
  <c r="U29" i="9"/>
  <c r="L30" i="9"/>
  <c r="M30" i="9"/>
  <c r="N30" i="9"/>
  <c r="O30" i="9"/>
  <c r="Q30" i="9"/>
  <c r="T30" i="9"/>
  <c r="U30" i="9"/>
  <c r="L11" i="9"/>
  <c r="M11" i="9"/>
  <c r="N11" i="9"/>
  <c r="O11" i="9"/>
  <c r="Q11" i="9"/>
  <c r="T11" i="9"/>
  <c r="U11" i="9"/>
  <c r="L12" i="9"/>
  <c r="M12" i="9"/>
  <c r="N12" i="9"/>
  <c r="O12" i="9"/>
  <c r="Q12" i="9"/>
  <c r="T12" i="9"/>
  <c r="U12" i="9"/>
  <c r="L13" i="9"/>
  <c r="M13" i="9"/>
  <c r="N13" i="9"/>
  <c r="O13" i="9"/>
  <c r="Q13" i="9"/>
  <c r="T13" i="9"/>
  <c r="U13" i="9"/>
  <c r="L14" i="9"/>
  <c r="M14" i="9"/>
  <c r="N14" i="9"/>
  <c r="O14" i="9"/>
  <c r="Q14" i="9"/>
  <c r="T14" i="9"/>
  <c r="U14" i="9"/>
  <c r="L15" i="9"/>
  <c r="M15" i="9"/>
  <c r="N15" i="9"/>
  <c r="O15" i="9"/>
  <c r="Q15" i="9"/>
  <c r="T15" i="9"/>
  <c r="U15" i="9"/>
  <c r="L363" i="9" l="1"/>
  <c r="M363" i="9"/>
  <c r="N363" i="9"/>
  <c r="O363" i="9"/>
  <c r="Q363" i="9"/>
  <c r="T363" i="9"/>
  <c r="U363" i="9"/>
  <c r="L372" i="9"/>
  <c r="M372" i="9"/>
  <c r="N372" i="9"/>
  <c r="O372" i="9"/>
  <c r="Q372" i="9"/>
  <c r="T372" i="9"/>
  <c r="U372" i="9"/>
  <c r="L377" i="9"/>
  <c r="M377" i="9"/>
  <c r="N377" i="9"/>
  <c r="O377" i="9"/>
  <c r="Q377" i="9"/>
  <c r="T377" i="9"/>
  <c r="U377" i="9"/>
  <c r="L392" i="9"/>
  <c r="M392" i="9"/>
  <c r="N392" i="9"/>
  <c r="O392" i="9"/>
  <c r="Q392" i="9"/>
  <c r="T392" i="9"/>
  <c r="U392" i="9"/>
  <c r="L387" i="9"/>
  <c r="M387" i="9"/>
  <c r="N387" i="9"/>
  <c r="O387" i="9"/>
  <c r="Q387" i="9"/>
  <c r="T387" i="9"/>
  <c r="U387" i="9"/>
  <c r="L422" i="9"/>
  <c r="M422" i="9"/>
  <c r="N422" i="9"/>
  <c r="O422" i="9"/>
  <c r="Q422" i="9"/>
  <c r="T422" i="9"/>
  <c r="U422" i="9"/>
  <c r="L337" i="9"/>
  <c r="M337" i="9"/>
  <c r="N337" i="9"/>
  <c r="O337" i="9"/>
  <c r="Q337" i="9"/>
  <c r="T337" i="9"/>
  <c r="U337" i="9"/>
  <c r="L332" i="9"/>
  <c r="M332" i="9"/>
  <c r="N332" i="9"/>
  <c r="O332" i="9"/>
  <c r="Q332" i="9"/>
  <c r="T332" i="9"/>
  <c r="U332" i="9"/>
  <c r="L327" i="9"/>
  <c r="M327" i="9"/>
  <c r="N327" i="9"/>
  <c r="O327" i="9"/>
  <c r="Q327" i="9"/>
  <c r="T327" i="9"/>
  <c r="U327" i="9"/>
  <c r="L322" i="9"/>
  <c r="M322" i="9"/>
  <c r="N322" i="9"/>
  <c r="O322" i="9"/>
  <c r="Q322" i="9"/>
  <c r="T322" i="9"/>
  <c r="U322" i="9"/>
  <c r="L317" i="9"/>
  <c r="M317" i="9"/>
  <c r="N317" i="9"/>
  <c r="O317" i="9"/>
  <c r="Q317" i="9"/>
  <c r="T317" i="9"/>
  <c r="U317" i="9"/>
  <c r="L229" i="9" l="1"/>
  <c r="M229" i="9"/>
  <c r="N229" i="9"/>
  <c r="O229" i="9"/>
  <c r="Q229" i="9"/>
  <c r="T229" i="9"/>
  <c r="U229" i="9"/>
  <c r="L224" i="9"/>
  <c r="M224" i="9"/>
  <c r="N224" i="9"/>
  <c r="O224" i="9"/>
  <c r="Q224" i="9"/>
  <c r="T224" i="9"/>
  <c r="U224" i="9"/>
  <c r="L219" i="9"/>
  <c r="M219" i="9"/>
  <c r="N219" i="9"/>
  <c r="O219" i="9"/>
  <c r="Q219" i="9"/>
  <c r="T219" i="9"/>
  <c r="U219" i="9"/>
  <c r="L214" i="9"/>
  <c r="M214" i="9"/>
  <c r="N214" i="9"/>
  <c r="O214" i="9"/>
  <c r="Q214" i="9"/>
  <c r="T214" i="9"/>
  <c r="U214" i="9"/>
  <c r="L209" i="9"/>
  <c r="M209" i="9"/>
  <c r="N209" i="9"/>
  <c r="O209" i="9"/>
  <c r="Q209" i="9"/>
  <c r="T209" i="9"/>
  <c r="U209" i="9"/>
  <c r="L199" i="9"/>
  <c r="M199" i="9"/>
  <c r="N199" i="9"/>
  <c r="O199" i="9"/>
  <c r="Q199" i="9"/>
  <c r="T199" i="9"/>
  <c r="U199" i="9"/>
  <c r="L194" i="9"/>
  <c r="M194" i="9"/>
  <c r="N194" i="9"/>
  <c r="O194" i="9"/>
  <c r="Q194" i="9"/>
  <c r="T194" i="9"/>
  <c r="U194" i="9"/>
  <c r="L189" i="9"/>
  <c r="M189" i="9"/>
  <c r="N189" i="9"/>
  <c r="O189" i="9"/>
  <c r="Q189" i="9"/>
  <c r="T189" i="9"/>
  <c r="U189" i="9"/>
  <c r="L184" i="9"/>
  <c r="M184" i="9"/>
  <c r="N184" i="9"/>
  <c r="O184" i="9"/>
  <c r="Q184" i="9"/>
  <c r="T184" i="9"/>
  <c r="U184" i="9"/>
  <c r="L179" i="9"/>
  <c r="M179" i="9"/>
  <c r="N179" i="9"/>
  <c r="O179" i="9"/>
  <c r="Q179" i="9"/>
  <c r="T179" i="9"/>
  <c r="U179" i="9"/>
  <c r="L174" i="9"/>
  <c r="M174" i="9"/>
  <c r="N174" i="9"/>
  <c r="O174" i="9"/>
  <c r="Q174" i="9"/>
  <c r="T174" i="9"/>
  <c r="U174" i="9"/>
  <c r="L169" i="9"/>
  <c r="M169" i="9"/>
  <c r="N169" i="9"/>
  <c r="O169" i="9"/>
  <c r="Q169" i="9"/>
  <c r="T169" i="9"/>
  <c r="U169" i="9"/>
  <c r="L154" i="9"/>
  <c r="M154" i="9"/>
  <c r="N154" i="9"/>
  <c r="O154" i="9"/>
  <c r="Q154" i="9"/>
  <c r="T154" i="9"/>
  <c r="U154" i="9"/>
  <c r="L149" i="9"/>
  <c r="M149" i="9"/>
  <c r="N149" i="9"/>
  <c r="O149" i="9"/>
  <c r="Q149" i="9"/>
  <c r="T149" i="9"/>
  <c r="U149" i="9"/>
  <c r="L144" i="9"/>
  <c r="M144" i="9"/>
  <c r="N144" i="9"/>
  <c r="O144" i="9"/>
  <c r="Q144" i="9"/>
  <c r="T144" i="9"/>
  <c r="U144" i="9"/>
  <c r="L139" i="9"/>
  <c r="M139" i="9"/>
  <c r="N139" i="9"/>
  <c r="O139" i="9"/>
  <c r="Q139" i="9"/>
  <c r="T139" i="9"/>
  <c r="U139" i="9"/>
  <c r="L134" i="9"/>
  <c r="M134" i="9"/>
  <c r="N134" i="9"/>
  <c r="O134" i="9"/>
  <c r="Q134" i="9"/>
  <c r="T134" i="9"/>
  <c r="U134" i="9"/>
  <c r="L129" i="9"/>
  <c r="M129" i="9"/>
  <c r="N129" i="9"/>
  <c r="O129" i="9"/>
  <c r="Q129" i="9"/>
  <c r="T129" i="9"/>
  <c r="U129" i="9"/>
  <c r="L124" i="9"/>
  <c r="M124" i="9"/>
  <c r="N124" i="9"/>
  <c r="O124" i="9"/>
  <c r="Q124" i="9"/>
  <c r="T124" i="9"/>
  <c r="U124" i="9"/>
  <c r="L119" i="9"/>
  <c r="M119" i="9"/>
  <c r="N119" i="9"/>
  <c r="O119" i="9"/>
  <c r="Q119" i="9"/>
  <c r="T119" i="9"/>
  <c r="U119" i="9"/>
  <c r="L114" i="9"/>
  <c r="M114" i="9"/>
  <c r="N114" i="9"/>
  <c r="O114" i="9"/>
  <c r="Q114" i="9"/>
  <c r="T114" i="9"/>
  <c r="U114" i="9"/>
  <c r="L104" i="9"/>
  <c r="M104" i="9"/>
  <c r="N104" i="9"/>
  <c r="O104" i="9"/>
  <c r="Q104" i="9"/>
  <c r="T104" i="9"/>
  <c r="U104" i="9"/>
  <c r="L99" i="9"/>
  <c r="M99" i="9"/>
  <c r="N99" i="9"/>
  <c r="O99" i="9"/>
  <c r="Q99" i="9"/>
  <c r="T99" i="9"/>
  <c r="U99" i="9"/>
  <c r="L94" i="9"/>
  <c r="M94" i="9"/>
  <c r="N94" i="9"/>
  <c r="O94" i="9"/>
  <c r="Q94" i="9"/>
  <c r="T94" i="9"/>
  <c r="U94" i="9"/>
  <c r="L89" i="9"/>
  <c r="M89" i="9"/>
  <c r="N89" i="9"/>
  <c r="O89" i="9"/>
  <c r="Q89" i="9"/>
  <c r="T89" i="9"/>
  <c r="U89" i="9"/>
  <c r="L84" i="9"/>
  <c r="M84" i="9"/>
  <c r="N84" i="9"/>
  <c r="O84" i="9"/>
  <c r="Q84" i="9"/>
  <c r="T84" i="9"/>
  <c r="U84" i="9"/>
  <c r="L74" i="9"/>
  <c r="M74" i="9"/>
  <c r="N74" i="9"/>
  <c r="O74" i="9"/>
  <c r="Q74" i="9"/>
  <c r="T74" i="9"/>
  <c r="U74" i="9"/>
  <c r="L69" i="9"/>
  <c r="M69" i="9"/>
  <c r="N69" i="9"/>
  <c r="O69" i="9"/>
  <c r="Q69" i="9"/>
  <c r="T69" i="9"/>
  <c r="U69" i="9"/>
  <c r="L64" i="9"/>
  <c r="M64" i="9"/>
  <c r="N64" i="9"/>
  <c r="O64" i="9"/>
  <c r="Q64" i="9"/>
  <c r="T64" i="9"/>
  <c r="U64" i="9"/>
  <c r="L59" i="9"/>
  <c r="M59" i="9"/>
  <c r="N59" i="9"/>
  <c r="O59" i="9"/>
  <c r="Q59" i="9"/>
  <c r="T59" i="9"/>
  <c r="U59" i="9"/>
  <c r="L54" i="9"/>
  <c r="M54" i="9"/>
  <c r="N54" i="9"/>
  <c r="O54" i="9"/>
  <c r="Q54" i="9"/>
  <c r="T54" i="9"/>
  <c r="U54" i="9"/>
  <c r="L49" i="9"/>
  <c r="M49" i="9"/>
  <c r="N49" i="9"/>
  <c r="O49" i="9"/>
  <c r="Q49" i="9"/>
  <c r="T49" i="9"/>
  <c r="U49" i="9"/>
  <c r="L44" i="9"/>
  <c r="M44" i="9"/>
  <c r="N44" i="9"/>
  <c r="O44" i="9"/>
  <c r="Q44" i="9"/>
  <c r="T44" i="9"/>
  <c r="U44" i="9"/>
  <c r="L39" i="9"/>
  <c r="M39" i="9"/>
  <c r="N39" i="9"/>
  <c r="O39" i="9"/>
  <c r="Q39" i="9"/>
  <c r="T39" i="9"/>
  <c r="U39" i="9"/>
  <c r="L34" i="9"/>
  <c r="M34" i="9"/>
  <c r="N34" i="9"/>
  <c r="O34" i="9"/>
  <c r="Q34" i="9"/>
  <c r="T34" i="9"/>
  <c r="U34" i="9"/>
  <c r="L24" i="9"/>
  <c r="M24" i="9"/>
  <c r="N24" i="9"/>
  <c r="O24" i="9"/>
  <c r="Q24" i="9"/>
  <c r="T24" i="9"/>
  <c r="U24" i="9"/>
  <c r="L19" i="9"/>
  <c r="M19" i="9"/>
  <c r="N19" i="9"/>
  <c r="O19" i="9"/>
  <c r="Q19" i="9"/>
  <c r="T19" i="9"/>
  <c r="U19" i="9"/>
  <c r="R12" i="116" l="1"/>
  <c r="AY169" i="48" s="1"/>
  <c r="BB104" i="48" l="1"/>
  <c r="F104" i="48" s="1"/>
  <c r="L104" i="48" s="1"/>
  <c r="E308" i="9"/>
  <c r="S62" i="115" l="1"/>
  <c r="S62" i="97"/>
  <c r="AQ103" i="48" s="1"/>
  <c r="S62" i="114"/>
  <c r="AP103" i="48" s="1"/>
  <c r="S62" i="96"/>
  <c r="S62" i="113"/>
  <c r="AN103" i="48" s="1"/>
  <c r="S62" i="92"/>
  <c r="AM103" i="48" s="1"/>
  <c r="S62" i="95"/>
  <c r="AK103" i="48" s="1"/>
  <c r="AO103" i="48" l="1"/>
  <c r="AR103" i="48"/>
  <c r="S62" i="109"/>
  <c r="AL103" i="48" s="1"/>
  <c r="S55" i="80"/>
  <c r="T90" i="48" s="1"/>
  <c r="S55" i="105"/>
  <c r="S55" i="87"/>
  <c r="V90" i="48" s="1"/>
  <c r="S55" i="106"/>
  <c r="S55" i="88"/>
  <c r="X90" i="48" s="1"/>
  <c r="S55" i="107"/>
  <c r="S55" i="86"/>
  <c r="S55" i="85"/>
  <c r="R90" i="48" s="1"/>
  <c r="S55" i="104"/>
  <c r="S55" i="81"/>
  <c r="P90" i="48" s="1"/>
  <c r="S55" i="82"/>
  <c r="O90" i="48" s="1"/>
  <c r="E287" i="9"/>
  <c r="L287" i="9"/>
  <c r="A287" i="9" s="1"/>
  <c r="P55" i="84" s="1"/>
  <c r="M287" i="9"/>
  <c r="B287" i="9" s="1"/>
  <c r="N287" i="9"/>
  <c r="C287" i="9" s="1"/>
  <c r="O287" i="9"/>
  <c r="D287" i="9" s="1"/>
  <c r="E90" i="48" s="1"/>
  <c r="Q287" i="9"/>
  <c r="T287" i="9"/>
  <c r="I287" i="9" s="1"/>
  <c r="J90" i="48" s="1"/>
  <c r="U287" i="9"/>
  <c r="J287" i="9" s="1"/>
  <c r="K90" i="48" s="1"/>
  <c r="R55" i="85" l="1"/>
  <c r="R55" i="84"/>
  <c r="Q55" i="85"/>
  <c r="Q55" i="84"/>
  <c r="P55" i="82"/>
  <c r="P55" i="110"/>
  <c r="B90" i="48"/>
  <c r="P55" i="85"/>
  <c r="P55" i="104"/>
  <c r="P55" i="80"/>
  <c r="P55" i="105"/>
  <c r="P55" i="87"/>
  <c r="P55" i="106"/>
  <c r="P55" i="88"/>
  <c r="P55" i="107"/>
  <c r="P55" i="86"/>
  <c r="P55" i="81"/>
  <c r="R55" i="82"/>
  <c r="R55" i="81"/>
  <c r="R55" i="86"/>
  <c r="R55" i="107"/>
  <c r="R55" i="88"/>
  <c r="R55" i="106"/>
  <c r="R55" i="87"/>
  <c r="R55" i="105"/>
  <c r="R55" i="80"/>
  <c r="R55" i="104"/>
  <c r="R55" i="110"/>
  <c r="D90" i="48"/>
  <c r="Q55" i="82"/>
  <c r="Q55" i="81"/>
  <c r="Q55" i="86"/>
  <c r="Q55" i="107"/>
  <c r="Q55" i="88"/>
  <c r="Q55" i="106"/>
  <c r="Q55" i="87"/>
  <c r="Q55" i="105"/>
  <c r="Q55" i="80"/>
  <c r="Q55" i="104"/>
  <c r="Q55" i="110"/>
  <c r="C90" i="48"/>
  <c r="F90" i="48"/>
  <c r="L90" i="48" s="1"/>
  <c r="E704" i="9"/>
  <c r="E705" i="9"/>
  <c r="E711" i="9"/>
  <c r="E712" i="9"/>
  <c r="E713" i="9"/>
  <c r="E714" i="9"/>
  <c r="S76" i="114"/>
  <c r="S75" i="114"/>
  <c r="S69" i="114"/>
  <c r="S69" i="96"/>
  <c r="S68" i="96"/>
  <c r="S75" i="109"/>
  <c r="S74" i="109"/>
  <c r="S75" i="95"/>
  <c r="S74" i="95"/>
  <c r="S76" i="96"/>
  <c r="S75" i="96"/>
  <c r="S70" i="95"/>
  <c r="S69" i="95"/>
  <c r="S71" i="96"/>
  <c r="S70" i="96"/>
  <c r="S71" i="114"/>
  <c r="S70" i="114"/>
  <c r="S68" i="114"/>
  <c r="S68" i="113"/>
  <c r="S67" i="113"/>
  <c r="S68" i="92"/>
  <c r="S67" i="92"/>
  <c r="S69" i="115"/>
  <c r="S68" i="115"/>
  <c r="S69" i="97"/>
  <c r="S68" i="97"/>
  <c r="BD90" i="48" l="1"/>
  <c r="S9" i="115"/>
  <c r="S8" i="115"/>
  <c r="S7" i="115"/>
  <c r="S5" i="115"/>
  <c r="S4" i="115"/>
  <c r="S3" i="115"/>
  <c r="S9" i="97"/>
  <c r="S8" i="97"/>
  <c r="S7" i="97"/>
  <c r="S5" i="97"/>
  <c r="S4" i="97"/>
  <c r="S3" i="97"/>
  <c r="S9" i="114"/>
  <c r="S8" i="114"/>
  <c r="S7" i="114"/>
  <c r="S5" i="114"/>
  <c r="S4" i="114"/>
  <c r="S3" i="114"/>
  <c r="S5" i="96"/>
  <c r="S4" i="96"/>
  <c r="S3" i="96"/>
  <c r="S9" i="96"/>
  <c r="S7" i="96"/>
  <c r="S8" i="96"/>
  <c r="AK252" i="48"/>
  <c r="AR252" i="48"/>
  <c r="AQ252" i="48"/>
  <c r="T95" i="97"/>
  <c r="U95" i="97" s="1"/>
  <c r="R95" i="97"/>
  <c r="Q95" i="97"/>
  <c r="P95" i="97"/>
  <c r="S65" i="96" l="1"/>
  <c r="S66" i="96"/>
  <c r="S64" i="96"/>
  <c r="AM252" i="48"/>
  <c r="AO252" i="48"/>
  <c r="AL252" i="48"/>
  <c r="AP252" i="48"/>
  <c r="AN252" i="48"/>
  <c r="P51" i="15" l="1"/>
  <c r="L56" i="15"/>
  <c r="P56" i="15"/>
  <c r="L199" i="48"/>
  <c r="L202" i="48"/>
  <c r="M202" i="48" s="1"/>
  <c r="B21" i="117"/>
  <c r="M6" i="117"/>
  <c r="R4" i="117"/>
  <c r="AV201" i="48" s="1"/>
  <c r="F201" i="48" s="1"/>
  <c r="L201" i="48" s="1"/>
  <c r="R3" i="117"/>
  <c r="L611" i="9"/>
  <c r="M611" i="9"/>
  <c r="N611" i="9"/>
  <c r="O611" i="9"/>
  <c r="Q611" i="9"/>
  <c r="T611" i="9"/>
  <c r="U611" i="9"/>
  <c r="L612" i="9"/>
  <c r="M612" i="9"/>
  <c r="N612" i="9"/>
  <c r="O612" i="9"/>
  <c r="Q612" i="9"/>
  <c r="T612" i="9"/>
  <c r="U612" i="9"/>
  <c r="L613" i="9"/>
  <c r="M613" i="9"/>
  <c r="N613" i="9"/>
  <c r="O613" i="9"/>
  <c r="Q613" i="9"/>
  <c r="T613" i="9"/>
  <c r="U613" i="9"/>
  <c r="L614" i="9"/>
  <c r="M614" i="9"/>
  <c r="N614" i="9"/>
  <c r="O614" i="9"/>
  <c r="Q614" i="9"/>
  <c r="T614" i="9"/>
  <c r="U614" i="9"/>
  <c r="L615" i="9"/>
  <c r="M615" i="9"/>
  <c r="N615" i="9"/>
  <c r="O615" i="9"/>
  <c r="Q615" i="9"/>
  <c r="T615" i="9"/>
  <c r="U615" i="9"/>
  <c r="L616" i="9"/>
  <c r="M616" i="9"/>
  <c r="N616" i="9"/>
  <c r="O616" i="9"/>
  <c r="Q616" i="9"/>
  <c r="T616" i="9"/>
  <c r="U616" i="9"/>
  <c r="L617" i="9"/>
  <c r="M617" i="9"/>
  <c r="N617" i="9"/>
  <c r="O617" i="9"/>
  <c r="Q617" i="9"/>
  <c r="T617" i="9"/>
  <c r="U617" i="9"/>
  <c r="L618" i="9"/>
  <c r="M618" i="9"/>
  <c r="N618" i="9"/>
  <c r="O618" i="9"/>
  <c r="Q618" i="9"/>
  <c r="T618" i="9"/>
  <c r="U618" i="9"/>
  <c r="E625" i="9"/>
  <c r="G12" i="117" l="1"/>
  <c r="AV200" i="48"/>
  <c r="F200" i="48" s="1"/>
  <c r="L200" i="48" s="1"/>
  <c r="BD53" i="48"/>
  <c r="BD170" i="48"/>
  <c r="BD171" i="48"/>
  <c r="BD97" i="48"/>
  <c r="BD61" i="48"/>
  <c r="K46" i="48"/>
  <c r="K4" i="48" l="1"/>
  <c r="K5" i="48"/>
  <c r="W11" i="9"/>
  <c r="S7" i="111" l="1"/>
  <c r="S6" i="111"/>
  <c r="S5" i="111"/>
  <c r="S4" i="111"/>
  <c r="S3" i="111"/>
  <c r="H51" i="15"/>
  <c r="D51" i="15"/>
  <c r="D61" i="15"/>
  <c r="L40" i="15"/>
  <c r="D40" i="15"/>
  <c r="L46" i="15"/>
  <c r="D46" i="15"/>
  <c r="P40" i="15"/>
  <c r="H40" i="15"/>
  <c r="P46" i="15"/>
  <c r="H46" i="15"/>
  <c r="P28" i="15"/>
  <c r="L28" i="15"/>
  <c r="L22" i="15"/>
  <c r="L16" i="15"/>
  <c r="H10" i="15"/>
  <c r="D10" i="15"/>
  <c r="P5" i="15"/>
  <c r="L5" i="15"/>
  <c r="H5" i="15"/>
  <c r="D5" i="15"/>
  <c r="L53" i="48"/>
  <c r="M53" i="48" s="1"/>
  <c r="L61" i="48"/>
  <c r="M61" i="48" s="1"/>
  <c r="L97" i="48"/>
  <c r="M97" i="48" s="1"/>
  <c r="S70" i="109" l="1"/>
  <c r="S69" i="109"/>
  <c r="S67" i="109"/>
  <c r="AM94" i="48" l="1"/>
  <c r="AN94" i="48"/>
  <c r="AR94" i="48"/>
  <c r="AQ94" i="48"/>
  <c r="AO94" i="48"/>
  <c r="S9" i="92"/>
  <c r="S8" i="92"/>
  <c r="S7" i="92"/>
  <c r="S9" i="113"/>
  <c r="S8" i="113"/>
  <c r="S7" i="113"/>
  <c r="S9" i="109"/>
  <c r="S8" i="109"/>
  <c r="S7" i="109"/>
  <c r="L38" i="115"/>
  <c r="K38" i="115"/>
  <c r="J38" i="115"/>
  <c r="F38" i="115"/>
  <c r="E38" i="115"/>
  <c r="D38" i="115"/>
  <c r="L37" i="115"/>
  <c r="K37" i="115"/>
  <c r="J37" i="115"/>
  <c r="F37" i="115"/>
  <c r="E37" i="115"/>
  <c r="D37" i="115"/>
  <c r="L30" i="115"/>
  <c r="K30" i="115"/>
  <c r="J30" i="115"/>
  <c r="F30" i="115"/>
  <c r="E30" i="115"/>
  <c r="D30" i="115"/>
  <c r="L29" i="115"/>
  <c r="K29" i="115"/>
  <c r="J29" i="115"/>
  <c r="F29" i="115"/>
  <c r="E29" i="115"/>
  <c r="D29" i="115"/>
  <c r="L38" i="97"/>
  <c r="K38" i="97"/>
  <c r="J38" i="97"/>
  <c r="F38" i="97"/>
  <c r="E38" i="97"/>
  <c r="D38" i="97"/>
  <c r="L37" i="97"/>
  <c r="K37" i="97"/>
  <c r="J37" i="97"/>
  <c r="F37" i="97"/>
  <c r="E37" i="97"/>
  <c r="D37" i="97"/>
  <c r="L30" i="97"/>
  <c r="K30" i="97"/>
  <c r="J30" i="97"/>
  <c r="F30" i="97"/>
  <c r="E30" i="97"/>
  <c r="D30" i="97"/>
  <c r="L29" i="97"/>
  <c r="K29" i="97"/>
  <c r="J29" i="97"/>
  <c r="F29" i="97"/>
  <c r="E29" i="97"/>
  <c r="D29" i="97"/>
  <c r="L38" i="114"/>
  <c r="K38" i="114"/>
  <c r="J38" i="114"/>
  <c r="F38" i="114"/>
  <c r="E38" i="114"/>
  <c r="D38" i="114"/>
  <c r="L37" i="114"/>
  <c r="K37" i="114"/>
  <c r="J37" i="114"/>
  <c r="F37" i="114"/>
  <c r="E37" i="114"/>
  <c r="D37" i="114"/>
  <c r="L30" i="114"/>
  <c r="K30" i="114"/>
  <c r="J30" i="114"/>
  <c r="F30" i="114"/>
  <c r="E30" i="114"/>
  <c r="D30" i="114"/>
  <c r="L29" i="114"/>
  <c r="K29" i="114"/>
  <c r="J29" i="114"/>
  <c r="F29" i="114"/>
  <c r="E29" i="114"/>
  <c r="D29" i="114"/>
  <c r="L38" i="96"/>
  <c r="K38" i="96"/>
  <c r="J38" i="96"/>
  <c r="F38" i="96"/>
  <c r="E38" i="96"/>
  <c r="D38" i="96"/>
  <c r="L37" i="96"/>
  <c r="K37" i="96"/>
  <c r="J37" i="96"/>
  <c r="F37" i="96"/>
  <c r="E37" i="96"/>
  <c r="D37" i="96"/>
  <c r="L30" i="96"/>
  <c r="K30" i="96"/>
  <c r="J30" i="96"/>
  <c r="F30" i="96"/>
  <c r="E30" i="96"/>
  <c r="D30" i="96"/>
  <c r="L29" i="96"/>
  <c r="K29" i="96"/>
  <c r="J29" i="96"/>
  <c r="F29" i="96"/>
  <c r="E29" i="96"/>
  <c r="D29" i="96"/>
  <c r="L38" i="113"/>
  <c r="K38" i="113"/>
  <c r="J38" i="113"/>
  <c r="F38" i="113"/>
  <c r="E38" i="113"/>
  <c r="D38" i="113"/>
  <c r="L37" i="113"/>
  <c r="K37" i="113"/>
  <c r="J37" i="113"/>
  <c r="F37" i="113"/>
  <c r="E37" i="113"/>
  <c r="D37" i="113"/>
  <c r="L30" i="113"/>
  <c r="K30" i="113"/>
  <c r="J30" i="113"/>
  <c r="F30" i="113"/>
  <c r="E30" i="113"/>
  <c r="D30" i="113"/>
  <c r="L29" i="113"/>
  <c r="K29" i="113"/>
  <c r="J29" i="113"/>
  <c r="F29" i="113"/>
  <c r="E29" i="113"/>
  <c r="D29" i="113"/>
  <c r="L38" i="92"/>
  <c r="K38" i="92"/>
  <c r="J38" i="92"/>
  <c r="F38" i="92"/>
  <c r="E38" i="92"/>
  <c r="D38" i="92"/>
  <c r="L37" i="92"/>
  <c r="K37" i="92"/>
  <c r="J37" i="92"/>
  <c r="F37" i="92"/>
  <c r="E37" i="92"/>
  <c r="D37" i="92"/>
  <c r="L30" i="92"/>
  <c r="K30" i="92"/>
  <c r="J30" i="92"/>
  <c r="F30" i="92"/>
  <c r="E30" i="92"/>
  <c r="D30" i="92"/>
  <c r="L29" i="92"/>
  <c r="K29" i="92"/>
  <c r="J29" i="92"/>
  <c r="F29" i="92"/>
  <c r="E29" i="92"/>
  <c r="D29" i="92"/>
  <c r="L38" i="109"/>
  <c r="K38" i="109"/>
  <c r="J38" i="109"/>
  <c r="F38" i="109"/>
  <c r="E38" i="109"/>
  <c r="D38" i="109"/>
  <c r="L37" i="109"/>
  <c r="K37" i="109"/>
  <c r="J37" i="109"/>
  <c r="F37" i="109"/>
  <c r="E37" i="109"/>
  <c r="D37" i="109"/>
  <c r="L30" i="109"/>
  <c r="K30" i="109"/>
  <c r="J30" i="109"/>
  <c r="F30" i="109"/>
  <c r="E30" i="109"/>
  <c r="D30" i="109"/>
  <c r="L29" i="109"/>
  <c r="K29" i="109"/>
  <c r="J29" i="109"/>
  <c r="F29" i="109"/>
  <c r="S21" i="109" s="1"/>
  <c r="E29" i="109"/>
  <c r="S19" i="109" s="1"/>
  <c r="D29" i="109"/>
  <c r="S17" i="109" s="1"/>
  <c r="S67" i="95"/>
  <c r="L38" i="95"/>
  <c r="K38" i="95"/>
  <c r="J38" i="95"/>
  <c r="F38" i="95"/>
  <c r="E38" i="95"/>
  <c r="D38" i="95"/>
  <c r="L37" i="95"/>
  <c r="K37" i="95"/>
  <c r="J37" i="95"/>
  <c r="F37" i="95"/>
  <c r="E37" i="95"/>
  <c r="D37" i="95"/>
  <c r="L30" i="95"/>
  <c r="K30" i="95"/>
  <c r="J30" i="95"/>
  <c r="F30" i="95"/>
  <c r="E30" i="95"/>
  <c r="D30" i="95"/>
  <c r="L29" i="95"/>
  <c r="K29" i="95"/>
  <c r="J29" i="95"/>
  <c r="F29" i="95"/>
  <c r="E29" i="95"/>
  <c r="D29" i="95"/>
  <c r="I15" i="95"/>
  <c r="I14" i="95"/>
  <c r="S9" i="95"/>
  <c r="S8" i="95"/>
  <c r="N8" i="95"/>
  <c r="S7" i="95"/>
  <c r="S64" i="92" l="1"/>
  <c r="S65" i="92"/>
  <c r="AM93" i="48"/>
  <c r="AN93" i="48"/>
  <c r="AO93" i="48"/>
  <c r="AP93" i="48"/>
  <c r="AQ93" i="48"/>
  <c r="AR93" i="48"/>
  <c r="AL93" i="48"/>
  <c r="AK130" i="48"/>
  <c r="AK126" i="48"/>
  <c r="AK120" i="48"/>
  <c r="AK129" i="48"/>
  <c r="AK125" i="48"/>
  <c r="S65" i="95"/>
  <c r="S64" i="95"/>
  <c r="AL94" i="48"/>
  <c r="AP94" i="48"/>
  <c r="AK118" i="48" l="1"/>
  <c r="AK94" i="48"/>
  <c r="AK37" i="48" l="1"/>
  <c r="AK36" i="48"/>
  <c r="AK35" i="48"/>
  <c r="AK209" i="48" s="1"/>
  <c r="AK70" i="48"/>
  <c r="AK68" i="48"/>
  <c r="S13" i="111"/>
  <c r="AF46" i="48" s="1"/>
  <c r="S13" i="110"/>
  <c r="AE39" i="48" s="1"/>
  <c r="S12" i="111"/>
  <c r="AF45" i="48" s="1"/>
  <c r="S12" i="110"/>
  <c r="AE38" i="48" s="1"/>
  <c r="S11" i="111"/>
  <c r="S83" i="111" s="1"/>
  <c r="S11" i="110"/>
  <c r="AE37" i="48" s="1"/>
  <c r="S10" i="111"/>
  <c r="AF43" i="48" s="1"/>
  <c r="S10" i="110"/>
  <c r="AE36" i="48" s="1"/>
  <c r="S9" i="111"/>
  <c r="AF42" i="48" s="1"/>
  <c r="S9" i="110"/>
  <c r="AE35" i="48" s="1"/>
  <c r="AE209" i="48" s="1"/>
  <c r="S7" i="110"/>
  <c r="AE20" i="48" s="1"/>
  <c r="S6" i="110"/>
  <c r="AE19" i="48" s="1"/>
  <c r="AF18" i="48"/>
  <c r="S5" i="110"/>
  <c r="AE18" i="48" s="1"/>
  <c r="AF17" i="48"/>
  <c r="S4" i="110"/>
  <c r="AE17" i="48" s="1"/>
  <c r="S3" i="110"/>
  <c r="AF88" i="48"/>
  <c r="AE88" i="48"/>
  <c r="BB214" i="48"/>
  <c r="F214" i="48" s="1"/>
  <c r="L214" i="48" s="1"/>
  <c r="BB213" i="48"/>
  <c r="F213" i="48" s="1"/>
  <c r="E638" i="9"/>
  <c r="S11" i="86"/>
  <c r="Z52" i="48" s="1"/>
  <c r="F52" i="48" s="1"/>
  <c r="L52" i="48" s="1"/>
  <c r="S10" i="86"/>
  <c r="Z51" i="48" s="1"/>
  <c r="F51" i="48" s="1"/>
  <c r="L51" i="48" s="1"/>
  <c r="S9" i="86"/>
  <c r="Z50" i="48" s="1"/>
  <c r="F50" i="48" s="1"/>
  <c r="L50" i="48" s="1"/>
  <c r="S8" i="86"/>
  <c r="S7" i="86"/>
  <c r="Z48" i="48" s="1"/>
  <c r="S11" i="104"/>
  <c r="S46" i="48" s="1"/>
  <c r="S10" i="104"/>
  <c r="S45" i="48" s="1"/>
  <c r="S9" i="104"/>
  <c r="S44" i="48" s="1"/>
  <c r="S8" i="104"/>
  <c r="S70" i="104" s="1"/>
  <c r="S57" i="48" s="1"/>
  <c r="S7" i="104"/>
  <c r="S42" i="48" s="1"/>
  <c r="S6" i="104"/>
  <c r="S41" i="48" s="1"/>
  <c r="S5" i="104"/>
  <c r="S67" i="104" s="1"/>
  <c r="S54" i="48" s="1"/>
  <c r="S11" i="85"/>
  <c r="R39" i="48" s="1"/>
  <c r="S10" i="85"/>
  <c r="R38" i="48" s="1"/>
  <c r="S9" i="85"/>
  <c r="R37" i="48" s="1"/>
  <c r="S8" i="85"/>
  <c r="R36" i="48" s="1"/>
  <c r="S7" i="85"/>
  <c r="R35" i="48" s="1"/>
  <c r="S6" i="85"/>
  <c r="R34" i="48" s="1"/>
  <c r="S5" i="85"/>
  <c r="R33" i="48" s="1"/>
  <c r="S4" i="85"/>
  <c r="R32" i="48" s="1"/>
  <c r="S3" i="85"/>
  <c r="R31" i="48" s="1"/>
  <c r="R209" i="48" s="1"/>
  <c r="S59" i="104"/>
  <c r="S94" i="48" s="1"/>
  <c r="S58" i="104"/>
  <c r="S93" i="48" s="1"/>
  <c r="S57" i="104"/>
  <c r="S92" i="48" s="1"/>
  <c r="S56" i="104"/>
  <c r="S59" i="86"/>
  <c r="Z94" i="48" s="1"/>
  <c r="S58" i="86"/>
  <c r="Z93" i="48" s="1"/>
  <c r="S57" i="86"/>
  <c r="S56" i="86"/>
  <c r="S59" i="85"/>
  <c r="R94" i="48" s="1"/>
  <c r="S58" i="85"/>
  <c r="R93" i="48" s="1"/>
  <c r="S57" i="85"/>
  <c r="R92" i="48" s="1"/>
  <c r="S56" i="85"/>
  <c r="S11" i="105"/>
  <c r="U46" i="48" s="1"/>
  <c r="S10" i="105"/>
  <c r="U45" i="48" s="1"/>
  <c r="S9" i="105"/>
  <c r="S78" i="105" s="1"/>
  <c r="U58" i="48" s="1"/>
  <c r="S8" i="105"/>
  <c r="U43" i="48" s="1"/>
  <c r="S7" i="105"/>
  <c r="S6" i="105"/>
  <c r="U41" i="48" s="1"/>
  <c r="S5" i="105"/>
  <c r="U40" i="48" s="1"/>
  <c r="S11" i="87"/>
  <c r="V39" i="48" s="1"/>
  <c r="S10" i="87"/>
  <c r="V38" i="48" s="1"/>
  <c r="S9" i="87"/>
  <c r="V37" i="48" s="1"/>
  <c r="S8" i="87"/>
  <c r="S7" i="87"/>
  <c r="S6" i="87"/>
  <c r="V34" i="48" s="1"/>
  <c r="S5" i="87"/>
  <c r="V33" i="48" s="1"/>
  <c r="S4" i="87"/>
  <c r="V32" i="48" s="1"/>
  <c r="S3" i="87"/>
  <c r="V31" i="48" s="1"/>
  <c r="S11" i="106"/>
  <c r="W46" i="48" s="1"/>
  <c r="S10" i="106"/>
  <c r="W45" i="48" s="1"/>
  <c r="S9" i="106"/>
  <c r="W44" i="48" s="1"/>
  <c r="S8" i="106"/>
  <c r="S7" i="106"/>
  <c r="S76" i="106" s="1"/>
  <c r="W56" i="48" s="1"/>
  <c r="S6" i="106"/>
  <c r="S75" i="106" s="1"/>
  <c r="W55" i="48" s="1"/>
  <c r="S5" i="106"/>
  <c r="W40" i="48" s="1"/>
  <c r="S11" i="88"/>
  <c r="X39" i="48" s="1"/>
  <c r="S10" i="88"/>
  <c r="X38" i="48" s="1"/>
  <c r="S9" i="88"/>
  <c r="X37" i="48" s="1"/>
  <c r="S8" i="88"/>
  <c r="X36" i="48" s="1"/>
  <c r="S7" i="88"/>
  <c r="X35" i="48" s="1"/>
  <c r="S6" i="88"/>
  <c r="X34" i="48" s="1"/>
  <c r="S5" i="88"/>
  <c r="X33" i="48" s="1"/>
  <c r="S4" i="88"/>
  <c r="X32" i="48" s="1"/>
  <c r="S3" i="88"/>
  <c r="X31" i="48" s="1"/>
  <c r="X209" i="48" s="1"/>
  <c r="S11" i="107"/>
  <c r="S80" i="107" s="1"/>
  <c r="Y60" i="48" s="1"/>
  <c r="S10" i="107"/>
  <c r="S79" i="107" s="1"/>
  <c r="Y59" i="48" s="1"/>
  <c r="S9" i="107"/>
  <c r="Y44" i="48" s="1"/>
  <c r="S8" i="107"/>
  <c r="S7" i="107"/>
  <c r="S76" i="107" s="1"/>
  <c r="Y56" i="48" s="1"/>
  <c r="S6" i="107"/>
  <c r="Y41" i="48" s="1"/>
  <c r="S5" i="107"/>
  <c r="S74" i="107" s="1"/>
  <c r="Y54" i="48" s="1"/>
  <c r="S11" i="80"/>
  <c r="T39" i="48" s="1"/>
  <c r="S10" i="80"/>
  <c r="T38" i="48" s="1"/>
  <c r="S9" i="80"/>
  <c r="T37" i="48" s="1"/>
  <c r="S8" i="80"/>
  <c r="T36" i="48" s="1"/>
  <c r="S7" i="80"/>
  <c r="T35" i="48" s="1"/>
  <c r="S6" i="80"/>
  <c r="T34" i="48" s="1"/>
  <c r="S5" i="80"/>
  <c r="T33" i="48" s="1"/>
  <c r="S4" i="80"/>
  <c r="S3" i="80"/>
  <c r="S59" i="105"/>
  <c r="U94" i="48" s="1"/>
  <c r="S58" i="105"/>
  <c r="U93" i="48" s="1"/>
  <c r="S57" i="105"/>
  <c r="U92" i="48" s="1"/>
  <c r="S56" i="105"/>
  <c r="S59" i="87"/>
  <c r="V94" i="48" s="1"/>
  <c r="S58" i="87"/>
  <c r="V93" i="48" s="1"/>
  <c r="S57" i="87"/>
  <c r="S56" i="87"/>
  <c r="V91" i="48" s="1"/>
  <c r="S59" i="106"/>
  <c r="W94" i="48" s="1"/>
  <c r="S58" i="106"/>
  <c r="W93" i="48" s="1"/>
  <c r="S57" i="106"/>
  <c r="W92" i="48" s="1"/>
  <c r="S56" i="106"/>
  <c r="S59" i="88"/>
  <c r="X94" i="48" s="1"/>
  <c r="S58" i="88"/>
  <c r="X93" i="48" s="1"/>
  <c r="S57" i="88"/>
  <c r="X92" i="48" s="1"/>
  <c r="S56" i="88"/>
  <c r="S59" i="107"/>
  <c r="Y94" i="48" s="1"/>
  <c r="S58" i="107"/>
  <c r="Y93" i="48" s="1"/>
  <c r="S57" i="107"/>
  <c r="Y92" i="48" s="1"/>
  <c r="S56" i="107"/>
  <c r="S59" i="80"/>
  <c r="T94" i="48" s="1"/>
  <c r="S58" i="80"/>
  <c r="T93" i="48" s="1"/>
  <c r="S57" i="80"/>
  <c r="T92" i="48" s="1"/>
  <c r="S56" i="80"/>
  <c r="S59" i="84"/>
  <c r="Q94" i="48" s="1"/>
  <c r="S58" i="84"/>
  <c r="Q93" i="48" s="1"/>
  <c r="S57" i="84"/>
  <c r="S57" i="81"/>
  <c r="P92" i="48" s="1"/>
  <c r="S58" i="81"/>
  <c r="P93" i="48" s="1"/>
  <c r="S59" i="81"/>
  <c r="P94" i="48" s="1"/>
  <c r="S9" i="84"/>
  <c r="Q29" i="48" s="1"/>
  <c r="S8" i="84"/>
  <c r="Q28" i="48" s="1"/>
  <c r="S7" i="84"/>
  <c r="Q27" i="48" s="1"/>
  <c r="S6" i="84"/>
  <c r="Q26" i="48" s="1"/>
  <c r="F26" i="48" s="1"/>
  <c r="L26" i="48" s="1"/>
  <c r="Q25" i="48"/>
  <c r="S11" i="81"/>
  <c r="S10" i="81"/>
  <c r="P22" i="48" s="1"/>
  <c r="S9" i="81"/>
  <c r="P21" i="48" s="1"/>
  <c r="S8" i="81"/>
  <c r="P20" i="48" s="1"/>
  <c r="S7" i="81"/>
  <c r="P19" i="48" s="1"/>
  <c r="S6" i="81"/>
  <c r="P18" i="48" s="1"/>
  <c r="S5" i="81"/>
  <c r="P17" i="48" s="1"/>
  <c r="S4" i="81"/>
  <c r="P16" i="48" s="1"/>
  <c r="S3" i="81"/>
  <c r="S56" i="81"/>
  <c r="S8" i="83"/>
  <c r="N13" i="48" s="1"/>
  <c r="S7" i="83"/>
  <c r="S58" i="83"/>
  <c r="S57" i="83"/>
  <c r="S11" i="82"/>
  <c r="O23" i="48" s="1"/>
  <c r="S10" i="82"/>
  <c r="O22" i="48" s="1"/>
  <c r="S9" i="82"/>
  <c r="O21" i="48" s="1"/>
  <c r="S8" i="82"/>
  <c r="O20" i="48" s="1"/>
  <c r="S7" i="82"/>
  <c r="O19" i="48" s="1"/>
  <c r="S6" i="82"/>
  <c r="S5" i="82"/>
  <c r="O17" i="48" s="1"/>
  <c r="S4" i="82"/>
  <c r="O16" i="48" s="1"/>
  <c r="S3" i="82"/>
  <c r="O15" i="48" s="1"/>
  <c r="BB102" i="48"/>
  <c r="BB103" i="48"/>
  <c r="E307" i="9"/>
  <c r="E306" i="9"/>
  <c r="S19" i="100"/>
  <c r="AW189" i="48" s="1"/>
  <c r="F189" i="48" s="1"/>
  <c r="S13" i="100"/>
  <c r="AW182" i="48" s="1"/>
  <c r="F182" i="48" s="1"/>
  <c r="L182" i="48" s="1"/>
  <c r="S7" i="100"/>
  <c r="AW176" i="48" s="1"/>
  <c r="F176" i="48" s="1"/>
  <c r="L176" i="48" s="1"/>
  <c r="S19" i="99"/>
  <c r="S13" i="99"/>
  <c r="AT144" i="48" s="1"/>
  <c r="F144" i="48" s="1"/>
  <c r="S7" i="99"/>
  <c r="F190" i="48"/>
  <c r="L190" i="48" s="1"/>
  <c r="T581" i="9"/>
  <c r="T582" i="9"/>
  <c r="T583" i="9"/>
  <c r="T584" i="9"/>
  <c r="T562" i="9"/>
  <c r="T563" i="9"/>
  <c r="T564" i="9"/>
  <c r="T546" i="9"/>
  <c r="T547" i="9"/>
  <c r="T548" i="9"/>
  <c r="BD177" i="48"/>
  <c r="L177" i="48"/>
  <c r="M177" i="48" s="1"/>
  <c r="U476" i="9"/>
  <c r="T476" i="9"/>
  <c r="Q476" i="9"/>
  <c r="O476" i="9"/>
  <c r="N476" i="9"/>
  <c r="M476" i="9"/>
  <c r="L476" i="9"/>
  <c r="U475" i="9"/>
  <c r="T475" i="9"/>
  <c r="Q475" i="9"/>
  <c r="O475" i="9"/>
  <c r="N475" i="9"/>
  <c r="M475" i="9"/>
  <c r="L475" i="9"/>
  <c r="U474" i="9"/>
  <c r="T474" i="9"/>
  <c r="Q474" i="9"/>
  <c r="O474" i="9"/>
  <c r="N474" i="9"/>
  <c r="M474" i="9"/>
  <c r="L474" i="9"/>
  <c r="U457" i="9"/>
  <c r="T457" i="9"/>
  <c r="Q457" i="9"/>
  <c r="O457" i="9"/>
  <c r="N457" i="9"/>
  <c r="M457" i="9"/>
  <c r="L457" i="9"/>
  <c r="U456" i="9"/>
  <c r="T456" i="9"/>
  <c r="Q456" i="9"/>
  <c r="O456" i="9"/>
  <c r="N456" i="9"/>
  <c r="M456" i="9"/>
  <c r="L456" i="9"/>
  <c r="U455" i="9"/>
  <c r="T455" i="9"/>
  <c r="Q455" i="9"/>
  <c r="O455" i="9"/>
  <c r="N455" i="9"/>
  <c r="M455" i="9"/>
  <c r="L455" i="9"/>
  <c r="L458" i="9"/>
  <c r="M458" i="9"/>
  <c r="N458" i="9"/>
  <c r="O458" i="9"/>
  <c r="Q458" i="9"/>
  <c r="T458" i="9"/>
  <c r="U458" i="9"/>
  <c r="L459" i="9"/>
  <c r="M459" i="9"/>
  <c r="N459" i="9"/>
  <c r="O459" i="9"/>
  <c r="Q459" i="9"/>
  <c r="T459" i="9"/>
  <c r="U459" i="9"/>
  <c r="L460" i="9"/>
  <c r="M460" i="9"/>
  <c r="N460" i="9"/>
  <c r="O460" i="9"/>
  <c r="Q460" i="9"/>
  <c r="T460" i="9"/>
  <c r="U460" i="9"/>
  <c r="U441" i="9"/>
  <c r="T441" i="9"/>
  <c r="Q441" i="9"/>
  <c r="O441" i="9"/>
  <c r="N441" i="9"/>
  <c r="M441" i="9"/>
  <c r="L441" i="9"/>
  <c r="U440" i="9"/>
  <c r="T440" i="9"/>
  <c r="Q440" i="9"/>
  <c r="O440" i="9"/>
  <c r="N440" i="9"/>
  <c r="M440" i="9"/>
  <c r="L440" i="9"/>
  <c r="U439" i="9"/>
  <c r="T439" i="9"/>
  <c r="Q439" i="9"/>
  <c r="O439" i="9"/>
  <c r="N439" i="9"/>
  <c r="M439" i="9"/>
  <c r="L439" i="9"/>
  <c r="U583" i="9"/>
  <c r="Q583" i="9"/>
  <c r="O583" i="9"/>
  <c r="N583" i="9"/>
  <c r="M583" i="9"/>
  <c r="L583" i="9"/>
  <c r="U582" i="9"/>
  <c r="Q582" i="9"/>
  <c r="O582" i="9"/>
  <c r="N582" i="9"/>
  <c r="M582" i="9"/>
  <c r="L582" i="9"/>
  <c r="U581" i="9"/>
  <c r="Q581" i="9"/>
  <c r="O581" i="9"/>
  <c r="N581" i="9"/>
  <c r="M581" i="9"/>
  <c r="L581" i="9"/>
  <c r="U564" i="9"/>
  <c r="Q564" i="9"/>
  <c r="O564" i="9"/>
  <c r="N564" i="9"/>
  <c r="M564" i="9"/>
  <c r="L564" i="9"/>
  <c r="U563" i="9"/>
  <c r="Q563" i="9"/>
  <c r="O563" i="9"/>
  <c r="N563" i="9"/>
  <c r="M563" i="9"/>
  <c r="L563" i="9"/>
  <c r="U562" i="9"/>
  <c r="Q562" i="9"/>
  <c r="O562" i="9"/>
  <c r="N562" i="9"/>
  <c r="M562" i="9"/>
  <c r="L562" i="9"/>
  <c r="U548" i="9"/>
  <c r="Q548" i="9"/>
  <c r="O548" i="9"/>
  <c r="N548" i="9"/>
  <c r="M548" i="9"/>
  <c r="L548" i="9"/>
  <c r="U547" i="9"/>
  <c r="Q547" i="9"/>
  <c r="O547" i="9"/>
  <c r="N547" i="9"/>
  <c r="M547" i="9"/>
  <c r="L547" i="9"/>
  <c r="U546" i="9"/>
  <c r="Q546" i="9"/>
  <c r="O546" i="9"/>
  <c r="N546" i="9"/>
  <c r="M546" i="9"/>
  <c r="L546" i="9"/>
  <c r="S59" i="82"/>
  <c r="O94" i="48" s="1"/>
  <c r="S58" i="82"/>
  <c r="O93" i="48" s="1"/>
  <c r="S57" i="82"/>
  <c r="O92" i="48" s="1"/>
  <c r="S56" i="82"/>
  <c r="H28" i="15"/>
  <c r="R9" i="116"/>
  <c r="AY168" i="48" s="1"/>
  <c r="F168" i="48" s="1"/>
  <c r="L168" i="48" s="1"/>
  <c r="U12" i="116"/>
  <c r="U9" i="116"/>
  <c r="R6" i="116"/>
  <c r="AY167" i="48" s="1"/>
  <c r="F167" i="48" s="1"/>
  <c r="L167" i="48" s="1"/>
  <c r="U6" i="116"/>
  <c r="U3" i="116"/>
  <c r="R3" i="116"/>
  <c r="AY122" i="48" s="1"/>
  <c r="Q752" i="9"/>
  <c r="Q751" i="9"/>
  <c r="Q748" i="9"/>
  <c r="Q747" i="9"/>
  <c r="Q746" i="9"/>
  <c r="Q744" i="9"/>
  <c r="Q743" i="9"/>
  <c r="Q742" i="9"/>
  <c r="Q740" i="9"/>
  <c r="Q739" i="9"/>
  <c r="Q738" i="9"/>
  <c r="Q736" i="9"/>
  <c r="Q735" i="9"/>
  <c r="Q732" i="9"/>
  <c r="Q731" i="9"/>
  <c r="Q729" i="9"/>
  <c r="Q728" i="9"/>
  <c r="Q727" i="9"/>
  <c r="Q726" i="9"/>
  <c r="Q724" i="9"/>
  <c r="Q723" i="9"/>
  <c r="Q721" i="9"/>
  <c r="Q720" i="9"/>
  <c r="Q719" i="9"/>
  <c r="Q717" i="9"/>
  <c r="Q716" i="9"/>
  <c r="Q715" i="9"/>
  <c r="Q713" i="9"/>
  <c r="Q712" i="9"/>
  <c r="Q711" i="9"/>
  <c r="Q710" i="9"/>
  <c r="Q707" i="9"/>
  <c r="Q706" i="9"/>
  <c r="Q705" i="9"/>
  <c r="Q702" i="9"/>
  <c r="Q701" i="9"/>
  <c r="Q699" i="9"/>
  <c r="Q698" i="9"/>
  <c r="Q697" i="9"/>
  <c r="Q695" i="9"/>
  <c r="Q694" i="9"/>
  <c r="Q693" i="9"/>
  <c r="Q691" i="9"/>
  <c r="Q690" i="9"/>
  <c r="Q689" i="9"/>
  <c r="Q687" i="9"/>
  <c r="Q686" i="9"/>
  <c r="Q685" i="9"/>
  <c r="Q682" i="9"/>
  <c r="Q681" i="9"/>
  <c r="Q678" i="9"/>
  <c r="Q677" i="9"/>
  <c r="Q675" i="9"/>
  <c r="Q674" i="9"/>
  <c r="Q673" i="9"/>
  <c r="Q670" i="9"/>
  <c r="Q669" i="9"/>
  <c r="Q668" i="9"/>
  <c r="Q666" i="9"/>
  <c r="Q665" i="9"/>
  <c r="Q663" i="9"/>
  <c r="Q662" i="9"/>
  <c r="Q661" i="9"/>
  <c r="Q660" i="9"/>
  <c r="Q659" i="9"/>
  <c r="Q658" i="9"/>
  <c r="Q657" i="9"/>
  <c r="Q656" i="9"/>
  <c r="Q654" i="9"/>
  <c r="Q653" i="9"/>
  <c r="Q650" i="9"/>
  <c r="Q649" i="9"/>
  <c r="Q647" i="9"/>
  <c r="Q646" i="9"/>
  <c r="Q645" i="9"/>
  <c r="Q642" i="9"/>
  <c r="Q641" i="9"/>
  <c r="Q639" i="9"/>
  <c r="Q638" i="9"/>
  <c r="Q637" i="9"/>
  <c r="Q635" i="9"/>
  <c r="Q634" i="9"/>
  <c r="Q633" i="9"/>
  <c r="Q632" i="9"/>
  <c r="Q630" i="9"/>
  <c r="Q629" i="9"/>
  <c r="Q626" i="9"/>
  <c r="Q625" i="9"/>
  <c r="Q622" i="9"/>
  <c r="Q621" i="9"/>
  <c r="Q619" i="9"/>
  <c r="Q610" i="9"/>
  <c r="Q609" i="9"/>
  <c r="Q608" i="9"/>
  <c r="Q606" i="9"/>
  <c r="Q605" i="9"/>
  <c r="Q603" i="9"/>
  <c r="Q602" i="9"/>
  <c r="Q601" i="9"/>
  <c r="Q599" i="9"/>
  <c r="Q598" i="9"/>
  <c r="Q597" i="9"/>
  <c r="Q596" i="9"/>
  <c r="Q594" i="9"/>
  <c r="Q593" i="9"/>
  <c r="Q590" i="9"/>
  <c r="Q589" i="9"/>
  <c r="Q588" i="9"/>
  <c r="Q586" i="9"/>
  <c r="Q585" i="9"/>
  <c r="Q580" i="9"/>
  <c r="Q579" i="9"/>
  <c r="Q578" i="9"/>
  <c r="Q575" i="9"/>
  <c r="Q574" i="9"/>
  <c r="Q573" i="9"/>
  <c r="Q571" i="9"/>
  <c r="Q570" i="9"/>
  <c r="Q568" i="9"/>
  <c r="Q567" i="9"/>
  <c r="Q566" i="9"/>
  <c r="Q561" i="9"/>
  <c r="Q560" i="9"/>
  <c r="Q559" i="9"/>
  <c r="Q556" i="9"/>
  <c r="Q555" i="9"/>
  <c r="Q552" i="9"/>
  <c r="Q551" i="9"/>
  <c r="Q549" i="9"/>
  <c r="Q545" i="9"/>
  <c r="Q544" i="9"/>
  <c r="Q542" i="9"/>
  <c r="Q541" i="9"/>
  <c r="Q540" i="9"/>
  <c r="Q539" i="9"/>
  <c r="Q537" i="9"/>
  <c r="Q536" i="9"/>
  <c r="Q534" i="9"/>
  <c r="Q533" i="9"/>
  <c r="Q532" i="9"/>
  <c r="Q530" i="9"/>
  <c r="Q529" i="9"/>
  <c r="Q528" i="9"/>
  <c r="Q522" i="9"/>
  <c r="Q520" i="9"/>
  <c r="Q519" i="9"/>
  <c r="Q518" i="9"/>
  <c r="Q516" i="9"/>
  <c r="Q515" i="9"/>
  <c r="Q514" i="9"/>
  <c r="Q512" i="9"/>
  <c r="Q511" i="9"/>
  <c r="Q510" i="9"/>
  <c r="Q509" i="9"/>
  <c r="Q507" i="9"/>
  <c r="Q506" i="9"/>
  <c r="Q503" i="9"/>
  <c r="Q502" i="9"/>
  <c r="Q500" i="9"/>
  <c r="Q499" i="9"/>
  <c r="Q498" i="9"/>
  <c r="Q495" i="9"/>
  <c r="Q494" i="9"/>
  <c r="Q492" i="9"/>
  <c r="Q491" i="9"/>
  <c r="Q490" i="9"/>
  <c r="Q489" i="9"/>
  <c r="Q488" i="9"/>
  <c r="Q487" i="9"/>
  <c r="Q486" i="9"/>
  <c r="Q485" i="9"/>
  <c r="Q484" i="9"/>
  <c r="Q483" i="9"/>
  <c r="Q482" i="9"/>
  <c r="Q481" i="9"/>
  <c r="Q480" i="9"/>
  <c r="Q479" i="9"/>
  <c r="Q478" i="9"/>
  <c r="Q473" i="9"/>
  <c r="Q472" i="9"/>
  <c r="Q471" i="9"/>
  <c r="Q469" i="9"/>
  <c r="Q468" i="9"/>
  <c r="Q467" i="9"/>
  <c r="Q465" i="9"/>
  <c r="Q464" i="9"/>
  <c r="Q463" i="9"/>
  <c r="Q461" i="9"/>
  <c r="Q454" i="9"/>
  <c r="Q453" i="9"/>
  <c r="Q452" i="9"/>
  <c r="Q450" i="9"/>
  <c r="Q449" i="9"/>
  <c r="Q448" i="9"/>
  <c r="Q446" i="9"/>
  <c r="Q445" i="9"/>
  <c r="Q444" i="9"/>
  <c r="Q442" i="9"/>
  <c r="Q438" i="9"/>
  <c r="Q437" i="9"/>
  <c r="Q436" i="9"/>
  <c r="Q435" i="9"/>
  <c r="Q434" i="9"/>
  <c r="Q433" i="9"/>
  <c r="Q432" i="9"/>
  <c r="Q431" i="9"/>
  <c r="Q430" i="9"/>
  <c r="Q429" i="9"/>
  <c r="Q427" i="9"/>
  <c r="Q426" i="9"/>
  <c r="Q425" i="9"/>
  <c r="Q423" i="9"/>
  <c r="Q421" i="9"/>
  <c r="Q420" i="9"/>
  <c r="Q419" i="9"/>
  <c r="Q418" i="9"/>
  <c r="Q417" i="9"/>
  <c r="Q416" i="9"/>
  <c r="Q414" i="9"/>
  <c r="Q413" i="9"/>
  <c r="Q412" i="9"/>
  <c r="Q410" i="9"/>
  <c r="Q409" i="9"/>
  <c r="Q408" i="9"/>
  <c r="Q406" i="9"/>
  <c r="Q405" i="9"/>
  <c r="Q404" i="9"/>
  <c r="Q400" i="9"/>
  <c r="Q399" i="9"/>
  <c r="Q397" i="9"/>
  <c r="Q396" i="9"/>
  <c r="Q395" i="9"/>
  <c r="Q391" i="9"/>
  <c r="Q390" i="9"/>
  <c r="Q388" i="9"/>
  <c r="Q386" i="9"/>
  <c r="Q385" i="9"/>
  <c r="Q382" i="9"/>
  <c r="Q381" i="9"/>
  <c r="Q379" i="9"/>
  <c r="Q378" i="9"/>
  <c r="Q376" i="9"/>
  <c r="Q373" i="9"/>
  <c r="Q371" i="9"/>
  <c r="Q368" i="9"/>
  <c r="Q367" i="9"/>
  <c r="Q365" i="9"/>
  <c r="Q364" i="9"/>
  <c r="Q362" i="9"/>
  <c r="Q361" i="9"/>
  <c r="Q359" i="9"/>
  <c r="Q358" i="9"/>
  <c r="Q355" i="9"/>
  <c r="Q354" i="9"/>
  <c r="Q350" i="9"/>
  <c r="Q348" i="9"/>
  <c r="Q345" i="9"/>
  <c r="Q343" i="9"/>
  <c r="Q340" i="9"/>
  <c r="Q339" i="9"/>
  <c r="Q338" i="9"/>
  <c r="Q336" i="9"/>
  <c r="Q335" i="9"/>
  <c r="Q334" i="9"/>
  <c r="Q329" i="9"/>
  <c r="Q325" i="9"/>
  <c r="Q324" i="9"/>
  <c r="Q323" i="9"/>
  <c r="Q321" i="9"/>
  <c r="Q320" i="9"/>
  <c r="Q319" i="9"/>
  <c r="Q315" i="9"/>
  <c r="Q314" i="9"/>
  <c r="Q313" i="9"/>
  <c r="Q312" i="9"/>
  <c r="Q311" i="9"/>
  <c r="Q310" i="9"/>
  <c r="Q307" i="9"/>
  <c r="Q306" i="9"/>
  <c r="Q305" i="9"/>
  <c r="Q304" i="9"/>
  <c r="Q303" i="9"/>
  <c r="Q302" i="9"/>
  <c r="Q299" i="9"/>
  <c r="Q298" i="9"/>
  <c r="Q295" i="9"/>
  <c r="Q294" i="9"/>
  <c r="Q291" i="9"/>
  <c r="Q290" i="9"/>
  <c r="Q289" i="9"/>
  <c r="Q288" i="9"/>
  <c r="Q286" i="9"/>
  <c r="Q285" i="9"/>
  <c r="Q284" i="9"/>
  <c r="Q283" i="9"/>
  <c r="Q282" i="9"/>
  <c r="Q281" i="9"/>
  <c r="Q280" i="9"/>
  <c r="Q279" i="9"/>
  <c r="Q277" i="9"/>
  <c r="Q276" i="9"/>
  <c r="Q275" i="9"/>
  <c r="Q274" i="9"/>
  <c r="Q273" i="9"/>
  <c r="Q272" i="9"/>
  <c r="Q271" i="9"/>
  <c r="Q268" i="9"/>
  <c r="Q267" i="9"/>
  <c r="Q265" i="9"/>
  <c r="Q264" i="9"/>
  <c r="Q263" i="9"/>
  <c r="Q262" i="9"/>
  <c r="Q261" i="9"/>
  <c r="Q260" i="9"/>
  <c r="Q259" i="9"/>
  <c r="Q257" i="9"/>
  <c r="Q256" i="9"/>
  <c r="Q255" i="9"/>
  <c r="Q254" i="9"/>
  <c r="Q252" i="9"/>
  <c r="Q251" i="9"/>
  <c r="Q250" i="9"/>
  <c r="Q249" i="9"/>
  <c r="Q248" i="9"/>
  <c r="Q247" i="9"/>
  <c r="Q246" i="9"/>
  <c r="Q245" i="9"/>
  <c r="Q244" i="9"/>
  <c r="Q243" i="9"/>
  <c r="Q242" i="9"/>
  <c r="Q241" i="9"/>
  <c r="Q240" i="9"/>
  <c r="Q239" i="9"/>
  <c r="Q237" i="9"/>
  <c r="Q235" i="9"/>
  <c r="Q232" i="9"/>
  <c r="Q231" i="9"/>
  <c r="Q227" i="9"/>
  <c r="Q226" i="9"/>
  <c r="Q223" i="9"/>
  <c r="Q222" i="9"/>
  <c r="Q221" i="9"/>
  <c r="Q218" i="9"/>
  <c r="Q217" i="9"/>
  <c r="Q216" i="9"/>
  <c r="Q215" i="9"/>
  <c r="Q213" i="9"/>
  <c r="Q212" i="9"/>
  <c r="Q211" i="9"/>
  <c r="Q208" i="9"/>
  <c r="Q207" i="9"/>
  <c r="Q206" i="9"/>
  <c r="Q197" i="9"/>
  <c r="Q196" i="9"/>
  <c r="Q193" i="9"/>
  <c r="Q192" i="9"/>
  <c r="Q191" i="9"/>
  <c r="Q188" i="9"/>
  <c r="Q187" i="9"/>
  <c r="Q186" i="9"/>
  <c r="Q185" i="9"/>
  <c r="Q182" i="9"/>
  <c r="Q181" i="9"/>
  <c r="Q177" i="9"/>
  <c r="Q176" i="9"/>
  <c r="Q175" i="9"/>
  <c r="Q173" i="9"/>
  <c r="Q172" i="9"/>
  <c r="Q171" i="9"/>
  <c r="Q168" i="9"/>
  <c r="Q167" i="9"/>
  <c r="Q166" i="9"/>
  <c r="Q162" i="9"/>
  <c r="Q161" i="9"/>
  <c r="Q160" i="9"/>
  <c r="Q158" i="9"/>
  <c r="Q157" i="9"/>
  <c r="Q156" i="9"/>
  <c r="Q155" i="9"/>
  <c r="Q152" i="9"/>
  <c r="Q151" i="9"/>
  <c r="Q148" i="9"/>
  <c r="Q147" i="9"/>
  <c r="Q146" i="9"/>
  <c r="Q142" i="9"/>
  <c r="Q141" i="9"/>
  <c r="Q140" i="9"/>
  <c r="Q138" i="9"/>
  <c r="Q137" i="9"/>
  <c r="Q136" i="9"/>
  <c r="Q132" i="9"/>
  <c r="Q131" i="9"/>
  <c r="Q130" i="9"/>
  <c r="Q128" i="9"/>
  <c r="Q127" i="9"/>
  <c r="Q126" i="9"/>
  <c r="Q125" i="9"/>
  <c r="Q123" i="9"/>
  <c r="Q122" i="9"/>
  <c r="Q121" i="9"/>
  <c r="Q120" i="9"/>
  <c r="Q117" i="9"/>
  <c r="Q116" i="9"/>
  <c r="Q112" i="9"/>
  <c r="Q111" i="9"/>
  <c r="Q105" i="9"/>
  <c r="Q103" i="9"/>
  <c r="Q102" i="9"/>
  <c r="Q101" i="9"/>
  <c r="Q98" i="9"/>
  <c r="Q97" i="9"/>
  <c r="Q96" i="9"/>
  <c r="Q93" i="9"/>
  <c r="Q92" i="9"/>
  <c r="Q91" i="9"/>
  <c r="Q88" i="9"/>
  <c r="Q87" i="9"/>
  <c r="Q86" i="9"/>
  <c r="Q83" i="9"/>
  <c r="Q82" i="9"/>
  <c r="Q81" i="9"/>
  <c r="Q72" i="9"/>
  <c r="Q71" i="9"/>
  <c r="Q70" i="9"/>
  <c r="Q67" i="9"/>
  <c r="Q66" i="9"/>
  <c r="Q65" i="9"/>
  <c r="Q62" i="9"/>
  <c r="Q61" i="9"/>
  <c r="Q60" i="9"/>
  <c r="Q58" i="9"/>
  <c r="Q57" i="9"/>
  <c r="Q56" i="9"/>
  <c r="Q53" i="9"/>
  <c r="Q52" i="9"/>
  <c r="Q51" i="9"/>
  <c r="Q48" i="9"/>
  <c r="Q47" i="9"/>
  <c r="Q46" i="9"/>
  <c r="Q42" i="9"/>
  <c r="Q41" i="9"/>
  <c r="Q38" i="9"/>
  <c r="Q37" i="9"/>
  <c r="Q36" i="9"/>
  <c r="Q35" i="9"/>
  <c r="Q33" i="9"/>
  <c r="Q32" i="9"/>
  <c r="Q31" i="9"/>
  <c r="Q25" i="9"/>
  <c r="Q22" i="9"/>
  <c r="Q21" i="9"/>
  <c r="Q20" i="9"/>
  <c r="Q17" i="9"/>
  <c r="Q16" i="9"/>
  <c r="BC246" i="48"/>
  <c r="F246" i="48" s="1"/>
  <c r="L246" i="48" s="1"/>
  <c r="BC247" i="48"/>
  <c r="F247" i="48" s="1"/>
  <c r="L247" i="48" s="1"/>
  <c r="BC248" i="48"/>
  <c r="F248" i="48" s="1"/>
  <c r="L248" i="48" s="1"/>
  <c r="BC245" i="48"/>
  <c r="F245" i="48" s="1"/>
  <c r="L245" i="48" s="1"/>
  <c r="BC240" i="48"/>
  <c r="F240" i="48" s="1"/>
  <c r="L240" i="48" s="1"/>
  <c r="E678" i="9"/>
  <c r="E679" i="9"/>
  <c r="E680" i="9"/>
  <c r="E681" i="9"/>
  <c r="E682" i="9"/>
  <c r="E683" i="9"/>
  <c r="P34" i="15"/>
  <c r="D28" i="15"/>
  <c r="L34" i="15"/>
  <c r="D34" i="15"/>
  <c r="F169" i="48"/>
  <c r="L169" i="48" s="1"/>
  <c r="M171" i="48"/>
  <c r="L170" i="48"/>
  <c r="M170" i="48" s="1"/>
  <c r="BD166" i="48"/>
  <c r="L520" i="9"/>
  <c r="M520" i="9"/>
  <c r="N520" i="9"/>
  <c r="O520" i="9"/>
  <c r="T520" i="9"/>
  <c r="U520" i="9"/>
  <c r="L521" i="9"/>
  <c r="M521" i="9"/>
  <c r="N521" i="9"/>
  <c r="O521" i="9"/>
  <c r="Q521" i="9"/>
  <c r="T521" i="9"/>
  <c r="U521" i="9"/>
  <c r="L522" i="9"/>
  <c r="M522" i="9"/>
  <c r="N522" i="9"/>
  <c r="O522" i="9"/>
  <c r="T522" i="9"/>
  <c r="U522" i="9"/>
  <c r="L524" i="9"/>
  <c r="M524" i="9"/>
  <c r="N524" i="9"/>
  <c r="O524" i="9"/>
  <c r="Q524" i="9"/>
  <c r="T524" i="9"/>
  <c r="U524" i="9"/>
  <c r="L525" i="9"/>
  <c r="M525" i="9"/>
  <c r="N525" i="9"/>
  <c r="O525" i="9"/>
  <c r="Q525" i="9"/>
  <c r="T525" i="9"/>
  <c r="U525" i="9"/>
  <c r="L526" i="9"/>
  <c r="M526" i="9"/>
  <c r="N526" i="9"/>
  <c r="O526" i="9"/>
  <c r="Q526" i="9"/>
  <c r="T526" i="9"/>
  <c r="U526" i="9"/>
  <c r="L528" i="9"/>
  <c r="M528" i="9"/>
  <c r="N528" i="9"/>
  <c r="O528" i="9"/>
  <c r="T528" i="9"/>
  <c r="U528" i="9"/>
  <c r="L529" i="9"/>
  <c r="M529" i="9"/>
  <c r="N529" i="9"/>
  <c r="O529" i="9"/>
  <c r="T529" i="9"/>
  <c r="U529" i="9"/>
  <c r="L530" i="9"/>
  <c r="M530" i="9"/>
  <c r="N530" i="9"/>
  <c r="O530" i="9"/>
  <c r="T530" i="9"/>
  <c r="U530" i="9"/>
  <c r="L531" i="9"/>
  <c r="M531" i="9"/>
  <c r="N531" i="9"/>
  <c r="O531" i="9"/>
  <c r="Q531" i="9"/>
  <c r="T531" i="9"/>
  <c r="U531" i="9"/>
  <c r="L532" i="9"/>
  <c r="M532" i="9"/>
  <c r="N532" i="9"/>
  <c r="O532" i="9"/>
  <c r="T532" i="9"/>
  <c r="U532" i="9"/>
  <c r="L493" i="9"/>
  <c r="M493" i="9"/>
  <c r="N493" i="9"/>
  <c r="O493" i="9"/>
  <c r="Q493" i="9"/>
  <c r="T493" i="9"/>
  <c r="U493" i="9"/>
  <c r="L494" i="9"/>
  <c r="M494" i="9"/>
  <c r="N494" i="9"/>
  <c r="O494" i="9"/>
  <c r="T494" i="9"/>
  <c r="U494" i="9"/>
  <c r="B155" i="12"/>
  <c r="B14" i="116" s="1"/>
  <c r="B156" i="12"/>
  <c r="B19" i="116" s="1"/>
  <c r="B157" i="12"/>
  <c r="B24" i="116" s="1"/>
  <c r="B158" i="12"/>
  <c r="B59" i="15" s="1"/>
  <c r="B159" i="12"/>
  <c r="B22" i="16" s="1"/>
  <c r="B154" i="12"/>
  <c r="K2" i="116" s="1"/>
  <c r="M6" i="116"/>
  <c r="S86" i="115"/>
  <c r="AR60" i="48" s="1"/>
  <c r="S85" i="115"/>
  <c r="AR59" i="48" s="1"/>
  <c r="AR44" i="48"/>
  <c r="AR43" i="48"/>
  <c r="S82" i="115"/>
  <c r="AR56" i="48" s="1"/>
  <c r="AR122" i="48"/>
  <c r="AR121" i="48"/>
  <c r="AR69" i="48"/>
  <c r="AR67" i="48"/>
  <c r="AR71" i="48"/>
  <c r="AR68" i="48"/>
  <c r="AR66" i="48"/>
  <c r="I15" i="115"/>
  <c r="I14" i="115"/>
  <c r="N8" i="115"/>
  <c r="AR21" i="48"/>
  <c r="AR20" i="48"/>
  <c r="AR19" i="48"/>
  <c r="S82" i="114"/>
  <c r="AP56" i="48" s="1"/>
  <c r="S86" i="114"/>
  <c r="AP60" i="48" s="1"/>
  <c r="S85" i="114"/>
  <c r="AP59" i="48" s="1"/>
  <c r="S83" i="114"/>
  <c r="AP57" i="48" s="1"/>
  <c r="S78" i="114"/>
  <c r="S77" i="114"/>
  <c r="AP130" i="48"/>
  <c r="AP129" i="48"/>
  <c r="S73" i="114"/>
  <c r="S72" i="114"/>
  <c r="AP126" i="48"/>
  <c r="AP125" i="48"/>
  <c r="AP121" i="48"/>
  <c r="AP120" i="48"/>
  <c r="AP67" i="48"/>
  <c r="AP71" i="48"/>
  <c r="AP70" i="48"/>
  <c r="AP68" i="48"/>
  <c r="AP66" i="48"/>
  <c r="I15" i="114"/>
  <c r="I14" i="114"/>
  <c r="N8" i="114"/>
  <c r="AP21" i="48"/>
  <c r="AP20" i="48"/>
  <c r="S86" i="113"/>
  <c r="AN60" i="48" s="1"/>
  <c r="S85" i="113"/>
  <c r="AN59" i="48" s="1"/>
  <c r="S81" i="113"/>
  <c r="S80" i="113"/>
  <c r="AN44" i="48"/>
  <c r="S82" i="113"/>
  <c r="U4" i="113"/>
  <c r="U3" i="113"/>
  <c r="AN71" i="48"/>
  <c r="AN69" i="48"/>
  <c r="AN68" i="48"/>
  <c r="I15" i="113"/>
  <c r="I14" i="113"/>
  <c r="N8" i="113"/>
  <c r="E637" i="9"/>
  <c r="H1" i="8"/>
  <c r="B273" i="8"/>
  <c r="M273" i="9" s="1"/>
  <c r="B273" i="9" s="1"/>
  <c r="C2" i="9"/>
  <c r="C4" i="9"/>
  <c r="C6" i="9"/>
  <c r="T10" i="9"/>
  <c r="I10" i="9" s="1"/>
  <c r="J10" i="48" s="1"/>
  <c r="U10" i="9"/>
  <c r="J10" i="9" s="1"/>
  <c r="K10" i="48" s="1"/>
  <c r="L16" i="9"/>
  <c r="M16" i="9"/>
  <c r="N16" i="9"/>
  <c r="O16" i="9"/>
  <c r="T16" i="9"/>
  <c r="U16" i="9"/>
  <c r="L17" i="9"/>
  <c r="M17" i="9"/>
  <c r="N17" i="9"/>
  <c r="O17" i="9"/>
  <c r="T17" i="9"/>
  <c r="U17" i="9"/>
  <c r="L18" i="9"/>
  <c r="M18" i="9"/>
  <c r="N18" i="9"/>
  <c r="O18" i="9"/>
  <c r="Q18" i="9"/>
  <c r="T18" i="9"/>
  <c r="U18" i="9"/>
  <c r="L20" i="9"/>
  <c r="M20" i="9"/>
  <c r="N20" i="9"/>
  <c r="O20" i="9"/>
  <c r="T20" i="9"/>
  <c r="U20" i="9"/>
  <c r="L21" i="9"/>
  <c r="M21" i="9"/>
  <c r="N21" i="9"/>
  <c r="O21" i="9"/>
  <c r="T21" i="9"/>
  <c r="U21" i="9"/>
  <c r="L22" i="9"/>
  <c r="M22" i="9"/>
  <c r="N22" i="9"/>
  <c r="O22" i="9"/>
  <c r="T22" i="9"/>
  <c r="U22" i="9"/>
  <c r="L23" i="9"/>
  <c r="M23" i="9"/>
  <c r="N23" i="9"/>
  <c r="O23" i="9"/>
  <c r="Q23" i="9"/>
  <c r="T23" i="9"/>
  <c r="U23" i="9"/>
  <c r="L25" i="9"/>
  <c r="M25" i="9"/>
  <c r="N25" i="9"/>
  <c r="O25" i="9"/>
  <c r="T25" i="9"/>
  <c r="U25" i="9"/>
  <c r="L31" i="9"/>
  <c r="M31" i="9"/>
  <c r="N31" i="9"/>
  <c r="O31" i="9"/>
  <c r="T31" i="9"/>
  <c r="U31" i="9"/>
  <c r="L32" i="9"/>
  <c r="M32" i="9"/>
  <c r="N32" i="9"/>
  <c r="O32" i="9"/>
  <c r="T32" i="9"/>
  <c r="U32" i="9"/>
  <c r="L33" i="9"/>
  <c r="M33" i="9"/>
  <c r="N33" i="9"/>
  <c r="O33" i="9"/>
  <c r="T33" i="9"/>
  <c r="U33" i="9"/>
  <c r="L35" i="9"/>
  <c r="M35" i="9"/>
  <c r="N35" i="9"/>
  <c r="O35" i="9"/>
  <c r="T35" i="9"/>
  <c r="U35" i="9"/>
  <c r="L36" i="9"/>
  <c r="M36" i="9"/>
  <c r="N36" i="9"/>
  <c r="O36" i="9"/>
  <c r="T36" i="9"/>
  <c r="U36" i="9"/>
  <c r="L37" i="9"/>
  <c r="M37" i="9"/>
  <c r="N37" i="9"/>
  <c r="O37" i="9"/>
  <c r="T37" i="9"/>
  <c r="U37" i="9"/>
  <c r="L38" i="9"/>
  <c r="M38" i="9"/>
  <c r="N38" i="9"/>
  <c r="O38" i="9"/>
  <c r="T38" i="9"/>
  <c r="U38" i="9"/>
  <c r="L40" i="9"/>
  <c r="M40" i="9"/>
  <c r="N40" i="9"/>
  <c r="O40" i="9"/>
  <c r="Q40" i="9"/>
  <c r="T40" i="9"/>
  <c r="U40" i="9"/>
  <c r="L41" i="9"/>
  <c r="M41" i="9"/>
  <c r="N41" i="9"/>
  <c r="O41" i="9"/>
  <c r="T41" i="9"/>
  <c r="U41" i="9"/>
  <c r="L42" i="9"/>
  <c r="M42" i="9"/>
  <c r="N42" i="9"/>
  <c r="O42" i="9"/>
  <c r="T42" i="9"/>
  <c r="U42" i="9"/>
  <c r="L43" i="9"/>
  <c r="M43" i="9"/>
  <c r="N43" i="9"/>
  <c r="O43" i="9"/>
  <c r="Q43" i="9"/>
  <c r="T43" i="9"/>
  <c r="U43" i="9"/>
  <c r="L45" i="9"/>
  <c r="M45" i="9"/>
  <c r="N45" i="9"/>
  <c r="O45" i="9"/>
  <c r="Q45" i="9"/>
  <c r="T45" i="9"/>
  <c r="U45" i="9"/>
  <c r="L46" i="9"/>
  <c r="M46" i="9"/>
  <c r="N46" i="9"/>
  <c r="O46" i="9"/>
  <c r="T46" i="9"/>
  <c r="U46" i="9"/>
  <c r="L47" i="9"/>
  <c r="M47" i="9"/>
  <c r="N47" i="9"/>
  <c r="O47" i="9"/>
  <c r="T47" i="9"/>
  <c r="U47" i="9"/>
  <c r="L48" i="9"/>
  <c r="M48" i="9"/>
  <c r="N48" i="9"/>
  <c r="O48" i="9"/>
  <c r="T48" i="9"/>
  <c r="U48" i="9"/>
  <c r="L50" i="9"/>
  <c r="M50" i="9"/>
  <c r="N50" i="9"/>
  <c r="O50" i="9"/>
  <c r="Q50" i="9"/>
  <c r="T50" i="9"/>
  <c r="U50" i="9"/>
  <c r="L51" i="9"/>
  <c r="M51" i="9"/>
  <c r="N51" i="9"/>
  <c r="O51" i="9"/>
  <c r="T51" i="9"/>
  <c r="U51" i="9"/>
  <c r="L52" i="9"/>
  <c r="M52" i="9"/>
  <c r="N52" i="9"/>
  <c r="O52" i="9"/>
  <c r="T52" i="9"/>
  <c r="U52" i="9"/>
  <c r="L53" i="9"/>
  <c r="M53" i="9"/>
  <c r="N53" i="9"/>
  <c r="O53" i="9"/>
  <c r="T53" i="9"/>
  <c r="U53" i="9"/>
  <c r="L55" i="9"/>
  <c r="M55" i="9"/>
  <c r="N55" i="9"/>
  <c r="O55" i="9"/>
  <c r="Q55" i="9"/>
  <c r="T55" i="9"/>
  <c r="U55" i="9"/>
  <c r="L56" i="9"/>
  <c r="M56" i="9"/>
  <c r="N56" i="9"/>
  <c r="O56" i="9"/>
  <c r="T56" i="9"/>
  <c r="U56" i="9"/>
  <c r="L57" i="9"/>
  <c r="M57" i="9"/>
  <c r="N57" i="9"/>
  <c r="O57" i="9"/>
  <c r="T57" i="9"/>
  <c r="U57" i="9"/>
  <c r="L58" i="9"/>
  <c r="M58" i="9"/>
  <c r="N58" i="9"/>
  <c r="O58" i="9"/>
  <c r="T58" i="9"/>
  <c r="U58" i="9"/>
  <c r="L60" i="9"/>
  <c r="M60" i="9"/>
  <c r="N60" i="9"/>
  <c r="O60" i="9"/>
  <c r="T60" i="9"/>
  <c r="U60" i="9"/>
  <c r="L61" i="9"/>
  <c r="M61" i="9"/>
  <c r="N61" i="9"/>
  <c r="O61" i="9"/>
  <c r="T61" i="9"/>
  <c r="U61" i="9"/>
  <c r="L62" i="9"/>
  <c r="M62" i="9"/>
  <c r="N62" i="9"/>
  <c r="O62" i="9"/>
  <c r="T62" i="9"/>
  <c r="U62" i="9"/>
  <c r="L63" i="9"/>
  <c r="M63" i="9"/>
  <c r="N63" i="9"/>
  <c r="O63" i="9"/>
  <c r="Q63" i="9"/>
  <c r="T63" i="9"/>
  <c r="U63" i="9"/>
  <c r="L65" i="9"/>
  <c r="M65" i="9"/>
  <c r="N65" i="9"/>
  <c r="O65" i="9"/>
  <c r="T65" i="9"/>
  <c r="U65" i="9"/>
  <c r="L66" i="9"/>
  <c r="M66" i="9"/>
  <c r="N66" i="9"/>
  <c r="O66" i="9"/>
  <c r="T66" i="9"/>
  <c r="U66" i="9"/>
  <c r="L67" i="9"/>
  <c r="M67" i="9"/>
  <c r="N67" i="9"/>
  <c r="O67" i="9"/>
  <c r="T67" i="9"/>
  <c r="U67" i="9"/>
  <c r="L68" i="9"/>
  <c r="M68" i="9"/>
  <c r="N68" i="9"/>
  <c r="O68" i="9"/>
  <c r="Q68" i="9"/>
  <c r="T68" i="9"/>
  <c r="U68" i="9"/>
  <c r="L70" i="9"/>
  <c r="M70" i="9"/>
  <c r="N70" i="9"/>
  <c r="O70" i="9"/>
  <c r="T70" i="9"/>
  <c r="U70" i="9"/>
  <c r="L71" i="9"/>
  <c r="M71" i="9"/>
  <c r="N71" i="9"/>
  <c r="O71" i="9"/>
  <c r="T71" i="9"/>
  <c r="U71" i="9"/>
  <c r="L72" i="9"/>
  <c r="M72" i="9"/>
  <c r="N72" i="9"/>
  <c r="O72" i="9"/>
  <c r="T72" i="9"/>
  <c r="U72" i="9"/>
  <c r="L73" i="9"/>
  <c r="M73" i="9"/>
  <c r="N73" i="9"/>
  <c r="O73" i="9"/>
  <c r="Q73" i="9"/>
  <c r="T73" i="9"/>
  <c r="U73" i="9"/>
  <c r="L75" i="9"/>
  <c r="M75" i="9"/>
  <c r="N75" i="9"/>
  <c r="O75" i="9"/>
  <c r="Q75" i="9"/>
  <c r="T75" i="9"/>
  <c r="U75" i="9"/>
  <c r="L81" i="9"/>
  <c r="M81" i="9"/>
  <c r="N81" i="9"/>
  <c r="O81" i="9"/>
  <c r="T81" i="9"/>
  <c r="U81" i="9"/>
  <c r="L82" i="9"/>
  <c r="M82" i="9"/>
  <c r="N82" i="9"/>
  <c r="O82" i="9"/>
  <c r="T82" i="9"/>
  <c r="U82" i="9"/>
  <c r="L83" i="9"/>
  <c r="M83" i="9"/>
  <c r="N83" i="9"/>
  <c r="O83" i="9"/>
  <c r="T83" i="9"/>
  <c r="U83" i="9"/>
  <c r="L85" i="9"/>
  <c r="M85" i="9"/>
  <c r="N85" i="9"/>
  <c r="O85" i="9"/>
  <c r="Q85" i="9"/>
  <c r="T85" i="9"/>
  <c r="U85" i="9"/>
  <c r="L86" i="9"/>
  <c r="M86" i="9"/>
  <c r="N86" i="9"/>
  <c r="O86" i="9"/>
  <c r="T86" i="9"/>
  <c r="U86" i="9"/>
  <c r="L87" i="9"/>
  <c r="M87" i="9"/>
  <c r="N87" i="9"/>
  <c r="O87" i="9"/>
  <c r="T87" i="9"/>
  <c r="U87" i="9"/>
  <c r="L88" i="9"/>
  <c r="M88" i="9"/>
  <c r="N88" i="9"/>
  <c r="O88" i="9"/>
  <c r="T88" i="9"/>
  <c r="U88" i="9"/>
  <c r="L90" i="9"/>
  <c r="M90" i="9"/>
  <c r="N90" i="9"/>
  <c r="O90" i="9"/>
  <c r="Q90" i="9"/>
  <c r="T90" i="9"/>
  <c r="U90" i="9"/>
  <c r="L91" i="9"/>
  <c r="M91" i="9"/>
  <c r="N91" i="9"/>
  <c r="O91" i="9"/>
  <c r="T91" i="9"/>
  <c r="U91" i="9"/>
  <c r="L92" i="9"/>
  <c r="M92" i="9"/>
  <c r="N92" i="9"/>
  <c r="O92" i="9"/>
  <c r="T92" i="9"/>
  <c r="U92" i="9"/>
  <c r="L93" i="9"/>
  <c r="M93" i="9"/>
  <c r="N93" i="9"/>
  <c r="O93" i="9"/>
  <c r="T93" i="9"/>
  <c r="U93" i="9"/>
  <c r="L95" i="9"/>
  <c r="M95" i="9"/>
  <c r="N95" i="9"/>
  <c r="O95" i="9"/>
  <c r="Q95" i="9"/>
  <c r="T95" i="9"/>
  <c r="U95" i="9"/>
  <c r="L96" i="9"/>
  <c r="M96" i="9"/>
  <c r="N96" i="9"/>
  <c r="O96" i="9"/>
  <c r="T96" i="9"/>
  <c r="U96" i="9"/>
  <c r="L97" i="9"/>
  <c r="M97" i="9"/>
  <c r="N97" i="9"/>
  <c r="O97" i="9"/>
  <c r="T97" i="9"/>
  <c r="U97" i="9"/>
  <c r="L98" i="9"/>
  <c r="M98" i="9"/>
  <c r="N98" i="9"/>
  <c r="O98" i="9"/>
  <c r="T98" i="9"/>
  <c r="U98" i="9"/>
  <c r="L100" i="9"/>
  <c r="M100" i="9"/>
  <c r="N100" i="9"/>
  <c r="O100" i="9"/>
  <c r="Q100" i="9"/>
  <c r="T100" i="9"/>
  <c r="U100" i="9"/>
  <c r="L101" i="9"/>
  <c r="M101" i="9"/>
  <c r="N101" i="9"/>
  <c r="O101" i="9"/>
  <c r="T101" i="9"/>
  <c r="U101" i="9"/>
  <c r="L102" i="9"/>
  <c r="M102" i="9"/>
  <c r="N102" i="9"/>
  <c r="O102" i="9"/>
  <c r="T102" i="9"/>
  <c r="U102" i="9"/>
  <c r="L103" i="9"/>
  <c r="M103" i="9"/>
  <c r="N103" i="9"/>
  <c r="O103" i="9"/>
  <c r="T103" i="9"/>
  <c r="U103" i="9"/>
  <c r="L105" i="9"/>
  <c r="M105" i="9"/>
  <c r="N105" i="9"/>
  <c r="O105" i="9"/>
  <c r="T105" i="9"/>
  <c r="U105" i="9"/>
  <c r="L111" i="9"/>
  <c r="M111" i="9"/>
  <c r="N111" i="9"/>
  <c r="O111" i="9"/>
  <c r="T111" i="9"/>
  <c r="U111" i="9"/>
  <c r="L112" i="9"/>
  <c r="M112" i="9"/>
  <c r="N112" i="9"/>
  <c r="O112" i="9"/>
  <c r="T112" i="9"/>
  <c r="U112" i="9"/>
  <c r="L113" i="9"/>
  <c r="M113" i="9"/>
  <c r="N113" i="9"/>
  <c r="O113" i="9"/>
  <c r="Q113" i="9"/>
  <c r="T113" i="9"/>
  <c r="U113" i="9"/>
  <c r="L115" i="9"/>
  <c r="M115" i="9"/>
  <c r="N115" i="9"/>
  <c r="O115" i="9"/>
  <c r="Q115" i="9"/>
  <c r="T115" i="9"/>
  <c r="U115" i="9"/>
  <c r="L116" i="9"/>
  <c r="M116" i="9"/>
  <c r="N116" i="9"/>
  <c r="O116" i="9"/>
  <c r="T116" i="9"/>
  <c r="U116" i="9"/>
  <c r="L117" i="9"/>
  <c r="M117" i="9"/>
  <c r="N117" i="9"/>
  <c r="O117" i="9"/>
  <c r="T117" i="9"/>
  <c r="U117" i="9"/>
  <c r="L118" i="9"/>
  <c r="M118" i="9"/>
  <c r="N118" i="9"/>
  <c r="O118" i="9"/>
  <c r="Q118" i="9"/>
  <c r="T118" i="9"/>
  <c r="U118" i="9"/>
  <c r="L120" i="9"/>
  <c r="M120" i="9"/>
  <c r="N120" i="9"/>
  <c r="O120" i="9"/>
  <c r="T120" i="9"/>
  <c r="U120" i="9"/>
  <c r="L121" i="9"/>
  <c r="M121" i="9"/>
  <c r="N121" i="9"/>
  <c r="O121" i="9"/>
  <c r="T121" i="9"/>
  <c r="U121" i="9"/>
  <c r="L122" i="9"/>
  <c r="M122" i="9"/>
  <c r="N122" i="9"/>
  <c r="O122" i="9"/>
  <c r="T122" i="9"/>
  <c r="U122" i="9"/>
  <c r="L123" i="9"/>
  <c r="M123" i="9"/>
  <c r="N123" i="9"/>
  <c r="O123" i="9"/>
  <c r="T123" i="9"/>
  <c r="U123" i="9"/>
  <c r="L125" i="9"/>
  <c r="M125" i="9"/>
  <c r="N125" i="9"/>
  <c r="O125" i="9"/>
  <c r="T125" i="9"/>
  <c r="U125" i="9"/>
  <c r="L126" i="9"/>
  <c r="M126" i="9"/>
  <c r="N126" i="9"/>
  <c r="O126" i="9"/>
  <c r="T126" i="9"/>
  <c r="U126" i="9"/>
  <c r="L127" i="9"/>
  <c r="M127" i="9"/>
  <c r="N127" i="9"/>
  <c r="O127" i="9"/>
  <c r="T127" i="9"/>
  <c r="U127" i="9"/>
  <c r="L128" i="9"/>
  <c r="M128" i="9"/>
  <c r="N128" i="9"/>
  <c r="O128" i="9"/>
  <c r="T128" i="9"/>
  <c r="U128" i="9"/>
  <c r="L130" i="9"/>
  <c r="M130" i="9"/>
  <c r="N130" i="9"/>
  <c r="O130" i="9"/>
  <c r="T130" i="9"/>
  <c r="U130" i="9"/>
  <c r="L131" i="9"/>
  <c r="M131" i="9"/>
  <c r="N131" i="9"/>
  <c r="O131" i="9"/>
  <c r="T131" i="9"/>
  <c r="U131" i="9"/>
  <c r="L132" i="9"/>
  <c r="M132" i="9"/>
  <c r="N132" i="9"/>
  <c r="O132" i="9"/>
  <c r="T132" i="9"/>
  <c r="U132" i="9"/>
  <c r="L133" i="9"/>
  <c r="M133" i="9"/>
  <c r="N133" i="9"/>
  <c r="O133" i="9"/>
  <c r="Q133" i="9"/>
  <c r="T133" i="9"/>
  <c r="U133" i="9"/>
  <c r="L135" i="9"/>
  <c r="M135" i="9"/>
  <c r="N135" i="9"/>
  <c r="O135" i="9"/>
  <c r="Q135" i="9"/>
  <c r="T135" i="9"/>
  <c r="U135" i="9"/>
  <c r="L136" i="9"/>
  <c r="M136" i="9"/>
  <c r="N136" i="9"/>
  <c r="O136" i="9"/>
  <c r="T136" i="9"/>
  <c r="U136" i="9"/>
  <c r="L137" i="9"/>
  <c r="M137" i="9"/>
  <c r="N137" i="9"/>
  <c r="O137" i="9"/>
  <c r="T137" i="9"/>
  <c r="U137" i="9"/>
  <c r="L138" i="9"/>
  <c r="M138" i="9"/>
  <c r="N138" i="9"/>
  <c r="O138" i="9"/>
  <c r="T138" i="9"/>
  <c r="U138" i="9"/>
  <c r="L140" i="9"/>
  <c r="M140" i="9"/>
  <c r="N140" i="9"/>
  <c r="O140" i="9"/>
  <c r="T140" i="9"/>
  <c r="U140" i="9"/>
  <c r="L141" i="9"/>
  <c r="M141" i="9"/>
  <c r="N141" i="9"/>
  <c r="O141" i="9"/>
  <c r="T141" i="9"/>
  <c r="U141" i="9"/>
  <c r="L142" i="9"/>
  <c r="M142" i="9"/>
  <c r="N142" i="9"/>
  <c r="O142" i="9"/>
  <c r="T142" i="9"/>
  <c r="U142" i="9"/>
  <c r="L143" i="9"/>
  <c r="M143" i="9"/>
  <c r="N143" i="9"/>
  <c r="O143" i="9"/>
  <c r="Q143" i="9"/>
  <c r="T143" i="9"/>
  <c r="U143" i="9"/>
  <c r="L145" i="9"/>
  <c r="M145" i="9"/>
  <c r="N145" i="9"/>
  <c r="O145" i="9"/>
  <c r="Q145" i="9"/>
  <c r="T145" i="9"/>
  <c r="U145" i="9"/>
  <c r="L146" i="9"/>
  <c r="M146" i="9"/>
  <c r="N146" i="9"/>
  <c r="O146" i="9"/>
  <c r="T146" i="9"/>
  <c r="U146" i="9"/>
  <c r="L147" i="9"/>
  <c r="M147" i="9"/>
  <c r="N147" i="9"/>
  <c r="O147" i="9"/>
  <c r="T147" i="9"/>
  <c r="U147" i="9"/>
  <c r="L148" i="9"/>
  <c r="M148" i="9"/>
  <c r="N148" i="9"/>
  <c r="O148" i="9"/>
  <c r="T148" i="9"/>
  <c r="U148" i="9"/>
  <c r="L150" i="9"/>
  <c r="M150" i="9"/>
  <c r="N150" i="9"/>
  <c r="O150" i="9"/>
  <c r="Q150" i="9"/>
  <c r="T150" i="9"/>
  <c r="U150" i="9"/>
  <c r="L151" i="9"/>
  <c r="M151" i="9"/>
  <c r="N151" i="9"/>
  <c r="O151" i="9"/>
  <c r="T151" i="9"/>
  <c r="U151" i="9"/>
  <c r="L152" i="9"/>
  <c r="M152" i="9"/>
  <c r="N152" i="9"/>
  <c r="O152" i="9"/>
  <c r="T152" i="9"/>
  <c r="U152" i="9"/>
  <c r="L153" i="9"/>
  <c r="M153" i="9"/>
  <c r="N153" i="9"/>
  <c r="O153" i="9"/>
  <c r="Q153" i="9"/>
  <c r="T153" i="9"/>
  <c r="U153" i="9"/>
  <c r="L155" i="9"/>
  <c r="M155" i="9"/>
  <c r="N155" i="9"/>
  <c r="O155" i="9"/>
  <c r="T155" i="9"/>
  <c r="U155" i="9"/>
  <c r="L156" i="9"/>
  <c r="M156" i="9"/>
  <c r="N156" i="9"/>
  <c r="O156" i="9"/>
  <c r="T156" i="9"/>
  <c r="U156" i="9"/>
  <c r="L157" i="9"/>
  <c r="M157" i="9"/>
  <c r="N157" i="9"/>
  <c r="O157" i="9"/>
  <c r="T157" i="9"/>
  <c r="U157" i="9"/>
  <c r="L158" i="9"/>
  <c r="M158" i="9"/>
  <c r="N158" i="9"/>
  <c r="O158" i="9"/>
  <c r="T158" i="9"/>
  <c r="U158" i="9"/>
  <c r="L160" i="9"/>
  <c r="M160" i="9"/>
  <c r="N160" i="9"/>
  <c r="O160" i="9"/>
  <c r="T160" i="9"/>
  <c r="U160" i="9"/>
  <c r="L161" i="9"/>
  <c r="M161" i="9"/>
  <c r="N161" i="9"/>
  <c r="O161" i="9"/>
  <c r="T161" i="9"/>
  <c r="U161" i="9"/>
  <c r="L162" i="9"/>
  <c r="M162" i="9"/>
  <c r="N162" i="9"/>
  <c r="O162" i="9"/>
  <c r="T162" i="9"/>
  <c r="U162" i="9"/>
  <c r="L163" i="9"/>
  <c r="M163" i="9"/>
  <c r="N163" i="9"/>
  <c r="O163" i="9"/>
  <c r="Q163" i="9"/>
  <c r="T163" i="9"/>
  <c r="U163" i="9"/>
  <c r="L165" i="9"/>
  <c r="M165" i="9"/>
  <c r="N165" i="9"/>
  <c r="O165" i="9"/>
  <c r="Q165" i="9"/>
  <c r="T165" i="9"/>
  <c r="U165" i="9"/>
  <c r="L166" i="9"/>
  <c r="M166" i="9"/>
  <c r="N166" i="9"/>
  <c r="O166" i="9"/>
  <c r="T166" i="9"/>
  <c r="U166" i="9"/>
  <c r="L167" i="9"/>
  <c r="M167" i="9"/>
  <c r="N167" i="9"/>
  <c r="O167" i="9"/>
  <c r="T167" i="9"/>
  <c r="U167" i="9"/>
  <c r="L168" i="9"/>
  <c r="M168" i="9"/>
  <c r="N168" i="9"/>
  <c r="O168" i="9"/>
  <c r="T168" i="9"/>
  <c r="U168" i="9"/>
  <c r="L170" i="9"/>
  <c r="M170" i="9"/>
  <c r="N170" i="9"/>
  <c r="O170" i="9"/>
  <c r="Q170" i="9"/>
  <c r="T170" i="9"/>
  <c r="U170" i="9"/>
  <c r="L171" i="9"/>
  <c r="M171" i="9"/>
  <c r="N171" i="9"/>
  <c r="O171" i="9"/>
  <c r="T171" i="9"/>
  <c r="U171" i="9"/>
  <c r="L172" i="9"/>
  <c r="M172" i="9"/>
  <c r="N172" i="9"/>
  <c r="O172" i="9"/>
  <c r="T172" i="9"/>
  <c r="U172" i="9"/>
  <c r="L173" i="9"/>
  <c r="M173" i="9"/>
  <c r="N173" i="9"/>
  <c r="O173" i="9"/>
  <c r="T173" i="9"/>
  <c r="U173" i="9"/>
  <c r="L175" i="9"/>
  <c r="M175" i="9"/>
  <c r="N175" i="9"/>
  <c r="O175" i="9"/>
  <c r="T175" i="9"/>
  <c r="U175" i="9"/>
  <c r="L176" i="9"/>
  <c r="M176" i="9"/>
  <c r="N176" i="9"/>
  <c r="O176" i="9"/>
  <c r="T176" i="9"/>
  <c r="U176" i="9"/>
  <c r="L177" i="9"/>
  <c r="M177" i="9"/>
  <c r="N177" i="9"/>
  <c r="O177" i="9"/>
  <c r="T177" i="9"/>
  <c r="U177" i="9"/>
  <c r="L178" i="9"/>
  <c r="M178" i="9"/>
  <c r="N178" i="9"/>
  <c r="O178" i="9"/>
  <c r="Q178" i="9"/>
  <c r="T178" i="9"/>
  <c r="U178" i="9"/>
  <c r="L180" i="9"/>
  <c r="M180" i="9"/>
  <c r="N180" i="9"/>
  <c r="O180" i="9"/>
  <c r="Q180" i="9"/>
  <c r="T180" i="9"/>
  <c r="U180" i="9"/>
  <c r="L181" i="9"/>
  <c r="M181" i="9"/>
  <c r="N181" i="9"/>
  <c r="O181" i="9"/>
  <c r="T181" i="9"/>
  <c r="U181" i="9"/>
  <c r="L182" i="9"/>
  <c r="M182" i="9"/>
  <c r="N182" i="9"/>
  <c r="O182" i="9"/>
  <c r="T182" i="9"/>
  <c r="U182" i="9"/>
  <c r="L183" i="9"/>
  <c r="M183" i="9"/>
  <c r="N183" i="9"/>
  <c r="O183" i="9"/>
  <c r="Q183" i="9"/>
  <c r="T183" i="9"/>
  <c r="U183" i="9"/>
  <c r="L185" i="9"/>
  <c r="M185" i="9"/>
  <c r="N185" i="9"/>
  <c r="O185" i="9"/>
  <c r="T185" i="9"/>
  <c r="U185" i="9"/>
  <c r="L186" i="9"/>
  <c r="M186" i="9"/>
  <c r="N186" i="9"/>
  <c r="O186" i="9"/>
  <c r="T186" i="9"/>
  <c r="U186" i="9"/>
  <c r="L187" i="9"/>
  <c r="M187" i="9"/>
  <c r="N187" i="9"/>
  <c r="O187" i="9"/>
  <c r="T187" i="9"/>
  <c r="U187" i="9"/>
  <c r="L188" i="9"/>
  <c r="M188" i="9"/>
  <c r="N188" i="9"/>
  <c r="O188" i="9"/>
  <c r="T188" i="9"/>
  <c r="U188" i="9"/>
  <c r="L190" i="9"/>
  <c r="M190" i="9"/>
  <c r="N190" i="9"/>
  <c r="O190" i="9"/>
  <c r="Q190" i="9"/>
  <c r="T190" i="9"/>
  <c r="U190" i="9"/>
  <c r="L191" i="9"/>
  <c r="M191" i="9"/>
  <c r="N191" i="9"/>
  <c r="O191" i="9"/>
  <c r="T191" i="9"/>
  <c r="U191" i="9"/>
  <c r="L192" i="9"/>
  <c r="M192" i="9"/>
  <c r="N192" i="9"/>
  <c r="O192" i="9"/>
  <c r="T192" i="9"/>
  <c r="U192" i="9"/>
  <c r="L193" i="9"/>
  <c r="M193" i="9"/>
  <c r="N193" i="9"/>
  <c r="O193" i="9"/>
  <c r="T193" i="9"/>
  <c r="U193" i="9"/>
  <c r="L195" i="9"/>
  <c r="M195" i="9"/>
  <c r="N195" i="9"/>
  <c r="O195" i="9"/>
  <c r="Q195" i="9"/>
  <c r="T195" i="9"/>
  <c r="U195" i="9"/>
  <c r="L196" i="9"/>
  <c r="M196" i="9"/>
  <c r="N196" i="9"/>
  <c r="O196" i="9"/>
  <c r="T196" i="9"/>
  <c r="U196" i="9"/>
  <c r="L197" i="9"/>
  <c r="M197" i="9"/>
  <c r="N197" i="9"/>
  <c r="O197" i="9"/>
  <c r="T197" i="9"/>
  <c r="U197" i="9"/>
  <c r="L198" i="9"/>
  <c r="M198" i="9"/>
  <c r="N198" i="9"/>
  <c r="O198" i="9"/>
  <c r="Q198" i="9"/>
  <c r="T198" i="9"/>
  <c r="U198" i="9"/>
  <c r="L200" i="9"/>
  <c r="M200" i="9"/>
  <c r="N200" i="9"/>
  <c r="O200" i="9"/>
  <c r="Q200" i="9"/>
  <c r="T200" i="9"/>
  <c r="U200" i="9"/>
  <c r="L206" i="9"/>
  <c r="M206" i="9"/>
  <c r="N206" i="9"/>
  <c r="O206" i="9"/>
  <c r="T206" i="9"/>
  <c r="U206" i="9"/>
  <c r="L207" i="9"/>
  <c r="M207" i="9"/>
  <c r="N207" i="9"/>
  <c r="O207" i="9"/>
  <c r="T207" i="9"/>
  <c r="U207" i="9"/>
  <c r="L208" i="9"/>
  <c r="M208" i="9"/>
  <c r="N208" i="9"/>
  <c r="O208" i="9"/>
  <c r="T208" i="9"/>
  <c r="U208" i="9"/>
  <c r="L210" i="9"/>
  <c r="M210" i="9"/>
  <c r="N210" i="9"/>
  <c r="O210" i="9"/>
  <c r="Q210" i="9"/>
  <c r="T210" i="9"/>
  <c r="U210" i="9"/>
  <c r="L211" i="9"/>
  <c r="M211" i="9"/>
  <c r="N211" i="9"/>
  <c r="O211" i="9"/>
  <c r="T211" i="9"/>
  <c r="U211" i="9"/>
  <c r="L212" i="9"/>
  <c r="M212" i="9"/>
  <c r="N212" i="9"/>
  <c r="O212" i="9"/>
  <c r="T212" i="9"/>
  <c r="U212" i="9"/>
  <c r="L213" i="9"/>
  <c r="M213" i="9"/>
  <c r="N213" i="9"/>
  <c r="O213" i="9"/>
  <c r="T213" i="9"/>
  <c r="U213" i="9"/>
  <c r="L215" i="9"/>
  <c r="M215" i="9"/>
  <c r="N215" i="9"/>
  <c r="O215" i="9"/>
  <c r="T215" i="9"/>
  <c r="U215" i="9"/>
  <c r="L216" i="9"/>
  <c r="M216" i="9"/>
  <c r="N216" i="9"/>
  <c r="O216" i="9"/>
  <c r="T216" i="9"/>
  <c r="U216" i="9"/>
  <c r="L217" i="9"/>
  <c r="M217" i="9"/>
  <c r="N217" i="9"/>
  <c r="O217" i="9"/>
  <c r="T217" i="9"/>
  <c r="U217" i="9"/>
  <c r="L218" i="9"/>
  <c r="M218" i="9"/>
  <c r="N218" i="9"/>
  <c r="O218" i="9"/>
  <c r="T218" i="9"/>
  <c r="U218" i="9"/>
  <c r="L220" i="9"/>
  <c r="M220" i="9"/>
  <c r="N220" i="9"/>
  <c r="O220" i="9"/>
  <c r="Q220" i="9"/>
  <c r="T220" i="9"/>
  <c r="U220" i="9"/>
  <c r="L221" i="9"/>
  <c r="M221" i="9"/>
  <c r="N221" i="9"/>
  <c r="O221" i="9"/>
  <c r="T221" i="9"/>
  <c r="U221" i="9"/>
  <c r="L222" i="9"/>
  <c r="M222" i="9"/>
  <c r="N222" i="9"/>
  <c r="O222" i="9"/>
  <c r="T222" i="9"/>
  <c r="U222" i="9"/>
  <c r="L223" i="9"/>
  <c r="M223" i="9"/>
  <c r="N223" i="9"/>
  <c r="O223" i="9"/>
  <c r="T223" i="9"/>
  <c r="U223" i="9"/>
  <c r="L225" i="9"/>
  <c r="M225" i="9"/>
  <c r="N225" i="9"/>
  <c r="O225" i="9"/>
  <c r="Q225" i="9"/>
  <c r="T225" i="9"/>
  <c r="U225" i="9"/>
  <c r="L226" i="9"/>
  <c r="M226" i="9"/>
  <c r="N226" i="9"/>
  <c r="O226" i="9"/>
  <c r="T226" i="9"/>
  <c r="U226" i="9"/>
  <c r="L227" i="9"/>
  <c r="M227" i="9"/>
  <c r="N227" i="9"/>
  <c r="O227" i="9"/>
  <c r="T227" i="9"/>
  <c r="U227" i="9"/>
  <c r="L228" i="9"/>
  <c r="M228" i="9"/>
  <c r="N228" i="9"/>
  <c r="O228" i="9"/>
  <c r="Q228" i="9"/>
  <c r="T228" i="9"/>
  <c r="U228" i="9"/>
  <c r="L230" i="9"/>
  <c r="M230" i="9"/>
  <c r="N230" i="9"/>
  <c r="O230" i="9"/>
  <c r="Q230" i="9"/>
  <c r="T230" i="9"/>
  <c r="U230" i="9"/>
  <c r="L231" i="9"/>
  <c r="M231" i="9"/>
  <c r="N231" i="9"/>
  <c r="O231" i="9"/>
  <c r="T231" i="9"/>
  <c r="U231" i="9"/>
  <c r="E232" i="9"/>
  <c r="L232" i="9"/>
  <c r="A232" i="9" s="1"/>
  <c r="P80" i="109" s="1"/>
  <c r="M232" i="9"/>
  <c r="B232" i="9" s="1"/>
  <c r="Q47" i="108" s="1"/>
  <c r="N232" i="9"/>
  <c r="C232" i="9" s="1"/>
  <c r="R47" i="112" s="1"/>
  <c r="O232" i="9"/>
  <c r="D232" i="9" s="1"/>
  <c r="E54" i="48" s="1"/>
  <c r="T232" i="9"/>
  <c r="I232" i="9" s="1"/>
  <c r="J54" i="48" s="1"/>
  <c r="U232" i="9"/>
  <c r="J232" i="9" s="1"/>
  <c r="K54" i="48" s="1"/>
  <c r="E233" i="9"/>
  <c r="L233" i="9"/>
  <c r="A233" i="9" s="1"/>
  <c r="P68" i="104" s="1"/>
  <c r="M233" i="9"/>
  <c r="B233" i="9" s="1"/>
  <c r="Q81" i="109" s="1"/>
  <c r="N233" i="9"/>
  <c r="C233" i="9" s="1"/>
  <c r="O233" i="9"/>
  <c r="D233" i="9" s="1"/>
  <c r="E55" i="48" s="1"/>
  <c r="Q233" i="9"/>
  <c r="T233" i="9"/>
  <c r="I233" i="9" s="1"/>
  <c r="J55" i="48" s="1"/>
  <c r="U233" i="9"/>
  <c r="J233" i="9" s="1"/>
  <c r="K55" i="48" s="1"/>
  <c r="E234" i="9"/>
  <c r="L234" i="9"/>
  <c r="A234" i="9" s="1"/>
  <c r="M234" i="9"/>
  <c r="B234" i="9" s="1"/>
  <c r="Q81" i="111" s="1"/>
  <c r="N234" i="9"/>
  <c r="C234" i="9" s="1"/>
  <c r="R82" i="109" s="1"/>
  <c r="O234" i="9"/>
  <c r="D234" i="9" s="1"/>
  <c r="E56" i="48" s="1"/>
  <c r="Q234" i="9"/>
  <c r="T234" i="9"/>
  <c r="I234" i="9" s="1"/>
  <c r="J56" i="48" s="1"/>
  <c r="U234" i="9"/>
  <c r="J234" i="9" s="1"/>
  <c r="K56" i="48" s="1"/>
  <c r="E235" i="9"/>
  <c r="L235" i="9"/>
  <c r="A235" i="9" s="1"/>
  <c r="M235" i="9"/>
  <c r="B235" i="9" s="1"/>
  <c r="Q83" i="114" s="1"/>
  <c r="N235" i="9"/>
  <c r="C235" i="9" s="1"/>
  <c r="O235" i="9"/>
  <c r="D235" i="9" s="1"/>
  <c r="E57" i="48" s="1"/>
  <c r="T235" i="9"/>
  <c r="I235" i="9" s="1"/>
  <c r="J57" i="48" s="1"/>
  <c r="U235" i="9"/>
  <c r="J235" i="9" s="1"/>
  <c r="K57" i="48" s="1"/>
  <c r="E236" i="9"/>
  <c r="L236" i="9"/>
  <c r="A236" i="9" s="1"/>
  <c r="P78" i="106" s="1"/>
  <c r="M236" i="9"/>
  <c r="B236" i="9" s="1"/>
  <c r="C58" i="48" s="1"/>
  <c r="N236" i="9"/>
  <c r="C236" i="9" s="1"/>
  <c r="D58" i="48" s="1"/>
  <c r="O236" i="9"/>
  <c r="D236" i="9" s="1"/>
  <c r="E58" i="48" s="1"/>
  <c r="Q236" i="9"/>
  <c r="T236" i="9"/>
  <c r="I236" i="9" s="1"/>
  <c r="J58" i="48" s="1"/>
  <c r="U236" i="9"/>
  <c r="J236" i="9" s="1"/>
  <c r="K58" i="48" s="1"/>
  <c r="E237" i="9"/>
  <c r="L237" i="9"/>
  <c r="A237" i="9" s="1"/>
  <c r="M237" i="9"/>
  <c r="B237" i="9" s="1"/>
  <c r="Q52" i="108" s="1"/>
  <c r="N237" i="9"/>
  <c r="C237" i="9" s="1"/>
  <c r="R84" i="111" s="1"/>
  <c r="O237" i="9"/>
  <c r="D237" i="9" s="1"/>
  <c r="E59" i="48" s="1"/>
  <c r="T237" i="9"/>
  <c r="I237" i="9" s="1"/>
  <c r="J59" i="48" s="1"/>
  <c r="U237" i="9"/>
  <c r="J237" i="9" s="1"/>
  <c r="K59" i="48" s="1"/>
  <c r="E238" i="9"/>
  <c r="L238" i="9"/>
  <c r="A238" i="9" s="1"/>
  <c r="M238" i="9"/>
  <c r="B238" i="9" s="1"/>
  <c r="Q86" i="113" s="1"/>
  <c r="N238" i="9"/>
  <c r="C238" i="9" s="1"/>
  <c r="O238" i="9"/>
  <c r="D238" i="9" s="1"/>
  <c r="E60" i="48" s="1"/>
  <c r="Q238" i="9"/>
  <c r="T238" i="9"/>
  <c r="I238" i="9" s="1"/>
  <c r="J60" i="48" s="1"/>
  <c r="U238" i="9"/>
  <c r="J238" i="9" s="1"/>
  <c r="K60" i="48" s="1"/>
  <c r="L239" i="9"/>
  <c r="M239" i="9"/>
  <c r="N239" i="9"/>
  <c r="O239" i="9"/>
  <c r="T239" i="9"/>
  <c r="U239" i="9"/>
  <c r="L240" i="9"/>
  <c r="M240" i="9"/>
  <c r="N240" i="9"/>
  <c r="O240" i="9"/>
  <c r="T240" i="9"/>
  <c r="U240" i="9"/>
  <c r="E241" i="9"/>
  <c r="L241" i="9"/>
  <c r="A241" i="9" s="1"/>
  <c r="M241" i="9"/>
  <c r="B241" i="9" s="1"/>
  <c r="Q12" i="92" s="1"/>
  <c r="N241" i="9"/>
  <c r="C241" i="9" s="1"/>
  <c r="R13" i="104" s="1"/>
  <c r="O241" i="9"/>
  <c r="D241" i="9" s="1"/>
  <c r="E62" i="48" s="1"/>
  <c r="T241" i="9"/>
  <c r="I241" i="9" s="1"/>
  <c r="J62" i="48" s="1"/>
  <c r="U241" i="9"/>
  <c r="J241" i="9" s="1"/>
  <c r="K62" i="48" s="1"/>
  <c r="E242" i="9"/>
  <c r="L242" i="9"/>
  <c r="A242" i="9" s="1"/>
  <c r="M242" i="9"/>
  <c r="B242" i="9" s="1"/>
  <c r="Q13" i="84" s="1"/>
  <c r="N242" i="9"/>
  <c r="C242" i="9" s="1"/>
  <c r="R13" i="84" s="1"/>
  <c r="O242" i="9"/>
  <c r="D242" i="9" s="1"/>
  <c r="E63" i="48" s="1"/>
  <c r="T242" i="9"/>
  <c r="I242" i="9" s="1"/>
  <c r="J63" i="48" s="1"/>
  <c r="U242" i="9"/>
  <c r="J242" i="9" s="1"/>
  <c r="K63" i="48" s="1"/>
  <c r="E243" i="9"/>
  <c r="L243" i="9"/>
  <c r="A243" i="9" s="1"/>
  <c r="P15" i="87" s="1"/>
  <c r="M243" i="9"/>
  <c r="B243" i="9" s="1"/>
  <c r="N243" i="9"/>
  <c r="C243" i="9" s="1"/>
  <c r="D64" i="48" s="1"/>
  <c r="O243" i="9"/>
  <c r="D243" i="9" s="1"/>
  <c r="E64" i="48" s="1"/>
  <c r="T243" i="9"/>
  <c r="I243" i="9" s="1"/>
  <c r="J64" i="48" s="1"/>
  <c r="U243" i="9"/>
  <c r="J243" i="9" s="1"/>
  <c r="K64" i="48" s="1"/>
  <c r="E244" i="9"/>
  <c r="L244" i="9"/>
  <c r="A244" i="9" s="1"/>
  <c r="M244" i="9"/>
  <c r="B244" i="9" s="1"/>
  <c r="N244" i="9"/>
  <c r="C244" i="9" s="1"/>
  <c r="O244" i="9"/>
  <c r="D244" i="9" s="1"/>
  <c r="E65" i="48" s="1"/>
  <c r="T244" i="9"/>
  <c r="I244" i="9" s="1"/>
  <c r="J65" i="48" s="1"/>
  <c r="U244" i="9"/>
  <c r="J244" i="9" s="1"/>
  <c r="K65" i="48" s="1"/>
  <c r="E245" i="9"/>
  <c r="L245" i="9"/>
  <c r="A245" i="9" s="1"/>
  <c r="M245" i="9"/>
  <c r="B245" i="9" s="1"/>
  <c r="N245" i="9"/>
  <c r="C245" i="9" s="1"/>
  <c r="O245" i="9"/>
  <c r="D245" i="9" s="1"/>
  <c r="E66" i="48" s="1"/>
  <c r="T245" i="9"/>
  <c r="I245" i="9" s="1"/>
  <c r="J66" i="48" s="1"/>
  <c r="U245" i="9"/>
  <c r="J245" i="9" s="1"/>
  <c r="K66" i="48" s="1"/>
  <c r="E246" i="9"/>
  <c r="L246" i="9"/>
  <c r="A246" i="9" s="1"/>
  <c r="M246" i="9"/>
  <c r="B246" i="9" s="1"/>
  <c r="N246" i="9"/>
  <c r="C246" i="9" s="1"/>
  <c r="R18" i="85" s="1"/>
  <c r="O246" i="9"/>
  <c r="D246" i="9" s="1"/>
  <c r="E67" i="48" s="1"/>
  <c r="T246" i="9"/>
  <c r="I246" i="9" s="1"/>
  <c r="J67" i="48" s="1"/>
  <c r="U246" i="9"/>
  <c r="J246" i="9" s="1"/>
  <c r="K67" i="48" s="1"/>
  <c r="E247" i="9"/>
  <c r="L247" i="9"/>
  <c r="A247" i="9" s="1"/>
  <c r="M247" i="9"/>
  <c r="B247" i="9" s="1"/>
  <c r="N247" i="9"/>
  <c r="C247" i="9" s="1"/>
  <c r="O247" i="9"/>
  <c r="D247" i="9" s="1"/>
  <c r="E68" i="48" s="1"/>
  <c r="T247" i="9"/>
  <c r="I247" i="9" s="1"/>
  <c r="J68" i="48" s="1"/>
  <c r="U247" i="9"/>
  <c r="J247" i="9" s="1"/>
  <c r="K68" i="48" s="1"/>
  <c r="E248" i="9"/>
  <c r="L248" i="9"/>
  <c r="A248" i="9" s="1"/>
  <c r="M248" i="9"/>
  <c r="B248" i="9" s="1"/>
  <c r="N248" i="9"/>
  <c r="C248" i="9" s="1"/>
  <c r="O248" i="9"/>
  <c r="D248" i="9" s="1"/>
  <c r="E69" i="48" s="1"/>
  <c r="T248" i="9"/>
  <c r="I248" i="9" s="1"/>
  <c r="J69" i="48" s="1"/>
  <c r="U248" i="9"/>
  <c r="J248" i="9" s="1"/>
  <c r="K69" i="48" s="1"/>
  <c r="E249" i="9"/>
  <c r="L249" i="9"/>
  <c r="A249" i="9" s="1"/>
  <c r="M249" i="9"/>
  <c r="B249" i="9" s="1"/>
  <c r="N249" i="9"/>
  <c r="C249" i="9" s="1"/>
  <c r="O249" i="9"/>
  <c r="D249" i="9" s="1"/>
  <c r="E70" i="48" s="1"/>
  <c r="T249" i="9"/>
  <c r="I249" i="9" s="1"/>
  <c r="J70" i="48" s="1"/>
  <c r="U249" i="9"/>
  <c r="J249" i="9" s="1"/>
  <c r="K70" i="48" s="1"/>
  <c r="E250" i="9"/>
  <c r="L250" i="9"/>
  <c r="A250" i="9" s="1"/>
  <c r="M250" i="9"/>
  <c r="B250" i="9" s="1"/>
  <c r="N250" i="9"/>
  <c r="C250" i="9" s="1"/>
  <c r="R22" i="110" s="1"/>
  <c r="O250" i="9"/>
  <c r="D250" i="9" s="1"/>
  <c r="E71" i="48" s="1"/>
  <c r="T250" i="9"/>
  <c r="I250" i="9" s="1"/>
  <c r="J71" i="48" s="1"/>
  <c r="U250" i="9"/>
  <c r="J250" i="9" s="1"/>
  <c r="K71" i="48" s="1"/>
  <c r="E251" i="9"/>
  <c r="L251" i="9"/>
  <c r="A251" i="9" s="1"/>
  <c r="M251" i="9"/>
  <c r="B251" i="9" s="1"/>
  <c r="N251" i="9"/>
  <c r="C251" i="9" s="1"/>
  <c r="R23" i="105" s="1"/>
  <c r="O251" i="9"/>
  <c r="D251" i="9" s="1"/>
  <c r="E72" i="48" s="1"/>
  <c r="T251" i="9"/>
  <c r="I251" i="9" s="1"/>
  <c r="J72" i="48" s="1"/>
  <c r="U251" i="9"/>
  <c r="J251" i="9" s="1"/>
  <c r="K72" i="48" s="1"/>
  <c r="E252" i="9"/>
  <c r="L252" i="9"/>
  <c r="A252" i="9" s="1"/>
  <c r="P24" i="107" s="1"/>
  <c r="M252" i="9"/>
  <c r="B252" i="9" s="1"/>
  <c r="N252" i="9"/>
  <c r="C252" i="9" s="1"/>
  <c r="O252" i="9"/>
  <c r="D252" i="9" s="1"/>
  <c r="E73" i="48" s="1"/>
  <c r="T252" i="9"/>
  <c r="I252" i="9" s="1"/>
  <c r="J73" i="48" s="1"/>
  <c r="U252" i="9"/>
  <c r="J252" i="9" s="1"/>
  <c r="K73" i="48" s="1"/>
  <c r="E253" i="9"/>
  <c r="L253" i="9"/>
  <c r="A253" i="9" s="1"/>
  <c r="P25" i="107" s="1"/>
  <c r="M253" i="9"/>
  <c r="B253" i="9" s="1"/>
  <c r="Q25" i="81" s="1"/>
  <c r="N253" i="9"/>
  <c r="C253" i="9" s="1"/>
  <c r="R25" i="110" s="1"/>
  <c r="O253" i="9"/>
  <c r="D253" i="9" s="1"/>
  <c r="E74" i="48" s="1"/>
  <c r="Q253" i="9"/>
  <c r="T253" i="9"/>
  <c r="I253" i="9" s="1"/>
  <c r="J74" i="48" s="1"/>
  <c r="U253" i="9"/>
  <c r="J253" i="9" s="1"/>
  <c r="K74" i="48" s="1"/>
  <c r="L254" i="9"/>
  <c r="M254" i="9"/>
  <c r="N254" i="9"/>
  <c r="O254" i="9"/>
  <c r="T254" i="9"/>
  <c r="U254" i="9"/>
  <c r="L255" i="9"/>
  <c r="M255" i="9"/>
  <c r="N255" i="9"/>
  <c r="O255" i="9"/>
  <c r="T255" i="9"/>
  <c r="U255" i="9"/>
  <c r="L256" i="9"/>
  <c r="M256" i="9"/>
  <c r="N256" i="9"/>
  <c r="O256" i="9"/>
  <c r="T256" i="9"/>
  <c r="U256" i="9"/>
  <c r="E257" i="9"/>
  <c r="L257" i="9"/>
  <c r="A257" i="9" s="1"/>
  <c r="P25" i="95" s="1"/>
  <c r="M257" i="9"/>
  <c r="B257" i="9" s="1"/>
  <c r="Q27" i="87" s="1"/>
  <c r="N257" i="9"/>
  <c r="C257" i="9" s="1"/>
  <c r="R27" i="89" s="1"/>
  <c r="O257" i="9"/>
  <c r="D257" i="9" s="1"/>
  <c r="E76" i="48" s="1"/>
  <c r="T257" i="9"/>
  <c r="I257" i="9" s="1"/>
  <c r="J76" i="48" s="1"/>
  <c r="U257" i="9"/>
  <c r="J257" i="9" s="1"/>
  <c r="K76" i="48" s="1"/>
  <c r="E258" i="9"/>
  <c r="L258" i="9"/>
  <c r="A258" i="9" s="1"/>
  <c r="P28" i="82" s="1"/>
  <c r="M258" i="9"/>
  <c r="B258" i="9" s="1"/>
  <c r="N258" i="9"/>
  <c r="C258" i="9" s="1"/>
  <c r="O258" i="9"/>
  <c r="D258" i="9" s="1"/>
  <c r="E77" i="48" s="1"/>
  <c r="Q258" i="9"/>
  <c r="T258" i="9"/>
  <c r="I258" i="9" s="1"/>
  <c r="J77" i="48" s="1"/>
  <c r="U258" i="9"/>
  <c r="J258" i="9" s="1"/>
  <c r="K77" i="48" s="1"/>
  <c r="E259" i="9"/>
  <c r="L259" i="9"/>
  <c r="A259" i="9" s="1"/>
  <c r="M259" i="9"/>
  <c r="B259" i="9" s="1"/>
  <c r="Q29" i="87" s="1"/>
  <c r="N259" i="9"/>
  <c r="C259" i="9" s="1"/>
  <c r="O259" i="9"/>
  <c r="D259" i="9" s="1"/>
  <c r="E78" i="48" s="1"/>
  <c r="T259" i="9"/>
  <c r="I259" i="9" s="1"/>
  <c r="J78" i="48" s="1"/>
  <c r="U259" i="9"/>
  <c r="J259" i="9" s="1"/>
  <c r="K78" i="48" s="1"/>
  <c r="E260" i="9"/>
  <c r="L260" i="9"/>
  <c r="A260" i="9" s="1"/>
  <c r="P28" i="83" s="1"/>
  <c r="M260" i="9"/>
  <c r="B260" i="9" s="1"/>
  <c r="Q30" i="88" s="1"/>
  <c r="N260" i="9"/>
  <c r="C260" i="9" s="1"/>
  <c r="O260" i="9"/>
  <c r="D260" i="9" s="1"/>
  <c r="E79" i="48" s="1"/>
  <c r="T260" i="9"/>
  <c r="I260" i="9" s="1"/>
  <c r="J79" i="48" s="1"/>
  <c r="U260" i="9"/>
  <c r="J260" i="9" s="1"/>
  <c r="K79" i="48" s="1"/>
  <c r="E261" i="9"/>
  <c r="L261" i="9"/>
  <c r="A261" i="9" s="1"/>
  <c r="P31" i="82" s="1"/>
  <c r="M261" i="9"/>
  <c r="B261" i="9" s="1"/>
  <c r="N261" i="9"/>
  <c r="C261" i="9" s="1"/>
  <c r="R29" i="95" s="1"/>
  <c r="O261" i="9"/>
  <c r="D261" i="9" s="1"/>
  <c r="E80" i="48" s="1"/>
  <c r="T261" i="9"/>
  <c r="I261" i="9" s="1"/>
  <c r="J80" i="48" s="1"/>
  <c r="U261" i="9"/>
  <c r="J261" i="9" s="1"/>
  <c r="K80" i="48" s="1"/>
  <c r="E262" i="9"/>
  <c r="L262" i="9"/>
  <c r="A262" i="9" s="1"/>
  <c r="P32" i="85" s="1"/>
  <c r="M262" i="9"/>
  <c r="B262" i="9" s="1"/>
  <c r="Q32" i="104" s="1"/>
  <c r="N262" i="9"/>
  <c r="C262" i="9" s="1"/>
  <c r="O262" i="9"/>
  <c r="D262" i="9" s="1"/>
  <c r="E81" i="48" s="1"/>
  <c r="T262" i="9"/>
  <c r="I262" i="9" s="1"/>
  <c r="J81" i="48" s="1"/>
  <c r="U262" i="9"/>
  <c r="J262" i="9" s="1"/>
  <c r="K81" i="48" s="1"/>
  <c r="E263" i="9"/>
  <c r="L263" i="9"/>
  <c r="A263" i="9" s="1"/>
  <c r="P33" i="87" s="1"/>
  <c r="M263" i="9"/>
  <c r="B263" i="9" s="1"/>
  <c r="Q33" i="87" s="1"/>
  <c r="N263" i="9"/>
  <c r="C263" i="9" s="1"/>
  <c r="R33" i="82" s="1"/>
  <c r="O263" i="9"/>
  <c r="D263" i="9" s="1"/>
  <c r="E82" i="48" s="1"/>
  <c r="T263" i="9"/>
  <c r="I263" i="9" s="1"/>
  <c r="J82" i="48" s="1"/>
  <c r="U263" i="9"/>
  <c r="J263" i="9" s="1"/>
  <c r="K82" i="48" s="1"/>
  <c r="E264" i="9"/>
  <c r="L264" i="9"/>
  <c r="A264" i="9" s="1"/>
  <c r="P32" i="84" s="1"/>
  <c r="M264" i="9"/>
  <c r="B264" i="9" s="1"/>
  <c r="Q34" i="105" s="1"/>
  <c r="N264" i="9"/>
  <c r="C264" i="9" s="1"/>
  <c r="O264" i="9"/>
  <c r="D264" i="9" s="1"/>
  <c r="E83" i="48" s="1"/>
  <c r="T264" i="9"/>
  <c r="I264" i="9" s="1"/>
  <c r="J83" i="48" s="1"/>
  <c r="U264" i="9"/>
  <c r="J264" i="9" s="1"/>
  <c r="K83" i="48" s="1"/>
  <c r="E265" i="9"/>
  <c r="L265" i="9"/>
  <c r="A265" i="9" s="1"/>
  <c r="M265" i="9"/>
  <c r="B265" i="9" s="1"/>
  <c r="Q33" i="83" s="1"/>
  <c r="N265" i="9"/>
  <c r="C265" i="9" s="1"/>
  <c r="O265" i="9"/>
  <c r="D265" i="9" s="1"/>
  <c r="E84" i="48" s="1"/>
  <c r="T265" i="9"/>
  <c r="I265" i="9" s="1"/>
  <c r="J84" i="48" s="1"/>
  <c r="U265" i="9"/>
  <c r="J265" i="9" s="1"/>
  <c r="K84" i="48" s="1"/>
  <c r="E266" i="9"/>
  <c r="L266" i="9"/>
  <c r="A266" i="9" s="1"/>
  <c r="P36" i="105" s="1"/>
  <c r="M266" i="9"/>
  <c r="B266" i="9" s="1"/>
  <c r="Q36" i="107" s="1"/>
  <c r="N266" i="9"/>
  <c r="C266" i="9" s="1"/>
  <c r="R34" i="95" s="1"/>
  <c r="O266" i="9"/>
  <c r="D266" i="9" s="1"/>
  <c r="E85" i="48" s="1"/>
  <c r="Q266" i="9"/>
  <c r="T266" i="9"/>
  <c r="I266" i="9" s="1"/>
  <c r="J85" i="48" s="1"/>
  <c r="U266" i="9"/>
  <c r="J266" i="9" s="1"/>
  <c r="K85" i="48" s="1"/>
  <c r="E267" i="9"/>
  <c r="L267" i="9"/>
  <c r="A267" i="9" s="1"/>
  <c r="M267" i="9"/>
  <c r="B267" i="9" s="1"/>
  <c r="N267" i="9"/>
  <c r="C267" i="9" s="1"/>
  <c r="R35" i="111" s="1"/>
  <c r="O267" i="9"/>
  <c r="D267" i="9" s="1"/>
  <c r="E86" i="48" s="1"/>
  <c r="T267" i="9"/>
  <c r="I267" i="9" s="1"/>
  <c r="J86" i="48" s="1"/>
  <c r="U267" i="9"/>
  <c r="J267" i="9" s="1"/>
  <c r="K86" i="48" s="1"/>
  <c r="E268" i="9"/>
  <c r="L268" i="9"/>
  <c r="A268" i="9" s="1"/>
  <c r="M268" i="9"/>
  <c r="B268" i="9" s="1"/>
  <c r="N268" i="9"/>
  <c r="C268" i="9" s="1"/>
  <c r="O268" i="9"/>
  <c r="D268" i="9" s="1"/>
  <c r="E87" i="48" s="1"/>
  <c r="T268" i="9"/>
  <c r="I268" i="9" s="1"/>
  <c r="J87" i="48" s="1"/>
  <c r="U268" i="9"/>
  <c r="J268" i="9" s="1"/>
  <c r="K87" i="48" s="1"/>
  <c r="E269" i="9"/>
  <c r="L269" i="9"/>
  <c r="A269" i="9" s="1"/>
  <c r="P37" i="111" s="1"/>
  <c r="M269" i="9"/>
  <c r="B269" i="9" s="1"/>
  <c r="Q39" i="89" s="1"/>
  <c r="N269" i="9"/>
  <c r="C269" i="9" s="1"/>
  <c r="R39" i="88" s="1"/>
  <c r="O269" i="9"/>
  <c r="D269" i="9" s="1"/>
  <c r="E88" i="48" s="1"/>
  <c r="Q269" i="9"/>
  <c r="T269" i="9"/>
  <c r="I269" i="9" s="1"/>
  <c r="J88" i="48" s="1"/>
  <c r="U269" i="9"/>
  <c r="J269" i="9" s="1"/>
  <c r="K88" i="48" s="1"/>
  <c r="L270" i="9"/>
  <c r="M270" i="9"/>
  <c r="N270" i="9"/>
  <c r="O270" i="9"/>
  <c r="Q270" i="9"/>
  <c r="T270" i="9"/>
  <c r="U270" i="9"/>
  <c r="L271" i="9"/>
  <c r="M271" i="9"/>
  <c r="N271" i="9"/>
  <c r="O271" i="9"/>
  <c r="T271" i="9"/>
  <c r="U271" i="9"/>
  <c r="L272" i="9"/>
  <c r="M272" i="9"/>
  <c r="N272" i="9"/>
  <c r="O272" i="9"/>
  <c r="T272" i="9"/>
  <c r="U272" i="9"/>
  <c r="E273" i="9"/>
  <c r="L273" i="9"/>
  <c r="A273" i="9" s="1"/>
  <c r="N273" i="9"/>
  <c r="C273" i="9" s="1"/>
  <c r="O273" i="9"/>
  <c r="D273" i="9" s="1"/>
  <c r="T273" i="9"/>
  <c r="I273" i="9" s="1"/>
  <c r="U273" i="9"/>
  <c r="J273" i="9" s="1"/>
  <c r="E274" i="9"/>
  <c r="L274" i="9"/>
  <c r="A274" i="9" s="1"/>
  <c r="M274" i="9"/>
  <c r="B274" i="9" s="1"/>
  <c r="N274" i="9"/>
  <c r="C274" i="9" s="1"/>
  <c r="O274" i="9"/>
  <c r="D274" i="9" s="1"/>
  <c r="T274" i="9"/>
  <c r="I274" i="9" s="1"/>
  <c r="U274" i="9"/>
  <c r="J274" i="9" s="1"/>
  <c r="E275" i="9"/>
  <c r="L275" i="9"/>
  <c r="A275" i="9" s="1"/>
  <c r="M275" i="9"/>
  <c r="B275" i="9" s="1"/>
  <c r="N275" i="9"/>
  <c r="C275" i="9" s="1"/>
  <c r="O275" i="9"/>
  <c r="D275" i="9" s="1"/>
  <c r="T275" i="9"/>
  <c r="I275" i="9" s="1"/>
  <c r="U275" i="9"/>
  <c r="J275" i="9" s="1"/>
  <c r="E276" i="9"/>
  <c r="L276" i="9"/>
  <c r="A276" i="9" s="1"/>
  <c r="P44" i="111" s="1"/>
  <c r="M276" i="9"/>
  <c r="B276" i="9" s="1"/>
  <c r="Q44" i="111" s="1"/>
  <c r="N276" i="9"/>
  <c r="C276" i="9" s="1"/>
  <c r="R44" i="111" s="1"/>
  <c r="O276" i="9"/>
  <c r="D276" i="9" s="1"/>
  <c r="T276" i="9"/>
  <c r="I276" i="9" s="1"/>
  <c r="U276" i="9"/>
  <c r="J276" i="9" s="1"/>
  <c r="E277" i="9"/>
  <c r="L277" i="9"/>
  <c r="A277" i="9" s="1"/>
  <c r="M277" i="9"/>
  <c r="B277" i="9" s="1"/>
  <c r="N277" i="9"/>
  <c r="C277" i="9" s="1"/>
  <c r="O277" i="9"/>
  <c r="D277" i="9" s="1"/>
  <c r="T277" i="9"/>
  <c r="I277" i="9" s="1"/>
  <c r="U277" i="9"/>
  <c r="J277" i="9" s="1"/>
  <c r="E278" i="9"/>
  <c r="L278" i="9"/>
  <c r="A278" i="9" s="1"/>
  <c r="M278" i="9"/>
  <c r="B278" i="9" s="1"/>
  <c r="N278" i="9"/>
  <c r="C278" i="9" s="1"/>
  <c r="O278" i="9"/>
  <c r="D278" i="9" s="1"/>
  <c r="Q278" i="9"/>
  <c r="T278" i="9"/>
  <c r="I278" i="9" s="1"/>
  <c r="U278" i="9"/>
  <c r="J278" i="9" s="1"/>
  <c r="E279" i="9"/>
  <c r="L279" i="9"/>
  <c r="A279" i="9" s="1"/>
  <c r="M279" i="9"/>
  <c r="B279" i="9" s="1"/>
  <c r="N279" i="9"/>
  <c r="C279" i="9" s="1"/>
  <c r="O279" i="9"/>
  <c r="D279" i="9" s="1"/>
  <c r="T279" i="9"/>
  <c r="I279" i="9" s="1"/>
  <c r="U279" i="9"/>
  <c r="J279" i="9" s="1"/>
  <c r="E280" i="9"/>
  <c r="L280" i="9"/>
  <c r="A280" i="9" s="1"/>
  <c r="M280" i="9"/>
  <c r="B280" i="9" s="1"/>
  <c r="N280" i="9"/>
  <c r="C280" i="9" s="1"/>
  <c r="O280" i="9"/>
  <c r="D280" i="9" s="1"/>
  <c r="T280" i="9"/>
  <c r="I280" i="9" s="1"/>
  <c r="U280" i="9"/>
  <c r="J280" i="9" s="1"/>
  <c r="E281" i="9"/>
  <c r="L281" i="9"/>
  <c r="A281" i="9" s="1"/>
  <c r="M281" i="9"/>
  <c r="B281" i="9" s="1"/>
  <c r="N281" i="9"/>
  <c r="C281" i="9" s="1"/>
  <c r="O281" i="9"/>
  <c r="D281" i="9" s="1"/>
  <c r="T281" i="9"/>
  <c r="I281" i="9" s="1"/>
  <c r="U281" i="9"/>
  <c r="J281" i="9" s="1"/>
  <c r="E282" i="9"/>
  <c r="L282" i="9"/>
  <c r="A282" i="9" s="1"/>
  <c r="M282" i="9"/>
  <c r="B282" i="9" s="1"/>
  <c r="N282" i="9"/>
  <c r="C282" i="9" s="1"/>
  <c r="O282" i="9"/>
  <c r="D282" i="9" s="1"/>
  <c r="T282" i="9"/>
  <c r="I282" i="9" s="1"/>
  <c r="U282" i="9"/>
  <c r="J282" i="9" s="1"/>
  <c r="E283" i="9"/>
  <c r="L283" i="9"/>
  <c r="A283" i="9" s="1"/>
  <c r="M283" i="9"/>
  <c r="B283" i="9" s="1"/>
  <c r="N283" i="9"/>
  <c r="C283" i="9" s="1"/>
  <c r="O283" i="9"/>
  <c r="D283" i="9" s="1"/>
  <c r="T283" i="9"/>
  <c r="I283" i="9" s="1"/>
  <c r="U283" i="9"/>
  <c r="J283" i="9" s="1"/>
  <c r="E284" i="9"/>
  <c r="L284" i="9"/>
  <c r="A284" i="9" s="1"/>
  <c r="M284" i="9"/>
  <c r="B284" i="9" s="1"/>
  <c r="N284" i="9"/>
  <c r="C284" i="9" s="1"/>
  <c r="O284" i="9"/>
  <c r="D284" i="9" s="1"/>
  <c r="T284" i="9"/>
  <c r="I284" i="9" s="1"/>
  <c r="U284" i="9"/>
  <c r="J284" i="9" s="1"/>
  <c r="E285" i="9"/>
  <c r="L285" i="9"/>
  <c r="A285" i="9" s="1"/>
  <c r="M285" i="9"/>
  <c r="B285" i="9" s="1"/>
  <c r="N285" i="9"/>
  <c r="C285" i="9" s="1"/>
  <c r="O285" i="9"/>
  <c r="D285" i="9" s="1"/>
  <c r="T285" i="9"/>
  <c r="I285" i="9" s="1"/>
  <c r="U285" i="9"/>
  <c r="J285" i="9" s="1"/>
  <c r="L286" i="9"/>
  <c r="M286" i="9"/>
  <c r="N286" i="9"/>
  <c r="O286" i="9"/>
  <c r="T286" i="9"/>
  <c r="U286" i="9"/>
  <c r="E288" i="9"/>
  <c r="L288" i="9"/>
  <c r="A288" i="9" s="1"/>
  <c r="P56" i="84" s="1"/>
  <c r="M288" i="9"/>
  <c r="B288" i="9" s="1"/>
  <c r="Q56" i="84" s="1"/>
  <c r="N288" i="9"/>
  <c r="C288" i="9" s="1"/>
  <c r="R56" i="84" s="1"/>
  <c r="O288" i="9"/>
  <c r="D288" i="9" s="1"/>
  <c r="E91" i="48" s="1"/>
  <c r="T288" i="9"/>
  <c r="I288" i="9" s="1"/>
  <c r="J91" i="48" s="1"/>
  <c r="U288" i="9"/>
  <c r="J288" i="9" s="1"/>
  <c r="K91" i="48" s="1"/>
  <c r="E289" i="9"/>
  <c r="L289" i="9"/>
  <c r="A289" i="9" s="1"/>
  <c r="M289" i="9"/>
  <c r="B289" i="9" s="1"/>
  <c r="N289" i="9"/>
  <c r="C289" i="9" s="1"/>
  <c r="O289" i="9"/>
  <c r="D289" i="9" s="1"/>
  <c r="E92" i="48" s="1"/>
  <c r="T289" i="9"/>
  <c r="I289" i="9" s="1"/>
  <c r="J92" i="48" s="1"/>
  <c r="U289" i="9"/>
  <c r="J289" i="9" s="1"/>
  <c r="K92" i="48" s="1"/>
  <c r="E290" i="9"/>
  <c r="L290" i="9"/>
  <c r="A290" i="9" s="1"/>
  <c r="M290" i="9"/>
  <c r="B290" i="9" s="1"/>
  <c r="N290" i="9"/>
  <c r="C290" i="9" s="1"/>
  <c r="O290" i="9"/>
  <c r="D290" i="9" s="1"/>
  <c r="E93" i="48" s="1"/>
  <c r="T290" i="9"/>
  <c r="I290" i="9" s="1"/>
  <c r="J93" i="48" s="1"/>
  <c r="U290" i="9"/>
  <c r="J290" i="9" s="1"/>
  <c r="K93" i="48" s="1"/>
  <c r="E291" i="9"/>
  <c r="L291" i="9"/>
  <c r="A291" i="9" s="1"/>
  <c r="M291" i="9"/>
  <c r="B291" i="9" s="1"/>
  <c r="N291" i="9"/>
  <c r="C291" i="9" s="1"/>
  <c r="O291" i="9"/>
  <c r="D291" i="9" s="1"/>
  <c r="E94" i="48" s="1"/>
  <c r="T291" i="9"/>
  <c r="I291" i="9" s="1"/>
  <c r="J94" i="48" s="1"/>
  <c r="U291" i="9"/>
  <c r="J291" i="9" s="1"/>
  <c r="K94" i="48" s="1"/>
  <c r="L294" i="9"/>
  <c r="M294" i="9"/>
  <c r="N294" i="9"/>
  <c r="O294" i="9"/>
  <c r="T294" i="9"/>
  <c r="U294" i="9"/>
  <c r="L295" i="9"/>
  <c r="M295" i="9"/>
  <c r="N295" i="9"/>
  <c r="O295" i="9"/>
  <c r="T295" i="9"/>
  <c r="U295" i="9"/>
  <c r="L296" i="9"/>
  <c r="M296" i="9"/>
  <c r="N296" i="9"/>
  <c r="O296" i="9"/>
  <c r="Q296" i="9"/>
  <c r="T296" i="9"/>
  <c r="U296" i="9"/>
  <c r="E297" i="9"/>
  <c r="L297" i="9"/>
  <c r="A297" i="9" s="1"/>
  <c r="B98" i="48" s="1"/>
  <c r="M297" i="9"/>
  <c r="B297" i="9" s="1"/>
  <c r="C3" i="16" s="1"/>
  <c r="N297" i="9"/>
  <c r="C297" i="9" s="1"/>
  <c r="D98" i="48" s="1"/>
  <c r="O297" i="9"/>
  <c r="D297" i="9" s="1"/>
  <c r="E98" i="48" s="1"/>
  <c r="Q297" i="9"/>
  <c r="T297" i="9"/>
  <c r="I297" i="9" s="1"/>
  <c r="J98" i="48" s="1"/>
  <c r="U297" i="9"/>
  <c r="J297" i="9" s="1"/>
  <c r="K98" i="48" s="1"/>
  <c r="E298" i="9"/>
  <c r="L298" i="9"/>
  <c r="A298" i="9" s="1"/>
  <c r="M298" i="9"/>
  <c r="B298" i="9" s="1"/>
  <c r="C4" i="16" s="1"/>
  <c r="N298" i="9"/>
  <c r="C298" i="9" s="1"/>
  <c r="O298" i="9"/>
  <c r="D298" i="9" s="1"/>
  <c r="E99" i="48" s="1"/>
  <c r="T298" i="9"/>
  <c r="I298" i="9" s="1"/>
  <c r="J99" i="48" s="1"/>
  <c r="U298" i="9"/>
  <c r="J298" i="9" s="1"/>
  <c r="K99" i="48" s="1"/>
  <c r="L299" i="9"/>
  <c r="M299" i="9"/>
  <c r="N299" i="9"/>
  <c r="O299" i="9"/>
  <c r="T299" i="9"/>
  <c r="U299" i="9"/>
  <c r="L300" i="9"/>
  <c r="M300" i="9"/>
  <c r="N300" i="9"/>
  <c r="O300" i="9"/>
  <c r="Q300" i="9"/>
  <c r="T300" i="9"/>
  <c r="U300" i="9"/>
  <c r="E301" i="9"/>
  <c r="L301" i="9"/>
  <c r="A301" i="9" s="1"/>
  <c r="B100" i="48" s="1"/>
  <c r="M301" i="9"/>
  <c r="B301" i="9" s="1"/>
  <c r="N301" i="9"/>
  <c r="C301" i="9" s="1"/>
  <c r="D100" i="48" s="1"/>
  <c r="O301" i="9"/>
  <c r="D301" i="9" s="1"/>
  <c r="E100" i="48" s="1"/>
  <c r="Q301" i="9"/>
  <c r="T301" i="9"/>
  <c r="I301" i="9" s="1"/>
  <c r="J100" i="48" s="1"/>
  <c r="U301" i="9"/>
  <c r="J301" i="9" s="1"/>
  <c r="K100" i="48" s="1"/>
  <c r="E302" i="9"/>
  <c r="L302" i="9"/>
  <c r="A302" i="9" s="1"/>
  <c r="M302" i="9"/>
  <c r="B302" i="9" s="1"/>
  <c r="N302" i="9"/>
  <c r="C302" i="9" s="1"/>
  <c r="D101" i="48" s="1"/>
  <c r="O302" i="9"/>
  <c r="D302" i="9" s="1"/>
  <c r="E101" i="48" s="1"/>
  <c r="T302" i="9"/>
  <c r="I302" i="9" s="1"/>
  <c r="J101" i="48" s="1"/>
  <c r="U302" i="9"/>
  <c r="J302" i="9" s="1"/>
  <c r="K101" i="48" s="1"/>
  <c r="L303" i="9"/>
  <c r="M303" i="9"/>
  <c r="N303" i="9"/>
  <c r="O303" i="9"/>
  <c r="T303" i="9"/>
  <c r="U303" i="9"/>
  <c r="L304" i="9"/>
  <c r="M304" i="9"/>
  <c r="N304" i="9"/>
  <c r="O304" i="9"/>
  <c r="T304" i="9"/>
  <c r="U304" i="9"/>
  <c r="L305" i="9"/>
  <c r="M305" i="9"/>
  <c r="N305" i="9"/>
  <c r="O305" i="9"/>
  <c r="T305" i="9"/>
  <c r="U305" i="9"/>
  <c r="L306" i="9"/>
  <c r="A306" i="9" s="1"/>
  <c r="M306" i="9"/>
  <c r="B306" i="9" s="1"/>
  <c r="N306" i="9"/>
  <c r="C306" i="9" s="1"/>
  <c r="O306" i="9"/>
  <c r="D306" i="9" s="1"/>
  <c r="E102" i="48" s="1"/>
  <c r="T306" i="9"/>
  <c r="I306" i="9" s="1"/>
  <c r="J102" i="48" s="1"/>
  <c r="U306" i="9"/>
  <c r="J306" i="9" s="1"/>
  <c r="K102" i="48" s="1"/>
  <c r="L307" i="9"/>
  <c r="A307" i="9" s="1"/>
  <c r="M307" i="9"/>
  <c r="B307" i="9" s="1"/>
  <c r="N307" i="9"/>
  <c r="C307" i="9" s="1"/>
  <c r="O307" i="9"/>
  <c r="D307" i="9" s="1"/>
  <c r="E103" i="48" s="1"/>
  <c r="T307" i="9"/>
  <c r="I307" i="9" s="1"/>
  <c r="J103" i="48" s="1"/>
  <c r="U307" i="9"/>
  <c r="J307" i="9" s="1"/>
  <c r="K103" i="48" s="1"/>
  <c r="L308" i="9"/>
  <c r="A308" i="9" s="1"/>
  <c r="M308" i="9"/>
  <c r="B308" i="9" s="1"/>
  <c r="N308" i="9"/>
  <c r="C308" i="9" s="1"/>
  <c r="O308" i="9"/>
  <c r="D308" i="9" s="1"/>
  <c r="E104" i="48" s="1"/>
  <c r="BD104" i="48" s="1"/>
  <c r="Q308" i="9"/>
  <c r="T308" i="9"/>
  <c r="I308" i="9" s="1"/>
  <c r="J104" i="48" s="1"/>
  <c r="U308" i="9"/>
  <c r="J308" i="9" s="1"/>
  <c r="K104" i="48" s="1"/>
  <c r="L309" i="9"/>
  <c r="M309" i="9"/>
  <c r="N309" i="9"/>
  <c r="O309" i="9"/>
  <c r="Q309" i="9"/>
  <c r="T309" i="9"/>
  <c r="U309" i="9"/>
  <c r="L310" i="9"/>
  <c r="M310" i="9"/>
  <c r="N310" i="9"/>
  <c r="O310" i="9"/>
  <c r="T310" i="9"/>
  <c r="U310" i="9"/>
  <c r="L311" i="9"/>
  <c r="M311" i="9"/>
  <c r="N311" i="9"/>
  <c r="O311" i="9"/>
  <c r="T311" i="9"/>
  <c r="U311" i="9"/>
  <c r="L312" i="9"/>
  <c r="M312" i="9"/>
  <c r="N312" i="9"/>
  <c r="O312" i="9"/>
  <c r="T312" i="9"/>
  <c r="U312" i="9"/>
  <c r="L313" i="9"/>
  <c r="M313" i="9"/>
  <c r="N313" i="9"/>
  <c r="O313" i="9"/>
  <c r="T313" i="9"/>
  <c r="U313" i="9"/>
  <c r="L314" i="9"/>
  <c r="M314" i="9"/>
  <c r="N314" i="9"/>
  <c r="O314" i="9"/>
  <c r="T314" i="9"/>
  <c r="U314" i="9"/>
  <c r="L315" i="9"/>
  <c r="M315" i="9"/>
  <c r="N315" i="9"/>
  <c r="O315" i="9"/>
  <c r="T315" i="9"/>
  <c r="U315" i="9"/>
  <c r="L316" i="9"/>
  <c r="M316" i="9"/>
  <c r="N316" i="9"/>
  <c r="O316" i="9"/>
  <c r="Q316" i="9"/>
  <c r="T316" i="9"/>
  <c r="U316" i="9"/>
  <c r="L318" i="9"/>
  <c r="M318" i="9"/>
  <c r="N318" i="9"/>
  <c r="O318" i="9"/>
  <c r="Q318" i="9"/>
  <c r="T318" i="9"/>
  <c r="U318" i="9"/>
  <c r="L319" i="9"/>
  <c r="M319" i="9"/>
  <c r="N319" i="9"/>
  <c r="O319" i="9"/>
  <c r="T319" i="9"/>
  <c r="U319" i="9"/>
  <c r="L320" i="9"/>
  <c r="M320" i="9"/>
  <c r="N320" i="9"/>
  <c r="O320" i="9"/>
  <c r="T320" i="9"/>
  <c r="U320" i="9"/>
  <c r="L321" i="9"/>
  <c r="M321" i="9"/>
  <c r="N321" i="9"/>
  <c r="O321" i="9"/>
  <c r="T321" i="9"/>
  <c r="U321" i="9"/>
  <c r="L323" i="9"/>
  <c r="M323" i="9"/>
  <c r="N323" i="9"/>
  <c r="O323" i="9"/>
  <c r="T323" i="9"/>
  <c r="U323" i="9"/>
  <c r="L324" i="9"/>
  <c r="M324" i="9"/>
  <c r="N324" i="9"/>
  <c r="O324" i="9"/>
  <c r="T324" i="9"/>
  <c r="U324" i="9"/>
  <c r="L325" i="9"/>
  <c r="M325" i="9"/>
  <c r="N325" i="9"/>
  <c r="O325" i="9"/>
  <c r="T325" i="9"/>
  <c r="U325" i="9"/>
  <c r="L326" i="9"/>
  <c r="M326" i="9"/>
  <c r="N326" i="9"/>
  <c r="O326" i="9"/>
  <c r="Q326" i="9"/>
  <c r="T326" i="9"/>
  <c r="U326" i="9"/>
  <c r="L328" i="9"/>
  <c r="M328" i="9"/>
  <c r="N328" i="9"/>
  <c r="O328" i="9"/>
  <c r="Q328" i="9"/>
  <c r="T328" i="9"/>
  <c r="U328" i="9"/>
  <c r="L329" i="9"/>
  <c r="M329" i="9"/>
  <c r="N329" i="9"/>
  <c r="O329" i="9"/>
  <c r="T329" i="9"/>
  <c r="U329" i="9"/>
  <c r="L330" i="9"/>
  <c r="M330" i="9"/>
  <c r="N330" i="9"/>
  <c r="O330" i="9"/>
  <c r="Q330" i="9"/>
  <c r="T330" i="9"/>
  <c r="U330" i="9"/>
  <c r="L331" i="9"/>
  <c r="M331" i="9"/>
  <c r="N331" i="9"/>
  <c r="O331" i="9"/>
  <c r="Q331" i="9"/>
  <c r="T331" i="9"/>
  <c r="U331" i="9"/>
  <c r="L333" i="9"/>
  <c r="M333" i="9"/>
  <c r="N333" i="9"/>
  <c r="O333" i="9"/>
  <c r="Q333" i="9"/>
  <c r="T333" i="9"/>
  <c r="U333" i="9"/>
  <c r="L334" i="9"/>
  <c r="M334" i="9"/>
  <c r="N334" i="9"/>
  <c r="O334" i="9"/>
  <c r="T334" i="9"/>
  <c r="U334" i="9"/>
  <c r="L335" i="9"/>
  <c r="M335" i="9"/>
  <c r="N335" i="9"/>
  <c r="O335" i="9"/>
  <c r="T335" i="9"/>
  <c r="U335" i="9"/>
  <c r="L336" i="9"/>
  <c r="M336" i="9"/>
  <c r="N336" i="9"/>
  <c r="O336" i="9"/>
  <c r="T336" i="9"/>
  <c r="U336" i="9"/>
  <c r="L338" i="9"/>
  <c r="M338" i="9"/>
  <c r="N338" i="9"/>
  <c r="O338" i="9"/>
  <c r="T338" i="9"/>
  <c r="U338" i="9"/>
  <c r="L339" i="9"/>
  <c r="M339" i="9"/>
  <c r="N339" i="9"/>
  <c r="O339" i="9"/>
  <c r="T339" i="9"/>
  <c r="U339" i="9"/>
  <c r="L340" i="9"/>
  <c r="M340" i="9"/>
  <c r="N340" i="9"/>
  <c r="O340" i="9"/>
  <c r="T340" i="9"/>
  <c r="U340" i="9"/>
  <c r="L341" i="9"/>
  <c r="M341" i="9"/>
  <c r="N341" i="9"/>
  <c r="O341" i="9"/>
  <c r="Q341" i="9"/>
  <c r="T341" i="9"/>
  <c r="U341" i="9"/>
  <c r="L342" i="9"/>
  <c r="M342" i="9"/>
  <c r="N342" i="9"/>
  <c r="O342" i="9"/>
  <c r="Q342" i="9"/>
  <c r="T342" i="9"/>
  <c r="U342" i="9"/>
  <c r="L343" i="9"/>
  <c r="M343" i="9"/>
  <c r="N343" i="9"/>
  <c r="O343" i="9"/>
  <c r="T343" i="9"/>
  <c r="U343" i="9"/>
  <c r="L344" i="9"/>
  <c r="M344" i="9"/>
  <c r="N344" i="9"/>
  <c r="O344" i="9"/>
  <c r="Q344" i="9"/>
  <c r="T344" i="9"/>
  <c r="U344" i="9"/>
  <c r="L345" i="9"/>
  <c r="M345" i="9"/>
  <c r="N345" i="9"/>
  <c r="O345" i="9"/>
  <c r="T345" i="9"/>
  <c r="U345" i="9"/>
  <c r="L347" i="9"/>
  <c r="M347" i="9"/>
  <c r="N347" i="9"/>
  <c r="O347" i="9"/>
  <c r="Q347" i="9"/>
  <c r="T347" i="9"/>
  <c r="U347" i="9"/>
  <c r="L348" i="9"/>
  <c r="M348" i="9"/>
  <c r="N348" i="9"/>
  <c r="O348" i="9"/>
  <c r="T348" i="9"/>
  <c r="U348" i="9"/>
  <c r="L350" i="9"/>
  <c r="M350" i="9"/>
  <c r="N350" i="9"/>
  <c r="O350" i="9"/>
  <c r="T350" i="9"/>
  <c r="U350" i="9"/>
  <c r="L351" i="9"/>
  <c r="M351" i="9"/>
  <c r="N351" i="9"/>
  <c r="O351" i="9"/>
  <c r="Q351" i="9"/>
  <c r="T351" i="9"/>
  <c r="U351" i="9"/>
  <c r="L353" i="9"/>
  <c r="M353" i="9"/>
  <c r="N353" i="9"/>
  <c r="O353" i="9"/>
  <c r="Q353" i="9"/>
  <c r="T353" i="9"/>
  <c r="U353" i="9"/>
  <c r="L354" i="9"/>
  <c r="M354" i="9"/>
  <c r="N354" i="9"/>
  <c r="O354" i="9"/>
  <c r="T354" i="9"/>
  <c r="U354" i="9"/>
  <c r="L355" i="9"/>
  <c r="M355" i="9"/>
  <c r="B353" i="9" s="1"/>
  <c r="N355" i="9"/>
  <c r="O355" i="9"/>
  <c r="T355" i="9"/>
  <c r="U355" i="9"/>
  <c r="J353" i="9" s="1"/>
  <c r="L356" i="9"/>
  <c r="M356" i="9"/>
  <c r="N356" i="9"/>
  <c r="O356" i="9"/>
  <c r="Q356" i="9"/>
  <c r="T356" i="9"/>
  <c r="U356" i="9"/>
  <c r="L357" i="9"/>
  <c r="M357" i="9"/>
  <c r="N357" i="9"/>
  <c r="O357" i="9"/>
  <c r="Q357" i="9"/>
  <c r="T357" i="9"/>
  <c r="U357" i="9"/>
  <c r="L358" i="9"/>
  <c r="M358" i="9"/>
  <c r="N358" i="9"/>
  <c r="O358" i="9"/>
  <c r="T358" i="9"/>
  <c r="U358" i="9"/>
  <c r="L359" i="9"/>
  <c r="M359" i="9"/>
  <c r="N359" i="9"/>
  <c r="O359" i="9"/>
  <c r="T359" i="9"/>
  <c r="U359" i="9"/>
  <c r="L360" i="9"/>
  <c r="M360" i="9"/>
  <c r="N360" i="9"/>
  <c r="O360" i="9"/>
  <c r="Q360" i="9"/>
  <c r="T360" i="9"/>
  <c r="U360" i="9"/>
  <c r="L361" i="9"/>
  <c r="M361" i="9"/>
  <c r="N361" i="9"/>
  <c r="O361" i="9"/>
  <c r="T361" i="9"/>
  <c r="U361" i="9"/>
  <c r="L362" i="9"/>
  <c r="M362" i="9"/>
  <c r="N362" i="9"/>
  <c r="O362" i="9"/>
  <c r="T362" i="9"/>
  <c r="U362" i="9"/>
  <c r="L364" i="9"/>
  <c r="M364" i="9"/>
  <c r="N364" i="9"/>
  <c r="O364" i="9"/>
  <c r="T364" i="9"/>
  <c r="U364" i="9"/>
  <c r="L365" i="9"/>
  <c r="M365" i="9"/>
  <c r="N365" i="9"/>
  <c r="O365" i="9"/>
  <c r="T365" i="9"/>
  <c r="U365" i="9"/>
  <c r="L366" i="9"/>
  <c r="M366" i="9"/>
  <c r="N366" i="9"/>
  <c r="O366" i="9"/>
  <c r="Q366" i="9"/>
  <c r="T366" i="9"/>
  <c r="U366" i="9"/>
  <c r="L367" i="9"/>
  <c r="M367" i="9"/>
  <c r="N367" i="9"/>
  <c r="O367" i="9"/>
  <c r="T367" i="9"/>
  <c r="U367" i="9"/>
  <c r="L368" i="9"/>
  <c r="M368" i="9"/>
  <c r="N368" i="9"/>
  <c r="O368" i="9"/>
  <c r="T368" i="9"/>
  <c r="U368" i="9"/>
  <c r="L369" i="9"/>
  <c r="M369" i="9"/>
  <c r="N369" i="9"/>
  <c r="O369" i="9"/>
  <c r="Q369" i="9"/>
  <c r="T369" i="9"/>
  <c r="U369" i="9"/>
  <c r="L370" i="9"/>
  <c r="M370" i="9"/>
  <c r="N370" i="9"/>
  <c r="O370" i="9"/>
  <c r="Q370" i="9"/>
  <c r="T370" i="9"/>
  <c r="U370" i="9"/>
  <c r="L371" i="9"/>
  <c r="M371" i="9"/>
  <c r="N371" i="9"/>
  <c r="O371" i="9"/>
  <c r="T371" i="9"/>
  <c r="U371" i="9"/>
  <c r="L373" i="9"/>
  <c r="M373" i="9"/>
  <c r="N373" i="9"/>
  <c r="O373" i="9"/>
  <c r="T373" i="9"/>
  <c r="U373" i="9"/>
  <c r="L374" i="9"/>
  <c r="M374" i="9"/>
  <c r="N374" i="9"/>
  <c r="O374" i="9"/>
  <c r="Q374" i="9"/>
  <c r="T374" i="9"/>
  <c r="U374" i="9"/>
  <c r="L375" i="9"/>
  <c r="M375" i="9"/>
  <c r="N375" i="9"/>
  <c r="O375" i="9"/>
  <c r="Q375" i="9"/>
  <c r="T375" i="9"/>
  <c r="U375" i="9"/>
  <c r="L376" i="9"/>
  <c r="M376" i="9"/>
  <c r="N376" i="9"/>
  <c r="O376" i="9"/>
  <c r="T376" i="9"/>
  <c r="U376" i="9"/>
  <c r="L378" i="9"/>
  <c r="M378" i="9"/>
  <c r="N378" i="9"/>
  <c r="O378" i="9"/>
  <c r="T378" i="9"/>
  <c r="U378" i="9"/>
  <c r="L379" i="9"/>
  <c r="M379" i="9"/>
  <c r="N379" i="9"/>
  <c r="O379" i="9"/>
  <c r="T379" i="9"/>
  <c r="U379" i="9"/>
  <c r="L380" i="9"/>
  <c r="M380" i="9"/>
  <c r="N380" i="9"/>
  <c r="O380" i="9"/>
  <c r="Q380" i="9"/>
  <c r="T380" i="9"/>
  <c r="U380" i="9"/>
  <c r="L381" i="9"/>
  <c r="M381" i="9"/>
  <c r="N381" i="9"/>
  <c r="O381" i="9"/>
  <c r="T381" i="9"/>
  <c r="U381" i="9"/>
  <c r="L382" i="9"/>
  <c r="M382" i="9"/>
  <c r="N382" i="9"/>
  <c r="O382" i="9"/>
  <c r="T382" i="9"/>
  <c r="U382" i="9"/>
  <c r="L383" i="9"/>
  <c r="M383" i="9"/>
  <c r="N383" i="9"/>
  <c r="O383" i="9"/>
  <c r="Q383" i="9"/>
  <c r="T383" i="9"/>
  <c r="U383" i="9"/>
  <c r="L384" i="9"/>
  <c r="M384" i="9"/>
  <c r="N384" i="9"/>
  <c r="O384" i="9"/>
  <c r="Q384" i="9"/>
  <c r="T384" i="9"/>
  <c r="U384" i="9"/>
  <c r="L385" i="9"/>
  <c r="M385" i="9"/>
  <c r="N385" i="9"/>
  <c r="O385" i="9"/>
  <c r="T385" i="9"/>
  <c r="U385" i="9"/>
  <c r="L386" i="9"/>
  <c r="M386" i="9"/>
  <c r="N386" i="9"/>
  <c r="O386" i="9"/>
  <c r="T386" i="9"/>
  <c r="U386" i="9"/>
  <c r="L388" i="9"/>
  <c r="M388" i="9"/>
  <c r="N388" i="9"/>
  <c r="O388" i="9"/>
  <c r="T388" i="9"/>
  <c r="U388" i="9"/>
  <c r="L389" i="9"/>
  <c r="M389" i="9"/>
  <c r="N389" i="9"/>
  <c r="O389" i="9"/>
  <c r="Q389" i="9"/>
  <c r="T389" i="9"/>
  <c r="U389" i="9"/>
  <c r="L390" i="9"/>
  <c r="M390" i="9"/>
  <c r="N390" i="9"/>
  <c r="O390" i="9"/>
  <c r="T390" i="9"/>
  <c r="U390" i="9"/>
  <c r="L391" i="9"/>
  <c r="M391" i="9"/>
  <c r="N391" i="9"/>
  <c r="O391" i="9"/>
  <c r="T391" i="9"/>
  <c r="U391" i="9"/>
  <c r="L393" i="9"/>
  <c r="M393" i="9"/>
  <c r="N393" i="9"/>
  <c r="O393" i="9"/>
  <c r="Q393" i="9"/>
  <c r="T393" i="9"/>
  <c r="U393" i="9"/>
  <c r="L394" i="9"/>
  <c r="M394" i="9"/>
  <c r="N394" i="9"/>
  <c r="O394" i="9"/>
  <c r="Q394" i="9"/>
  <c r="T394" i="9"/>
  <c r="U394" i="9"/>
  <c r="L395" i="9"/>
  <c r="M395" i="9"/>
  <c r="N395" i="9"/>
  <c r="O395" i="9"/>
  <c r="T395" i="9"/>
  <c r="U395" i="9"/>
  <c r="L396" i="9"/>
  <c r="M396" i="9"/>
  <c r="N396" i="9"/>
  <c r="O396" i="9"/>
  <c r="T396" i="9"/>
  <c r="U396" i="9"/>
  <c r="L397" i="9"/>
  <c r="M397" i="9"/>
  <c r="N397" i="9"/>
  <c r="O397" i="9"/>
  <c r="T397" i="9"/>
  <c r="U397" i="9"/>
  <c r="L398" i="9"/>
  <c r="M398" i="9"/>
  <c r="N398" i="9"/>
  <c r="O398" i="9"/>
  <c r="Q398" i="9"/>
  <c r="T398" i="9"/>
  <c r="U398" i="9"/>
  <c r="L399" i="9"/>
  <c r="M399" i="9"/>
  <c r="N399" i="9"/>
  <c r="O399" i="9"/>
  <c r="T399" i="9"/>
  <c r="U399" i="9"/>
  <c r="L400" i="9"/>
  <c r="M400" i="9"/>
  <c r="N400" i="9"/>
  <c r="O400" i="9"/>
  <c r="T400" i="9"/>
  <c r="U400" i="9"/>
  <c r="L402" i="9"/>
  <c r="M402" i="9"/>
  <c r="N402" i="9"/>
  <c r="O402" i="9"/>
  <c r="Q402" i="9"/>
  <c r="T402" i="9"/>
  <c r="U402" i="9"/>
  <c r="E403" i="9"/>
  <c r="L403" i="9"/>
  <c r="A403" i="9" s="1"/>
  <c r="P69" i="105" s="1"/>
  <c r="M403" i="9"/>
  <c r="B403" i="9" s="1"/>
  <c r="Q69" i="80" s="1"/>
  <c r="N403" i="9"/>
  <c r="C403" i="9" s="1"/>
  <c r="R69" i="109" s="1"/>
  <c r="O403" i="9"/>
  <c r="D403" i="9" s="1"/>
  <c r="E125" i="48" s="1"/>
  <c r="Q403" i="9"/>
  <c r="T403" i="9"/>
  <c r="I403" i="9" s="1"/>
  <c r="J125" i="48" s="1"/>
  <c r="U403" i="9"/>
  <c r="J403" i="9" s="1"/>
  <c r="K125" i="48" s="1"/>
  <c r="E404" i="9"/>
  <c r="L404" i="9"/>
  <c r="A404" i="9" s="1"/>
  <c r="P71" i="96" s="1"/>
  <c r="M404" i="9"/>
  <c r="B404" i="9" s="1"/>
  <c r="Q70" i="95" s="1"/>
  <c r="N404" i="9"/>
  <c r="C404" i="9" s="1"/>
  <c r="R70" i="105" s="1"/>
  <c r="O404" i="9"/>
  <c r="D404" i="9" s="1"/>
  <c r="E126" i="48" s="1"/>
  <c r="T404" i="9"/>
  <c r="I404" i="9" s="1"/>
  <c r="J126" i="48" s="1"/>
  <c r="U404" i="9"/>
  <c r="J404" i="9" s="1"/>
  <c r="K126" i="48" s="1"/>
  <c r="E405" i="9"/>
  <c r="L405" i="9"/>
  <c r="A405" i="9" s="1"/>
  <c r="P72" i="114" s="1"/>
  <c r="M405" i="9"/>
  <c r="B405" i="9" s="1"/>
  <c r="Q71" i="95" s="1"/>
  <c r="N405" i="9"/>
  <c r="C405" i="9" s="1"/>
  <c r="O405" i="9"/>
  <c r="D405" i="9" s="1"/>
  <c r="E127" i="48" s="1"/>
  <c r="T405" i="9"/>
  <c r="I405" i="9" s="1"/>
  <c r="J127" i="48" s="1"/>
  <c r="U405" i="9"/>
  <c r="J405" i="9" s="1"/>
  <c r="K127" i="48" s="1"/>
  <c r="E406" i="9"/>
  <c r="L406" i="9"/>
  <c r="A406" i="9" s="1"/>
  <c r="M406" i="9"/>
  <c r="B406" i="9" s="1"/>
  <c r="N406" i="9"/>
  <c r="C406" i="9" s="1"/>
  <c r="R72" i="80" s="1"/>
  <c r="O406" i="9"/>
  <c r="D406" i="9" s="1"/>
  <c r="E128" i="48" s="1"/>
  <c r="T406" i="9"/>
  <c r="I406" i="9" s="1"/>
  <c r="J128" i="48" s="1"/>
  <c r="U406" i="9"/>
  <c r="J406" i="9" s="1"/>
  <c r="K128" i="48" s="1"/>
  <c r="L407" i="9"/>
  <c r="M407" i="9"/>
  <c r="N407" i="9"/>
  <c r="O407" i="9"/>
  <c r="Q407" i="9"/>
  <c r="T407" i="9"/>
  <c r="U407" i="9"/>
  <c r="L408" i="9"/>
  <c r="M408" i="9"/>
  <c r="N408" i="9"/>
  <c r="O408" i="9"/>
  <c r="T408" i="9"/>
  <c r="U408" i="9"/>
  <c r="L409" i="9"/>
  <c r="M409" i="9"/>
  <c r="N409" i="9"/>
  <c r="O409" i="9"/>
  <c r="T409" i="9"/>
  <c r="U409" i="9"/>
  <c r="L410" i="9"/>
  <c r="M410" i="9"/>
  <c r="N410" i="9"/>
  <c r="O410" i="9"/>
  <c r="T410" i="9"/>
  <c r="U410" i="9"/>
  <c r="E411" i="9"/>
  <c r="L411" i="9"/>
  <c r="A411" i="9" s="1"/>
  <c r="P74" i="109" s="1"/>
  <c r="M411" i="9"/>
  <c r="B411" i="9" s="1"/>
  <c r="Q74" i="95" s="1"/>
  <c r="N411" i="9"/>
  <c r="C411" i="9" s="1"/>
  <c r="R75" i="96" s="1"/>
  <c r="O411" i="9"/>
  <c r="D411" i="9" s="1"/>
  <c r="E129" i="48" s="1"/>
  <c r="Q411" i="9"/>
  <c r="T411" i="9"/>
  <c r="I411" i="9" s="1"/>
  <c r="J129" i="48" s="1"/>
  <c r="U411" i="9"/>
  <c r="J411" i="9" s="1"/>
  <c r="K129" i="48" s="1"/>
  <c r="E412" i="9"/>
  <c r="L412" i="9"/>
  <c r="A412" i="9" s="1"/>
  <c r="M412" i="9"/>
  <c r="B412" i="9" s="1"/>
  <c r="Q70" i="106" s="1"/>
  <c r="N412" i="9"/>
  <c r="C412" i="9" s="1"/>
  <c r="R70" i="87" s="1"/>
  <c r="O412" i="9"/>
  <c r="D412" i="9" s="1"/>
  <c r="E130" i="48" s="1"/>
  <c r="T412" i="9"/>
  <c r="I412" i="9" s="1"/>
  <c r="J130" i="48" s="1"/>
  <c r="U412" i="9"/>
  <c r="J412" i="9" s="1"/>
  <c r="K130" i="48" s="1"/>
  <c r="E413" i="9"/>
  <c r="L413" i="9"/>
  <c r="A413" i="9" s="1"/>
  <c r="P76" i="95" s="1"/>
  <c r="M413" i="9"/>
  <c r="B413" i="9" s="1"/>
  <c r="Q71" i="106" s="1"/>
  <c r="N413" i="9"/>
  <c r="C413" i="9" s="1"/>
  <c r="R77" i="114" s="1"/>
  <c r="O413" i="9"/>
  <c r="D413" i="9" s="1"/>
  <c r="E131" i="48" s="1"/>
  <c r="T413" i="9"/>
  <c r="I413" i="9" s="1"/>
  <c r="J131" i="48" s="1"/>
  <c r="U413" i="9"/>
  <c r="J413" i="9" s="1"/>
  <c r="K131" i="48" s="1"/>
  <c r="E414" i="9"/>
  <c r="L414" i="9"/>
  <c r="A414" i="9" s="1"/>
  <c r="P72" i="87" s="1"/>
  <c r="M414" i="9"/>
  <c r="B414" i="9" s="1"/>
  <c r="Q72" i="87" s="1"/>
  <c r="N414" i="9"/>
  <c r="C414" i="9" s="1"/>
  <c r="R78" i="96" s="1"/>
  <c r="O414" i="9"/>
  <c r="D414" i="9" s="1"/>
  <c r="E132" i="48" s="1"/>
  <c r="T414" i="9"/>
  <c r="I414" i="9" s="1"/>
  <c r="J132" i="48" s="1"/>
  <c r="U414" i="9"/>
  <c r="J414" i="9" s="1"/>
  <c r="K132" i="48" s="1"/>
  <c r="L415" i="9"/>
  <c r="M415" i="9"/>
  <c r="N415" i="9"/>
  <c r="O415" i="9"/>
  <c r="Q415" i="9"/>
  <c r="T415" i="9"/>
  <c r="U415" i="9"/>
  <c r="L416" i="9"/>
  <c r="M416" i="9"/>
  <c r="N416" i="9"/>
  <c r="O416" i="9"/>
  <c r="T416" i="9"/>
  <c r="U416" i="9"/>
  <c r="L417" i="9"/>
  <c r="M417" i="9"/>
  <c r="N417" i="9"/>
  <c r="O417" i="9"/>
  <c r="T417" i="9"/>
  <c r="U417" i="9"/>
  <c r="L418" i="9"/>
  <c r="M418" i="9"/>
  <c r="N418" i="9"/>
  <c r="O418" i="9"/>
  <c r="T418" i="9"/>
  <c r="U418" i="9"/>
  <c r="L419" i="9"/>
  <c r="M419" i="9"/>
  <c r="N419" i="9"/>
  <c r="O419" i="9"/>
  <c r="T419" i="9"/>
  <c r="U419" i="9"/>
  <c r="L420" i="9"/>
  <c r="M420" i="9"/>
  <c r="N420" i="9"/>
  <c r="O420" i="9"/>
  <c r="T420" i="9"/>
  <c r="U420" i="9"/>
  <c r="L421" i="9"/>
  <c r="M421" i="9"/>
  <c r="N421" i="9"/>
  <c r="O421" i="9"/>
  <c r="T421" i="9"/>
  <c r="U421" i="9"/>
  <c r="L423" i="9"/>
  <c r="M423" i="9"/>
  <c r="N423" i="9"/>
  <c r="O423" i="9"/>
  <c r="T423" i="9"/>
  <c r="U423" i="9"/>
  <c r="L424" i="9"/>
  <c r="M424" i="9"/>
  <c r="N424" i="9"/>
  <c r="O424" i="9"/>
  <c r="Q424" i="9"/>
  <c r="T424" i="9"/>
  <c r="U424" i="9"/>
  <c r="L425" i="9"/>
  <c r="M425" i="9"/>
  <c r="N425" i="9"/>
  <c r="O425" i="9"/>
  <c r="T425" i="9"/>
  <c r="U425" i="9"/>
  <c r="L426" i="9"/>
  <c r="M426" i="9"/>
  <c r="N426" i="9"/>
  <c r="O426" i="9"/>
  <c r="T426" i="9"/>
  <c r="U426" i="9"/>
  <c r="L427" i="9"/>
  <c r="M427" i="9"/>
  <c r="N427" i="9"/>
  <c r="O427" i="9"/>
  <c r="T427" i="9"/>
  <c r="U427" i="9"/>
  <c r="L428" i="9"/>
  <c r="M428" i="9"/>
  <c r="N428" i="9"/>
  <c r="O428" i="9"/>
  <c r="Q428" i="9"/>
  <c r="T428" i="9"/>
  <c r="U428" i="9"/>
  <c r="L429" i="9"/>
  <c r="M429" i="9"/>
  <c r="N429" i="9"/>
  <c r="O429" i="9"/>
  <c r="T429" i="9"/>
  <c r="U429" i="9"/>
  <c r="L430" i="9"/>
  <c r="M430" i="9"/>
  <c r="N430" i="9"/>
  <c r="O430" i="9"/>
  <c r="T430" i="9"/>
  <c r="U430" i="9"/>
  <c r="L431" i="9"/>
  <c r="M431" i="9"/>
  <c r="N431" i="9"/>
  <c r="O431" i="9"/>
  <c r="T431" i="9"/>
  <c r="U431" i="9"/>
  <c r="L432" i="9"/>
  <c r="M432" i="9"/>
  <c r="N432" i="9"/>
  <c r="O432" i="9"/>
  <c r="T432" i="9"/>
  <c r="U432" i="9"/>
  <c r="L433" i="9"/>
  <c r="M433" i="9"/>
  <c r="N433" i="9"/>
  <c r="O433" i="9"/>
  <c r="T433" i="9"/>
  <c r="U433" i="9"/>
  <c r="L434" i="9"/>
  <c r="M434" i="9"/>
  <c r="N434" i="9"/>
  <c r="O434" i="9"/>
  <c r="T434" i="9"/>
  <c r="U434" i="9"/>
  <c r="L435" i="9"/>
  <c r="M435" i="9"/>
  <c r="N435" i="9"/>
  <c r="O435" i="9"/>
  <c r="T435" i="9"/>
  <c r="U435" i="9"/>
  <c r="L436" i="9"/>
  <c r="M436" i="9"/>
  <c r="N436" i="9"/>
  <c r="O436" i="9"/>
  <c r="T436" i="9"/>
  <c r="U436" i="9"/>
  <c r="L437" i="9"/>
  <c r="M437" i="9"/>
  <c r="N437" i="9"/>
  <c r="O437" i="9"/>
  <c r="T437" i="9"/>
  <c r="U437" i="9"/>
  <c r="L438" i="9"/>
  <c r="M438" i="9"/>
  <c r="N438" i="9"/>
  <c r="O438" i="9"/>
  <c r="T438" i="9"/>
  <c r="U438" i="9"/>
  <c r="L442" i="9"/>
  <c r="M442" i="9"/>
  <c r="N442" i="9"/>
  <c r="O442" i="9"/>
  <c r="T442" i="9"/>
  <c r="U442" i="9"/>
  <c r="L443" i="9"/>
  <c r="M443" i="9"/>
  <c r="N443" i="9"/>
  <c r="O443" i="9"/>
  <c r="Q443" i="9"/>
  <c r="T443" i="9"/>
  <c r="U443" i="9"/>
  <c r="L444" i="9"/>
  <c r="M444" i="9"/>
  <c r="N444" i="9"/>
  <c r="O444" i="9"/>
  <c r="T444" i="9"/>
  <c r="U444" i="9"/>
  <c r="L445" i="9"/>
  <c r="M445" i="9"/>
  <c r="N445" i="9"/>
  <c r="O445" i="9"/>
  <c r="T445" i="9"/>
  <c r="U445" i="9"/>
  <c r="L446" i="9"/>
  <c r="M446" i="9"/>
  <c r="N446" i="9"/>
  <c r="O446" i="9"/>
  <c r="T446" i="9"/>
  <c r="U446" i="9"/>
  <c r="L447" i="9"/>
  <c r="M447" i="9"/>
  <c r="N447" i="9"/>
  <c r="O447" i="9"/>
  <c r="Q447" i="9"/>
  <c r="T447" i="9"/>
  <c r="U447" i="9"/>
  <c r="L448" i="9"/>
  <c r="M448" i="9"/>
  <c r="N448" i="9"/>
  <c r="O448" i="9"/>
  <c r="T448" i="9"/>
  <c r="U448" i="9"/>
  <c r="L449" i="9"/>
  <c r="M449" i="9"/>
  <c r="N449" i="9"/>
  <c r="O449" i="9"/>
  <c r="T449" i="9"/>
  <c r="U449" i="9"/>
  <c r="L450" i="9"/>
  <c r="M450" i="9"/>
  <c r="N450" i="9"/>
  <c r="O450" i="9"/>
  <c r="T450" i="9"/>
  <c r="U450" i="9"/>
  <c r="L451" i="9"/>
  <c r="M451" i="9"/>
  <c r="N451" i="9"/>
  <c r="O451" i="9"/>
  <c r="Q451" i="9"/>
  <c r="T451" i="9"/>
  <c r="U451" i="9"/>
  <c r="L452" i="9"/>
  <c r="M452" i="9"/>
  <c r="N452" i="9"/>
  <c r="O452" i="9"/>
  <c r="T452" i="9"/>
  <c r="U452" i="9"/>
  <c r="L453" i="9"/>
  <c r="M453" i="9"/>
  <c r="N453" i="9"/>
  <c r="O453" i="9"/>
  <c r="T453" i="9"/>
  <c r="U453" i="9"/>
  <c r="L454" i="9"/>
  <c r="M454" i="9"/>
  <c r="N454" i="9"/>
  <c r="O454" i="9"/>
  <c r="T454" i="9"/>
  <c r="U454" i="9"/>
  <c r="L461" i="9"/>
  <c r="M461" i="9"/>
  <c r="N461" i="9"/>
  <c r="O461" i="9"/>
  <c r="T461" i="9"/>
  <c r="U461" i="9"/>
  <c r="L462" i="9"/>
  <c r="M462" i="9"/>
  <c r="N462" i="9"/>
  <c r="O462" i="9"/>
  <c r="Q462" i="9"/>
  <c r="T462" i="9"/>
  <c r="U462" i="9"/>
  <c r="L463" i="9"/>
  <c r="M463" i="9"/>
  <c r="N463" i="9"/>
  <c r="O463" i="9"/>
  <c r="T463" i="9"/>
  <c r="U463" i="9"/>
  <c r="L464" i="9"/>
  <c r="M464" i="9"/>
  <c r="N464" i="9"/>
  <c r="O464" i="9"/>
  <c r="T464" i="9"/>
  <c r="U464" i="9"/>
  <c r="L465" i="9"/>
  <c r="M465" i="9"/>
  <c r="N465" i="9"/>
  <c r="O465" i="9"/>
  <c r="T465" i="9"/>
  <c r="U465" i="9"/>
  <c r="L466" i="9"/>
  <c r="M466" i="9"/>
  <c r="N466" i="9"/>
  <c r="O466" i="9"/>
  <c r="Q466" i="9"/>
  <c r="T466" i="9"/>
  <c r="U466" i="9"/>
  <c r="L467" i="9"/>
  <c r="M467" i="9"/>
  <c r="N467" i="9"/>
  <c r="O467" i="9"/>
  <c r="T467" i="9"/>
  <c r="U467" i="9"/>
  <c r="L468" i="9"/>
  <c r="M468" i="9"/>
  <c r="N468" i="9"/>
  <c r="O468" i="9"/>
  <c r="T468" i="9"/>
  <c r="U468" i="9"/>
  <c r="L469" i="9"/>
  <c r="M469" i="9"/>
  <c r="N469" i="9"/>
  <c r="O469" i="9"/>
  <c r="T469" i="9"/>
  <c r="U469" i="9"/>
  <c r="L470" i="9"/>
  <c r="M470" i="9"/>
  <c r="N470" i="9"/>
  <c r="O470" i="9"/>
  <c r="Q470" i="9"/>
  <c r="T470" i="9"/>
  <c r="U470" i="9"/>
  <c r="L471" i="9"/>
  <c r="M471" i="9"/>
  <c r="N471" i="9"/>
  <c r="O471" i="9"/>
  <c r="T471" i="9"/>
  <c r="U471" i="9"/>
  <c r="L472" i="9"/>
  <c r="M472" i="9"/>
  <c r="N472" i="9"/>
  <c r="O472" i="9"/>
  <c r="T472" i="9"/>
  <c r="U472" i="9"/>
  <c r="L473" i="9"/>
  <c r="M473" i="9"/>
  <c r="N473" i="9"/>
  <c r="O473" i="9"/>
  <c r="T473" i="9"/>
  <c r="U473" i="9"/>
  <c r="L477" i="9"/>
  <c r="M477" i="9"/>
  <c r="N477" i="9"/>
  <c r="O477" i="9"/>
  <c r="Q477" i="9"/>
  <c r="T477" i="9"/>
  <c r="U477" i="9"/>
  <c r="L478" i="9"/>
  <c r="M478" i="9"/>
  <c r="N478" i="9"/>
  <c r="O478" i="9"/>
  <c r="T478" i="9"/>
  <c r="U478" i="9"/>
  <c r="L479" i="9"/>
  <c r="M479" i="9"/>
  <c r="N479" i="9"/>
  <c r="O479" i="9"/>
  <c r="T479" i="9"/>
  <c r="U479" i="9"/>
  <c r="L480" i="9"/>
  <c r="M480" i="9"/>
  <c r="N480" i="9"/>
  <c r="O480" i="9"/>
  <c r="T480" i="9"/>
  <c r="U480" i="9"/>
  <c r="L481" i="9"/>
  <c r="M481" i="9"/>
  <c r="N481" i="9"/>
  <c r="O481" i="9"/>
  <c r="T481" i="9"/>
  <c r="U481" i="9"/>
  <c r="L482" i="9"/>
  <c r="M482" i="9"/>
  <c r="N482" i="9"/>
  <c r="O482" i="9"/>
  <c r="T482" i="9"/>
  <c r="U482" i="9"/>
  <c r="L483" i="9"/>
  <c r="M483" i="9"/>
  <c r="N483" i="9"/>
  <c r="O483" i="9"/>
  <c r="T483" i="9"/>
  <c r="U483" i="9"/>
  <c r="L484" i="9"/>
  <c r="M484" i="9"/>
  <c r="N484" i="9"/>
  <c r="O484" i="9"/>
  <c r="T484" i="9"/>
  <c r="U484" i="9"/>
  <c r="L485" i="9"/>
  <c r="M485" i="9"/>
  <c r="N485" i="9"/>
  <c r="O485" i="9"/>
  <c r="T485" i="9"/>
  <c r="U485" i="9"/>
  <c r="L486" i="9"/>
  <c r="M486" i="9"/>
  <c r="N486" i="9"/>
  <c r="O486" i="9"/>
  <c r="T486" i="9"/>
  <c r="U486" i="9"/>
  <c r="L487" i="9"/>
  <c r="M487" i="9"/>
  <c r="N487" i="9"/>
  <c r="O487" i="9"/>
  <c r="T487" i="9"/>
  <c r="U487" i="9"/>
  <c r="L488" i="9"/>
  <c r="M488" i="9"/>
  <c r="N488" i="9"/>
  <c r="O488" i="9"/>
  <c r="T488" i="9"/>
  <c r="U488" i="9"/>
  <c r="L489" i="9"/>
  <c r="M489" i="9"/>
  <c r="N489" i="9"/>
  <c r="O489" i="9"/>
  <c r="T489" i="9"/>
  <c r="U489" i="9"/>
  <c r="L490" i="9"/>
  <c r="M490" i="9"/>
  <c r="N490" i="9"/>
  <c r="O490" i="9"/>
  <c r="T490" i="9"/>
  <c r="U490" i="9"/>
  <c r="L491" i="9"/>
  <c r="M491" i="9"/>
  <c r="N491" i="9"/>
  <c r="O491" i="9"/>
  <c r="T491" i="9"/>
  <c r="U491" i="9"/>
  <c r="L492" i="9"/>
  <c r="M492" i="9"/>
  <c r="N492" i="9"/>
  <c r="O492" i="9"/>
  <c r="T492" i="9"/>
  <c r="U492" i="9"/>
  <c r="L495" i="9"/>
  <c r="M495" i="9"/>
  <c r="N495" i="9"/>
  <c r="O495" i="9"/>
  <c r="T495" i="9"/>
  <c r="U495" i="9"/>
  <c r="L496" i="9"/>
  <c r="M496" i="9"/>
  <c r="N496" i="9"/>
  <c r="O496" i="9"/>
  <c r="Q496" i="9"/>
  <c r="T496" i="9"/>
  <c r="U496" i="9"/>
  <c r="L497" i="9"/>
  <c r="M497" i="9"/>
  <c r="N497" i="9"/>
  <c r="O497" i="9"/>
  <c r="Q497" i="9"/>
  <c r="T497" i="9"/>
  <c r="U497" i="9"/>
  <c r="L498" i="9"/>
  <c r="M498" i="9"/>
  <c r="N498" i="9"/>
  <c r="O498" i="9"/>
  <c r="T498" i="9"/>
  <c r="U498" i="9"/>
  <c r="L499" i="9"/>
  <c r="M499" i="9"/>
  <c r="N499" i="9"/>
  <c r="O499" i="9"/>
  <c r="T499" i="9"/>
  <c r="U499" i="9"/>
  <c r="L500" i="9"/>
  <c r="M500" i="9"/>
  <c r="N500" i="9"/>
  <c r="O500" i="9"/>
  <c r="T500" i="9"/>
  <c r="U500" i="9"/>
  <c r="L501" i="9"/>
  <c r="M501" i="9"/>
  <c r="N501" i="9"/>
  <c r="O501" i="9"/>
  <c r="Q501" i="9"/>
  <c r="T501" i="9"/>
  <c r="U501" i="9"/>
  <c r="L502" i="9"/>
  <c r="M502" i="9"/>
  <c r="N502" i="9"/>
  <c r="O502" i="9"/>
  <c r="T502" i="9"/>
  <c r="U502" i="9"/>
  <c r="L503" i="9"/>
  <c r="M503" i="9"/>
  <c r="N503" i="9"/>
  <c r="O503" i="9"/>
  <c r="T503" i="9"/>
  <c r="U503" i="9"/>
  <c r="L504" i="9"/>
  <c r="M504" i="9"/>
  <c r="N504" i="9"/>
  <c r="O504" i="9"/>
  <c r="Q504" i="9"/>
  <c r="T504" i="9"/>
  <c r="U504" i="9"/>
  <c r="L505" i="9"/>
  <c r="M505" i="9"/>
  <c r="N505" i="9"/>
  <c r="O505" i="9"/>
  <c r="Q505" i="9"/>
  <c r="T505" i="9"/>
  <c r="U505" i="9"/>
  <c r="L506" i="9"/>
  <c r="M506" i="9"/>
  <c r="N506" i="9"/>
  <c r="O506" i="9"/>
  <c r="T506" i="9"/>
  <c r="U506" i="9"/>
  <c r="L507" i="9"/>
  <c r="M507" i="9"/>
  <c r="N507" i="9"/>
  <c r="O507" i="9"/>
  <c r="T507" i="9"/>
  <c r="U507" i="9"/>
  <c r="L508" i="9"/>
  <c r="M508" i="9"/>
  <c r="N508" i="9"/>
  <c r="O508" i="9"/>
  <c r="Q508" i="9"/>
  <c r="T508" i="9"/>
  <c r="U508" i="9"/>
  <c r="L509" i="9"/>
  <c r="M509" i="9"/>
  <c r="N509" i="9"/>
  <c r="O509" i="9"/>
  <c r="T509" i="9"/>
  <c r="U509" i="9"/>
  <c r="L510" i="9"/>
  <c r="M510" i="9"/>
  <c r="N510" i="9"/>
  <c r="O510" i="9"/>
  <c r="T510" i="9"/>
  <c r="U510" i="9"/>
  <c r="L511" i="9"/>
  <c r="M511" i="9"/>
  <c r="N511" i="9"/>
  <c r="O511" i="9"/>
  <c r="T511" i="9"/>
  <c r="U511" i="9"/>
  <c r="L512" i="9"/>
  <c r="M512" i="9"/>
  <c r="N512" i="9"/>
  <c r="O512" i="9"/>
  <c r="T512" i="9"/>
  <c r="U512" i="9"/>
  <c r="L513" i="9"/>
  <c r="M513" i="9"/>
  <c r="N513" i="9"/>
  <c r="O513" i="9"/>
  <c r="Q513" i="9"/>
  <c r="T513" i="9"/>
  <c r="U513" i="9"/>
  <c r="L514" i="9"/>
  <c r="M514" i="9"/>
  <c r="N514" i="9"/>
  <c r="O514" i="9"/>
  <c r="T514" i="9"/>
  <c r="U514" i="9"/>
  <c r="L515" i="9"/>
  <c r="M515" i="9"/>
  <c r="N515" i="9"/>
  <c r="O515" i="9"/>
  <c r="T515" i="9"/>
  <c r="U515" i="9"/>
  <c r="L516" i="9"/>
  <c r="M516" i="9"/>
  <c r="N516" i="9"/>
  <c r="O516" i="9"/>
  <c r="T516" i="9"/>
  <c r="U516" i="9"/>
  <c r="L517" i="9"/>
  <c r="M517" i="9"/>
  <c r="N517" i="9"/>
  <c r="O517" i="9"/>
  <c r="Q517" i="9"/>
  <c r="T517" i="9"/>
  <c r="U517" i="9"/>
  <c r="L518" i="9"/>
  <c r="M518" i="9"/>
  <c r="N518" i="9"/>
  <c r="O518" i="9"/>
  <c r="T518" i="9"/>
  <c r="U518" i="9"/>
  <c r="L519" i="9"/>
  <c r="M519" i="9"/>
  <c r="N519" i="9"/>
  <c r="O519" i="9"/>
  <c r="T519" i="9"/>
  <c r="U519" i="9"/>
  <c r="L533" i="9"/>
  <c r="M533" i="9"/>
  <c r="N533" i="9"/>
  <c r="O533" i="9"/>
  <c r="T533" i="9"/>
  <c r="U533" i="9"/>
  <c r="L534" i="9"/>
  <c r="M534" i="9"/>
  <c r="N534" i="9"/>
  <c r="O534" i="9"/>
  <c r="T534" i="9"/>
  <c r="U534" i="9"/>
  <c r="L535" i="9"/>
  <c r="M535" i="9"/>
  <c r="N535" i="9"/>
  <c r="O535" i="9"/>
  <c r="Q535" i="9"/>
  <c r="T535" i="9"/>
  <c r="U535" i="9"/>
  <c r="L536" i="9"/>
  <c r="M536" i="9"/>
  <c r="N536" i="9"/>
  <c r="O536" i="9"/>
  <c r="T536" i="9"/>
  <c r="U536" i="9"/>
  <c r="L537" i="9"/>
  <c r="M537" i="9"/>
  <c r="N537" i="9"/>
  <c r="O537" i="9"/>
  <c r="T537" i="9"/>
  <c r="U537" i="9"/>
  <c r="L538" i="9"/>
  <c r="M538" i="9"/>
  <c r="N538" i="9"/>
  <c r="O538" i="9"/>
  <c r="Q538" i="9"/>
  <c r="T538" i="9"/>
  <c r="U538" i="9"/>
  <c r="L539" i="9"/>
  <c r="M539" i="9"/>
  <c r="N539" i="9"/>
  <c r="O539" i="9"/>
  <c r="T539" i="9"/>
  <c r="U539" i="9"/>
  <c r="L540" i="9"/>
  <c r="M540" i="9"/>
  <c r="N540" i="9"/>
  <c r="O540" i="9"/>
  <c r="T540" i="9"/>
  <c r="U540" i="9"/>
  <c r="L541" i="9"/>
  <c r="M541" i="9"/>
  <c r="N541" i="9"/>
  <c r="O541" i="9"/>
  <c r="T541" i="9"/>
  <c r="U541" i="9"/>
  <c r="L542" i="9"/>
  <c r="M542" i="9"/>
  <c r="N542" i="9"/>
  <c r="O542" i="9"/>
  <c r="T542" i="9"/>
  <c r="U542" i="9"/>
  <c r="L543" i="9"/>
  <c r="M543" i="9"/>
  <c r="N543" i="9"/>
  <c r="O543" i="9"/>
  <c r="Q543" i="9"/>
  <c r="T543" i="9"/>
  <c r="U543" i="9"/>
  <c r="L544" i="9"/>
  <c r="M544" i="9"/>
  <c r="N544" i="9"/>
  <c r="O544" i="9"/>
  <c r="T544" i="9"/>
  <c r="U544" i="9"/>
  <c r="L545" i="9"/>
  <c r="M545" i="9"/>
  <c r="N545" i="9"/>
  <c r="O545" i="9"/>
  <c r="T545" i="9"/>
  <c r="U545" i="9"/>
  <c r="L549" i="9"/>
  <c r="M549" i="9"/>
  <c r="N549" i="9"/>
  <c r="O549" i="9"/>
  <c r="T549" i="9"/>
  <c r="U549" i="9"/>
  <c r="L550" i="9"/>
  <c r="M550" i="9"/>
  <c r="N550" i="9"/>
  <c r="O550" i="9"/>
  <c r="Q550" i="9"/>
  <c r="T550" i="9"/>
  <c r="U550" i="9"/>
  <c r="L551" i="9"/>
  <c r="M551" i="9"/>
  <c r="N551" i="9"/>
  <c r="O551" i="9"/>
  <c r="T551" i="9"/>
  <c r="U551" i="9"/>
  <c r="L552" i="9"/>
  <c r="M552" i="9"/>
  <c r="N552" i="9"/>
  <c r="O552" i="9"/>
  <c r="T552" i="9"/>
  <c r="U552" i="9"/>
  <c r="L553" i="9"/>
  <c r="M553" i="9"/>
  <c r="N553" i="9"/>
  <c r="O553" i="9"/>
  <c r="Q553" i="9"/>
  <c r="T553" i="9"/>
  <c r="U553" i="9"/>
  <c r="L554" i="9"/>
  <c r="M554" i="9"/>
  <c r="N554" i="9"/>
  <c r="O554" i="9"/>
  <c r="Q554" i="9"/>
  <c r="T554" i="9"/>
  <c r="U554" i="9"/>
  <c r="L555" i="9"/>
  <c r="M555" i="9"/>
  <c r="N555" i="9"/>
  <c r="O555" i="9"/>
  <c r="T555" i="9"/>
  <c r="U555" i="9"/>
  <c r="L556" i="9"/>
  <c r="M556" i="9"/>
  <c r="N556" i="9"/>
  <c r="O556" i="9"/>
  <c r="T556" i="9"/>
  <c r="U556" i="9"/>
  <c r="L557" i="9"/>
  <c r="M557" i="9"/>
  <c r="N557" i="9"/>
  <c r="O557" i="9"/>
  <c r="Q557" i="9"/>
  <c r="T557" i="9"/>
  <c r="U557" i="9"/>
  <c r="L558" i="9"/>
  <c r="M558" i="9"/>
  <c r="N558" i="9"/>
  <c r="O558" i="9"/>
  <c r="Q558" i="9"/>
  <c r="T558" i="9"/>
  <c r="U558" i="9"/>
  <c r="L559" i="9"/>
  <c r="M559" i="9"/>
  <c r="N559" i="9"/>
  <c r="O559" i="9"/>
  <c r="T559" i="9"/>
  <c r="U559" i="9"/>
  <c r="L560" i="9"/>
  <c r="M560" i="9"/>
  <c r="N560" i="9"/>
  <c r="O560" i="9"/>
  <c r="T560" i="9"/>
  <c r="U560" i="9"/>
  <c r="L561" i="9"/>
  <c r="M561" i="9"/>
  <c r="N561" i="9"/>
  <c r="O561" i="9"/>
  <c r="T561" i="9"/>
  <c r="U561" i="9"/>
  <c r="L565" i="9"/>
  <c r="M565" i="9"/>
  <c r="N565" i="9"/>
  <c r="O565" i="9"/>
  <c r="Q565" i="9"/>
  <c r="T565" i="9"/>
  <c r="U565" i="9"/>
  <c r="L566" i="9"/>
  <c r="M566" i="9"/>
  <c r="N566" i="9"/>
  <c r="O566" i="9"/>
  <c r="T566" i="9"/>
  <c r="U566" i="9"/>
  <c r="L567" i="9"/>
  <c r="M567" i="9"/>
  <c r="N567" i="9"/>
  <c r="O567" i="9"/>
  <c r="T567" i="9"/>
  <c r="U567" i="9"/>
  <c r="L568" i="9"/>
  <c r="M568" i="9"/>
  <c r="N568" i="9"/>
  <c r="O568" i="9"/>
  <c r="T568" i="9"/>
  <c r="U568" i="9"/>
  <c r="L569" i="9"/>
  <c r="M569" i="9"/>
  <c r="N569" i="9"/>
  <c r="O569" i="9"/>
  <c r="Q569" i="9"/>
  <c r="T569" i="9"/>
  <c r="U569" i="9"/>
  <c r="L570" i="9"/>
  <c r="M570" i="9"/>
  <c r="N570" i="9"/>
  <c r="O570" i="9"/>
  <c r="T570" i="9"/>
  <c r="U570" i="9"/>
  <c r="L571" i="9"/>
  <c r="M571" i="9"/>
  <c r="N571" i="9"/>
  <c r="O571" i="9"/>
  <c r="T571" i="9"/>
  <c r="U571" i="9"/>
  <c r="L572" i="9"/>
  <c r="M572" i="9"/>
  <c r="N572" i="9"/>
  <c r="O572" i="9"/>
  <c r="Q572" i="9"/>
  <c r="T572" i="9"/>
  <c r="U572" i="9"/>
  <c r="L573" i="9"/>
  <c r="M573" i="9"/>
  <c r="N573" i="9"/>
  <c r="O573" i="9"/>
  <c r="T573" i="9"/>
  <c r="U573" i="9"/>
  <c r="L574" i="9"/>
  <c r="M574" i="9"/>
  <c r="N574" i="9"/>
  <c r="O574" i="9"/>
  <c r="T574" i="9"/>
  <c r="U574" i="9"/>
  <c r="L575" i="9"/>
  <c r="M575" i="9"/>
  <c r="N575" i="9"/>
  <c r="O575" i="9"/>
  <c r="T575" i="9"/>
  <c r="U575" i="9"/>
  <c r="L576" i="9"/>
  <c r="M576" i="9"/>
  <c r="N576" i="9"/>
  <c r="O576" i="9"/>
  <c r="Q576" i="9"/>
  <c r="T576" i="9"/>
  <c r="U576" i="9"/>
  <c r="L577" i="9"/>
  <c r="M577" i="9"/>
  <c r="N577" i="9"/>
  <c r="O577" i="9"/>
  <c r="Q577" i="9"/>
  <c r="T577" i="9"/>
  <c r="U577" i="9"/>
  <c r="L578" i="9"/>
  <c r="M578" i="9"/>
  <c r="N578" i="9"/>
  <c r="O578" i="9"/>
  <c r="T578" i="9"/>
  <c r="U578" i="9"/>
  <c r="L579" i="9"/>
  <c r="M579" i="9"/>
  <c r="N579" i="9"/>
  <c r="O579" i="9"/>
  <c r="T579" i="9"/>
  <c r="U579" i="9"/>
  <c r="L580" i="9"/>
  <c r="M580" i="9"/>
  <c r="N580" i="9"/>
  <c r="O580" i="9"/>
  <c r="T580" i="9"/>
  <c r="U580" i="9"/>
  <c r="L584" i="9"/>
  <c r="M584" i="9"/>
  <c r="N584" i="9"/>
  <c r="O584" i="9"/>
  <c r="Q584" i="9"/>
  <c r="U584" i="9"/>
  <c r="L585" i="9"/>
  <c r="M585" i="9"/>
  <c r="N585" i="9"/>
  <c r="O585" i="9"/>
  <c r="T585" i="9"/>
  <c r="U585" i="9"/>
  <c r="L586" i="9"/>
  <c r="M586" i="9"/>
  <c r="N586" i="9"/>
  <c r="O586" i="9"/>
  <c r="T586" i="9"/>
  <c r="U586" i="9"/>
  <c r="L587" i="9"/>
  <c r="M587" i="9"/>
  <c r="N587" i="9"/>
  <c r="O587" i="9"/>
  <c r="Q587" i="9"/>
  <c r="T587" i="9"/>
  <c r="U587" i="9"/>
  <c r="L588" i="9"/>
  <c r="M588" i="9"/>
  <c r="N588" i="9"/>
  <c r="O588" i="9"/>
  <c r="T588" i="9"/>
  <c r="U588" i="9"/>
  <c r="L589" i="9"/>
  <c r="M589" i="9"/>
  <c r="N589" i="9"/>
  <c r="O589" i="9"/>
  <c r="T589" i="9"/>
  <c r="U589" i="9"/>
  <c r="L590" i="9"/>
  <c r="M590" i="9"/>
  <c r="N590" i="9"/>
  <c r="O590" i="9"/>
  <c r="T590" i="9"/>
  <c r="U590" i="9"/>
  <c r="L591" i="9"/>
  <c r="M591" i="9"/>
  <c r="N591" i="9"/>
  <c r="O591" i="9"/>
  <c r="Q591" i="9"/>
  <c r="T591" i="9"/>
  <c r="U591" i="9"/>
  <c r="L592" i="9"/>
  <c r="M592" i="9"/>
  <c r="N592" i="9"/>
  <c r="O592" i="9"/>
  <c r="Q592" i="9"/>
  <c r="T592" i="9"/>
  <c r="U592" i="9"/>
  <c r="L593" i="9"/>
  <c r="M593" i="9"/>
  <c r="N593" i="9"/>
  <c r="O593" i="9"/>
  <c r="T593" i="9"/>
  <c r="U593" i="9"/>
  <c r="L594" i="9"/>
  <c r="M594" i="9"/>
  <c r="N594" i="9"/>
  <c r="O594" i="9"/>
  <c r="T594" i="9"/>
  <c r="U594" i="9"/>
  <c r="L595" i="9"/>
  <c r="M595" i="9"/>
  <c r="N595" i="9"/>
  <c r="O595" i="9"/>
  <c r="Q595" i="9"/>
  <c r="T595" i="9"/>
  <c r="U595" i="9"/>
  <c r="L596" i="9"/>
  <c r="M596" i="9"/>
  <c r="N596" i="9"/>
  <c r="O596" i="9"/>
  <c r="T596" i="9"/>
  <c r="U596" i="9"/>
  <c r="L597" i="9"/>
  <c r="M597" i="9"/>
  <c r="N597" i="9"/>
  <c r="O597" i="9"/>
  <c r="T597" i="9"/>
  <c r="U597" i="9"/>
  <c r="L598" i="9"/>
  <c r="M598" i="9"/>
  <c r="N598" i="9"/>
  <c r="O598" i="9"/>
  <c r="T598" i="9"/>
  <c r="U598" i="9"/>
  <c r="L599" i="9"/>
  <c r="M599" i="9"/>
  <c r="N599" i="9"/>
  <c r="O599" i="9"/>
  <c r="T599" i="9"/>
  <c r="U599" i="9"/>
  <c r="L600" i="9"/>
  <c r="M600" i="9"/>
  <c r="N600" i="9"/>
  <c r="O600" i="9"/>
  <c r="Q600" i="9"/>
  <c r="T600" i="9"/>
  <c r="U600" i="9"/>
  <c r="L601" i="9"/>
  <c r="M601" i="9"/>
  <c r="N601" i="9"/>
  <c r="O601" i="9"/>
  <c r="T601" i="9"/>
  <c r="U601" i="9"/>
  <c r="L602" i="9"/>
  <c r="M602" i="9"/>
  <c r="N602" i="9"/>
  <c r="O602" i="9"/>
  <c r="T602" i="9"/>
  <c r="U602" i="9"/>
  <c r="L603" i="9"/>
  <c r="M603" i="9"/>
  <c r="N603" i="9"/>
  <c r="O603" i="9"/>
  <c r="T603" i="9"/>
  <c r="U603" i="9"/>
  <c r="L604" i="9"/>
  <c r="M604" i="9"/>
  <c r="N604" i="9"/>
  <c r="O604" i="9"/>
  <c r="Q604" i="9"/>
  <c r="T604" i="9"/>
  <c r="U604" i="9"/>
  <c r="L605" i="9"/>
  <c r="M605" i="9"/>
  <c r="N605" i="9"/>
  <c r="O605" i="9"/>
  <c r="T605" i="9"/>
  <c r="U605" i="9"/>
  <c r="L606" i="9"/>
  <c r="M606" i="9"/>
  <c r="N606" i="9"/>
  <c r="O606" i="9"/>
  <c r="T606" i="9"/>
  <c r="U606" i="9"/>
  <c r="L607" i="9"/>
  <c r="M607" i="9"/>
  <c r="N607" i="9"/>
  <c r="O607" i="9"/>
  <c r="Q607" i="9"/>
  <c r="T607" i="9"/>
  <c r="U607" i="9"/>
  <c r="L608" i="9"/>
  <c r="M608" i="9"/>
  <c r="N608" i="9"/>
  <c r="O608" i="9"/>
  <c r="T608" i="9"/>
  <c r="U608" i="9"/>
  <c r="L609" i="9"/>
  <c r="M609" i="9"/>
  <c r="N609" i="9"/>
  <c r="O609" i="9"/>
  <c r="T609" i="9"/>
  <c r="U609" i="9"/>
  <c r="L610" i="9"/>
  <c r="M610" i="9"/>
  <c r="N610" i="9"/>
  <c r="O610" i="9"/>
  <c r="T610" i="9"/>
  <c r="U610" i="9"/>
  <c r="L619" i="9"/>
  <c r="M619" i="9"/>
  <c r="N619" i="9"/>
  <c r="O619" i="9"/>
  <c r="T619" i="9"/>
  <c r="U619" i="9"/>
  <c r="L620" i="9"/>
  <c r="M620" i="9"/>
  <c r="N620" i="9"/>
  <c r="O620" i="9"/>
  <c r="Q620" i="9"/>
  <c r="T620" i="9"/>
  <c r="U620" i="9"/>
  <c r="L621" i="9"/>
  <c r="M621" i="9"/>
  <c r="N621" i="9"/>
  <c r="O621" i="9"/>
  <c r="T621" i="9"/>
  <c r="U621" i="9"/>
  <c r="L622" i="9"/>
  <c r="M622" i="9"/>
  <c r="N622" i="9"/>
  <c r="O622" i="9"/>
  <c r="T622" i="9"/>
  <c r="U622" i="9"/>
  <c r="L623" i="9"/>
  <c r="M623" i="9"/>
  <c r="N623" i="9"/>
  <c r="O623" i="9"/>
  <c r="Q623" i="9"/>
  <c r="T623" i="9"/>
  <c r="U623" i="9"/>
  <c r="L624" i="9"/>
  <c r="M624" i="9"/>
  <c r="N624" i="9"/>
  <c r="O624" i="9"/>
  <c r="Q624" i="9"/>
  <c r="T624" i="9"/>
  <c r="U624" i="9"/>
  <c r="L625" i="9"/>
  <c r="A625" i="9" s="1"/>
  <c r="B203" i="48" s="1"/>
  <c r="M625" i="9"/>
  <c r="N625" i="9"/>
  <c r="O625" i="9"/>
  <c r="T625" i="9"/>
  <c r="I625" i="9" s="1"/>
  <c r="J203" i="48" s="1"/>
  <c r="U625" i="9"/>
  <c r="J625" i="9" s="1"/>
  <c r="K203" i="48" s="1"/>
  <c r="E626" i="9"/>
  <c r="L626" i="9"/>
  <c r="A626" i="9" s="1"/>
  <c r="M626" i="9"/>
  <c r="B626" i="9" s="1"/>
  <c r="C204" i="48" s="1"/>
  <c r="N626" i="9"/>
  <c r="C626" i="9" s="1"/>
  <c r="Q19" i="103" s="1"/>
  <c r="O626" i="9"/>
  <c r="D626" i="9" s="1"/>
  <c r="E204" i="48" s="1"/>
  <c r="T626" i="9"/>
  <c r="I626" i="9" s="1"/>
  <c r="J204" i="48" s="1"/>
  <c r="U626" i="9"/>
  <c r="J626" i="9" s="1"/>
  <c r="K204" i="48" s="1"/>
  <c r="E627" i="9"/>
  <c r="L627" i="9"/>
  <c r="A627" i="9" s="1"/>
  <c r="B205" i="48" s="1"/>
  <c r="M627" i="9"/>
  <c r="B627" i="9" s="1"/>
  <c r="N627" i="9"/>
  <c r="C627" i="9" s="1"/>
  <c r="D205" i="48" s="1"/>
  <c r="O627" i="9"/>
  <c r="D627" i="9" s="1"/>
  <c r="E205" i="48" s="1"/>
  <c r="Q627" i="9"/>
  <c r="T627" i="9"/>
  <c r="I627" i="9" s="1"/>
  <c r="J205" i="48" s="1"/>
  <c r="U627" i="9"/>
  <c r="J627" i="9" s="1"/>
  <c r="K205" i="48" s="1"/>
  <c r="E628" i="9"/>
  <c r="L628" i="9"/>
  <c r="A628" i="9" s="1"/>
  <c r="B206" i="48" s="1"/>
  <c r="M628" i="9"/>
  <c r="B628" i="9" s="1"/>
  <c r="C206" i="48" s="1"/>
  <c r="N628" i="9"/>
  <c r="C628" i="9" s="1"/>
  <c r="O628" i="9"/>
  <c r="D628" i="9" s="1"/>
  <c r="E206" i="48" s="1"/>
  <c r="Q628" i="9"/>
  <c r="T628" i="9"/>
  <c r="I628" i="9" s="1"/>
  <c r="J206" i="48" s="1"/>
  <c r="U628" i="9"/>
  <c r="J628" i="9" s="1"/>
  <c r="K206" i="48" s="1"/>
  <c r="E629" i="9"/>
  <c r="L629" i="9"/>
  <c r="A629" i="9" s="1"/>
  <c r="B207" i="48" s="1"/>
  <c r="M629" i="9"/>
  <c r="B629" i="9" s="1"/>
  <c r="C207" i="48" s="1"/>
  <c r="N629" i="9"/>
  <c r="C629" i="9" s="1"/>
  <c r="Q22" i="103" s="1"/>
  <c r="O629" i="9"/>
  <c r="D629" i="9" s="1"/>
  <c r="E207" i="48" s="1"/>
  <c r="T629" i="9"/>
  <c r="I629" i="9" s="1"/>
  <c r="J207" i="48" s="1"/>
  <c r="U629" i="9"/>
  <c r="J629" i="9" s="1"/>
  <c r="K207" i="48" s="1"/>
  <c r="L630" i="9"/>
  <c r="M630" i="9"/>
  <c r="N630" i="9"/>
  <c r="O630" i="9"/>
  <c r="T630" i="9"/>
  <c r="U630" i="9"/>
  <c r="L631" i="9"/>
  <c r="M631" i="9"/>
  <c r="N631" i="9"/>
  <c r="O631" i="9"/>
  <c r="Q631" i="9"/>
  <c r="T631" i="9"/>
  <c r="U631" i="9"/>
  <c r="L632" i="9"/>
  <c r="M632" i="9"/>
  <c r="N632" i="9"/>
  <c r="O632" i="9"/>
  <c r="T632" i="9"/>
  <c r="U632" i="9"/>
  <c r="E633" i="9"/>
  <c r="L633" i="9"/>
  <c r="A633" i="9" s="1"/>
  <c r="B209" i="48" s="1"/>
  <c r="M633" i="9"/>
  <c r="B633" i="9" s="1"/>
  <c r="C14" i="16" s="1"/>
  <c r="N633" i="9"/>
  <c r="C633" i="9" s="1"/>
  <c r="O633" i="9"/>
  <c r="D633" i="9" s="1"/>
  <c r="E209" i="48" s="1"/>
  <c r="T633" i="9"/>
  <c r="I633" i="9" s="1"/>
  <c r="J209" i="48" s="1"/>
  <c r="U633" i="9"/>
  <c r="J633" i="9" s="1"/>
  <c r="K209" i="48" s="1"/>
  <c r="E634" i="9"/>
  <c r="L634" i="9"/>
  <c r="A634" i="9" s="1"/>
  <c r="M634" i="9"/>
  <c r="B634" i="9" s="1"/>
  <c r="N634" i="9"/>
  <c r="C634" i="9" s="1"/>
  <c r="D24" i="75" s="1"/>
  <c r="O634" i="9"/>
  <c r="D634" i="9" s="1"/>
  <c r="E210" i="48" s="1"/>
  <c r="T634" i="9"/>
  <c r="I634" i="9" s="1"/>
  <c r="J210" i="48" s="1"/>
  <c r="U634" i="9"/>
  <c r="J634" i="9" s="1"/>
  <c r="K210" i="48" s="1"/>
  <c r="E635" i="9"/>
  <c r="L635" i="9"/>
  <c r="A635" i="9" s="1"/>
  <c r="M635" i="9"/>
  <c r="B635" i="9" s="1"/>
  <c r="C211" i="48" s="1"/>
  <c r="N635" i="9"/>
  <c r="C635" i="9" s="1"/>
  <c r="D13" i="16" s="1"/>
  <c r="O635" i="9"/>
  <c r="D635" i="9" s="1"/>
  <c r="E211" i="48" s="1"/>
  <c r="T635" i="9"/>
  <c r="I635" i="9" s="1"/>
  <c r="J211" i="48" s="1"/>
  <c r="U635" i="9"/>
  <c r="J635" i="9" s="1"/>
  <c r="K211" i="48" s="1"/>
  <c r="E636" i="9"/>
  <c r="L636" i="9"/>
  <c r="A636" i="9" s="1"/>
  <c r="B212" i="48" s="1"/>
  <c r="M636" i="9"/>
  <c r="B636" i="9" s="1"/>
  <c r="C212" i="48" s="1"/>
  <c r="N636" i="9"/>
  <c r="C636" i="9" s="1"/>
  <c r="O636" i="9"/>
  <c r="D636" i="9" s="1"/>
  <c r="E212" i="48" s="1"/>
  <c r="Q636" i="9"/>
  <c r="T636" i="9"/>
  <c r="I636" i="9" s="1"/>
  <c r="J212" i="48" s="1"/>
  <c r="U636" i="9"/>
  <c r="J636" i="9" s="1"/>
  <c r="K212" i="48" s="1"/>
  <c r="L637" i="9"/>
  <c r="A637" i="9" s="1"/>
  <c r="B213" i="48" s="1"/>
  <c r="M637" i="9"/>
  <c r="B637" i="9" s="1"/>
  <c r="N637" i="9"/>
  <c r="C637" i="9" s="1"/>
  <c r="D213" i="48" s="1"/>
  <c r="O637" i="9"/>
  <c r="D637" i="9" s="1"/>
  <c r="E213" i="48" s="1"/>
  <c r="T637" i="9"/>
  <c r="I637" i="9" s="1"/>
  <c r="J213" i="48" s="1"/>
  <c r="U637" i="9"/>
  <c r="J637" i="9" s="1"/>
  <c r="K213" i="48" s="1"/>
  <c r="L638" i="9"/>
  <c r="A638" i="9" s="1"/>
  <c r="M638" i="9"/>
  <c r="B638" i="9" s="1"/>
  <c r="N638" i="9"/>
  <c r="C638" i="9" s="1"/>
  <c r="O638" i="9"/>
  <c r="D638" i="9" s="1"/>
  <c r="E214" i="48" s="1"/>
  <c r="T638" i="9"/>
  <c r="I638" i="9" s="1"/>
  <c r="J214" i="48" s="1"/>
  <c r="U638" i="9"/>
  <c r="J638" i="9" s="1"/>
  <c r="K214" i="48" s="1"/>
  <c r="L639" i="9"/>
  <c r="A639" i="9" s="1"/>
  <c r="M639" i="9"/>
  <c r="B639" i="9" s="1"/>
  <c r="N639" i="9"/>
  <c r="C639" i="9" s="1"/>
  <c r="O639" i="9"/>
  <c r="D639" i="9" s="1"/>
  <c r="E215" i="48" s="1"/>
  <c r="BD215" i="48" s="1"/>
  <c r="T639" i="9"/>
  <c r="I639" i="9" s="1"/>
  <c r="J215" i="48" s="1"/>
  <c r="U639" i="9"/>
  <c r="J639" i="9" s="1"/>
  <c r="K215" i="48" s="1"/>
  <c r="L640" i="9"/>
  <c r="A640" i="9" s="1"/>
  <c r="M640" i="9"/>
  <c r="B640" i="9" s="1"/>
  <c r="N640" i="9"/>
  <c r="C640" i="9" s="1"/>
  <c r="O640" i="9"/>
  <c r="D640" i="9" s="1"/>
  <c r="E216" i="48" s="1"/>
  <c r="BD216" i="48" s="1"/>
  <c r="Q640" i="9"/>
  <c r="T640" i="9"/>
  <c r="I640" i="9" s="1"/>
  <c r="J216" i="48" s="1"/>
  <c r="U640" i="9"/>
  <c r="J640" i="9" s="1"/>
  <c r="K216" i="48" s="1"/>
  <c r="L641" i="9"/>
  <c r="M641" i="9"/>
  <c r="N641" i="9"/>
  <c r="O641" i="9"/>
  <c r="T641" i="9"/>
  <c r="U641" i="9"/>
  <c r="L642" i="9"/>
  <c r="M642" i="9"/>
  <c r="N642" i="9"/>
  <c r="O642" i="9"/>
  <c r="T642" i="9"/>
  <c r="U642" i="9"/>
  <c r="L643" i="9"/>
  <c r="M643" i="9"/>
  <c r="N643" i="9"/>
  <c r="O643" i="9"/>
  <c r="Q643" i="9"/>
  <c r="T643" i="9"/>
  <c r="U643" i="9"/>
  <c r="L644" i="9"/>
  <c r="M644" i="9"/>
  <c r="N644" i="9"/>
  <c r="O644" i="9"/>
  <c r="Q644" i="9"/>
  <c r="T644" i="9"/>
  <c r="U644" i="9"/>
  <c r="L645" i="9"/>
  <c r="M645" i="9"/>
  <c r="N645" i="9"/>
  <c r="O645" i="9"/>
  <c r="T645" i="9"/>
  <c r="U645" i="9"/>
  <c r="L646" i="9"/>
  <c r="M646" i="9"/>
  <c r="N646" i="9"/>
  <c r="O646" i="9"/>
  <c r="T646" i="9"/>
  <c r="U646" i="9"/>
  <c r="L647" i="9"/>
  <c r="M647" i="9"/>
  <c r="N647" i="9"/>
  <c r="O647" i="9"/>
  <c r="T647" i="9"/>
  <c r="U647" i="9"/>
  <c r="L648" i="9"/>
  <c r="M648" i="9"/>
  <c r="N648" i="9"/>
  <c r="O648" i="9"/>
  <c r="Q648" i="9"/>
  <c r="T648" i="9"/>
  <c r="U648" i="9"/>
  <c r="L649" i="9"/>
  <c r="M649" i="9"/>
  <c r="N649" i="9"/>
  <c r="O649" i="9"/>
  <c r="T649" i="9"/>
  <c r="U649" i="9"/>
  <c r="L650" i="9"/>
  <c r="M650" i="9"/>
  <c r="N650" i="9"/>
  <c r="O650" i="9"/>
  <c r="T650" i="9"/>
  <c r="U650" i="9"/>
  <c r="E651" i="9"/>
  <c r="L651" i="9"/>
  <c r="A651" i="9" s="1"/>
  <c r="M651" i="9"/>
  <c r="B651" i="9" s="1"/>
  <c r="C3" i="75" s="1"/>
  <c r="N651" i="9"/>
  <c r="C651" i="9" s="1"/>
  <c r="O651" i="9"/>
  <c r="D651" i="9" s="1"/>
  <c r="E218" i="48" s="1"/>
  <c r="Q651" i="9"/>
  <c r="T651" i="9"/>
  <c r="I651" i="9" s="1"/>
  <c r="J218" i="48" s="1"/>
  <c r="U651" i="9"/>
  <c r="J651" i="9" s="1"/>
  <c r="K218" i="48" s="1"/>
  <c r="E652" i="9"/>
  <c r="L652" i="9"/>
  <c r="A652" i="9" s="1"/>
  <c r="B219" i="48" s="1"/>
  <c r="M652" i="9"/>
  <c r="B652" i="9" s="1"/>
  <c r="C4" i="75" s="1"/>
  <c r="N652" i="9"/>
  <c r="C652" i="9" s="1"/>
  <c r="D4" i="75" s="1"/>
  <c r="O652" i="9"/>
  <c r="D652" i="9" s="1"/>
  <c r="E219" i="48" s="1"/>
  <c r="Q652" i="9"/>
  <c r="T652" i="9"/>
  <c r="I652" i="9" s="1"/>
  <c r="J219" i="48" s="1"/>
  <c r="U652" i="9"/>
  <c r="J652" i="9" s="1"/>
  <c r="K219" i="48" s="1"/>
  <c r="E653" i="9"/>
  <c r="L653" i="9"/>
  <c r="A653" i="9" s="1"/>
  <c r="B10" i="75" s="1"/>
  <c r="M653" i="9"/>
  <c r="B653" i="9" s="1"/>
  <c r="C220" i="48" s="1"/>
  <c r="N653" i="9"/>
  <c r="C653" i="9" s="1"/>
  <c r="D10" i="75" s="1"/>
  <c r="O653" i="9"/>
  <c r="D653" i="9" s="1"/>
  <c r="E220" i="48" s="1"/>
  <c r="T653" i="9"/>
  <c r="I653" i="9" s="1"/>
  <c r="J220" i="48" s="1"/>
  <c r="U653" i="9"/>
  <c r="J653" i="9" s="1"/>
  <c r="K220" i="48" s="1"/>
  <c r="E654" i="9"/>
  <c r="L654" i="9"/>
  <c r="A654" i="9" s="1"/>
  <c r="B221" i="48" s="1"/>
  <c r="M654" i="9"/>
  <c r="B654" i="9" s="1"/>
  <c r="N654" i="9"/>
  <c r="C654" i="9" s="1"/>
  <c r="D8" i="75" s="1"/>
  <c r="O654" i="9"/>
  <c r="D654" i="9" s="1"/>
  <c r="E221" i="48" s="1"/>
  <c r="T654" i="9"/>
  <c r="I654" i="9" s="1"/>
  <c r="J221" i="48" s="1"/>
  <c r="U654" i="9"/>
  <c r="J654" i="9" s="1"/>
  <c r="K221" i="48" s="1"/>
  <c r="E655" i="9"/>
  <c r="L655" i="9"/>
  <c r="A655" i="9" s="1"/>
  <c r="B9" i="75" s="1"/>
  <c r="M655" i="9"/>
  <c r="B655" i="9" s="1"/>
  <c r="C9" i="75" s="1"/>
  <c r="N655" i="9"/>
  <c r="C655" i="9" s="1"/>
  <c r="D9" i="75" s="1"/>
  <c r="O655" i="9"/>
  <c r="D655" i="9" s="1"/>
  <c r="E222" i="48" s="1"/>
  <c r="Q655" i="9"/>
  <c r="T655" i="9"/>
  <c r="I655" i="9" s="1"/>
  <c r="J222" i="48" s="1"/>
  <c r="U655" i="9"/>
  <c r="J655" i="9" s="1"/>
  <c r="K222" i="48" s="1"/>
  <c r="E656" i="9"/>
  <c r="L656" i="9"/>
  <c r="A656" i="9" s="1"/>
  <c r="M656" i="9"/>
  <c r="B656" i="9" s="1"/>
  <c r="C223" i="48" s="1"/>
  <c r="N656" i="9"/>
  <c r="C656" i="9" s="1"/>
  <c r="D22" i="75" s="1"/>
  <c r="O656" i="9"/>
  <c r="D656" i="9" s="1"/>
  <c r="E223" i="48" s="1"/>
  <c r="T656" i="9"/>
  <c r="I656" i="9" s="1"/>
  <c r="J223" i="48" s="1"/>
  <c r="U656" i="9"/>
  <c r="J656" i="9" s="1"/>
  <c r="K223" i="48" s="1"/>
  <c r="E657" i="9"/>
  <c r="L657" i="9"/>
  <c r="A657" i="9" s="1"/>
  <c r="B224" i="48" s="1"/>
  <c r="M657" i="9"/>
  <c r="B657" i="9" s="1"/>
  <c r="C21" i="75" s="1"/>
  <c r="N657" i="9"/>
  <c r="C657" i="9" s="1"/>
  <c r="D224" i="48" s="1"/>
  <c r="O657" i="9"/>
  <c r="D657" i="9" s="1"/>
  <c r="E224" i="48" s="1"/>
  <c r="T657" i="9"/>
  <c r="I657" i="9" s="1"/>
  <c r="J224" i="48" s="1"/>
  <c r="U657" i="9"/>
  <c r="J657" i="9" s="1"/>
  <c r="K224" i="48" s="1"/>
  <c r="E658" i="9"/>
  <c r="L658" i="9"/>
  <c r="A658" i="9" s="1"/>
  <c r="M658" i="9"/>
  <c r="B658" i="9" s="1"/>
  <c r="C27" i="75" s="1"/>
  <c r="N658" i="9"/>
  <c r="C658" i="9" s="1"/>
  <c r="D225" i="48" s="1"/>
  <c r="O658" i="9"/>
  <c r="D658" i="9" s="1"/>
  <c r="E225" i="48" s="1"/>
  <c r="T658" i="9"/>
  <c r="I658" i="9" s="1"/>
  <c r="J225" i="48" s="1"/>
  <c r="U658" i="9"/>
  <c r="J658" i="9" s="1"/>
  <c r="K225" i="48" s="1"/>
  <c r="E659" i="9"/>
  <c r="L659" i="9"/>
  <c r="A659" i="9" s="1"/>
  <c r="M659" i="9"/>
  <c r="B659" i="9" s="1"/>
  <c r="N659" i="9"/>
  <c r="C659" i="9" s="1"/>
  <c r="D23" i="75" s="1"/>
  <c r="O659" i="9"/>
  <c r="D659" i="9" s="1"/>
  <c r="E226" i="48" s="1"/>
  <c r="T659" i="9"/>
  <c r="I659" i="9" s="1"/>
  <c r="J226" i="48" s="1"/>
  <c r="U659" i="9"/>
  <c r="J659" i="9" s="1"/>
  <c r="K226" i="48" s="1"/>
  <c r="E660" i="9"/>
  <c r="L660" i="9"/>
  <c r="A660" i="9" s="1"/>
  <c r="B17" i="75" s="1"/>
  <c r="M660" i="9"/>
  <c r="B660" i="9" s="1"/>
  <c r="C227" i="48" s="1"/>
  <c r="N660" i="9"/>
  <c r="C660" i="9" s="1"/>
  <c r="O660" i="9"/>
  <c r="D660" i="9" s="1"/>
  <c r="E227" i="48" s="1"/>
  <c r="T660" i="9"/>
  <c r="I660" i="9" s="1"/>
  <c r="J227" i="48" s="1"/>
  <c r="U660" i="9"/>
  <c r="J660" i="9" s="1"/>
  <c r="K227" i="48" s="1"/>
  <c r="E661" i="9"/>
  <c r="L661" i="9"/>
  <c r="A661" i="9" s="1"/>
  <c r="B18" i="75" s="1"/>
  <c r="M661" i="9"/>
  <c r="B661" i="9" s="1"/>
  <c r="C228" i="48" s="1"/>
  <c r="N661" i="9"/>
  <c r="C661" i="9" s="1"/>
  <c r="D228" i="48" s="1"/>
  <c r="O661" i="9"/>
  <c r="D661" i="9" s="1"/>
  <c r="E228" i="48" s="1"/>
  <c r="T661" i="9"/>
  <c r="I661" i="9" s="1"/>
  <c r="J228" i="48" s="1"/>
  <c r="U661" i="9"/>
  <c r="J661" i="9" s="1"/>
  <c r="K228" i="48" s="1"/>
  <c r="E662" i="9"/>
  <c r="L662" i="9"/>
  <c r="A662" i="9" s="1"/>
  <c r="B229" i="48" s="1"/>
  <c r="M662" i="9"/>
  <c r="B662" i="9" s="1"/>
  <c r="C19" i="75" s="1"/>
  <c r="N662" i="9"/>
  <c r="C662" i="9" s="1"/>
  <c r="D19" i="75" s="1"/>
  <c r="O662" i="9"/>
  <c r="D662" i="9" s="1"/>
  <c r="E229" i="48" s="1"/>
  <c r="T662" i="9"/>
  <c r="I662" i="9" s="1"/>
  <c r="J229" i="48" s="1"/>
  <c r="U662" i="9"/>
  <c r="J662" i="9" s="1"/>
  <c r="K229" i="48" s="1"/>
  <c r="E663" i="9"/>
  <c r="L663" i="9"/>
  <c r="A663" i="9" s="1"/>
  <c r="M663" i="9"/>
  <c r="B663" i="9" s="1"/>
  <c r="C20" i="75" s="1"/>
  <c r="N663" i="9"/>
  <c r="C663" i="9" s="1"/>
  <c r="D20" i="75" s="1"/>
  <c r="O663" i="9"/>
  <c r="D663" i="9" s="1"/>
  <c r="E230" i="48" s="1"/>
  <c r="T663" i="9"/>
  <c r="I663" i="9" s="1"/>
  <c r="J230" i="48" s="1"/>
  <c r="U663" i="9"/>
  <c r="J663" i="9" s="1"/>
  <c r="K230" i="48" s="1"/>
  <c r="E664" i="9"/>
  <c r="L664" i="9"/>
  <c r="A664" i="9" s="1"/>
  <c r="B231" i="48" s="1"/>
  <c r="M664" i="9"/>
  <c r="B664" i="9" s="1"/>
  <c r="C231" i="48" s="1"/>
  <c r="N664" i="9"/>
  <c r="C664" i="9" s="1"/>
  <c r="D12" i="75" s="1"/>
  <c r="O664" i="9"/>
  <c r="D664" i="9" s="1"/>
  <c r="E231" i="48" s="1"/>
  <c r="Q664" i="9"/>
  <c r="T664" i="9"/>
  <c r="I664" i="9" s="1"/>
  <c r="J231" i="48" s="1"/>
  <c r="U664" i="9"/>
  <c r="J664" i="9" s="1"/>
  <c r="K231" i="48" s="1"/>
  <c r="E665" i="9"/>
  <c r="L665" i="9"/>
  <c r="A665" i="9" s="1"/>
  <c r="B14" i="75" s="1"/>
  <c r="M665" i="9"/>
  <c r="B665" i="9" s="1"/>
  <c r="C232" i="48" s="1"/>
  <c r="N665" i="9"/>
  <c r="C665" i="9" s="1"/>
  <c r="D232" i="48" s="1"/>
  <c r="O665" i="9"/>
  <c r="D665" i="9" s="1"/>
  <c r="E232" i="48" s="1"/>
  <c r="T665" i="9"/>
  <c r="I665" i="9" s="1"/>
  <c r="J232" i="48" s="1"/>
  <c r="U665" i="9"/>
  <c r="J665" i="9" s="1"/>
  <c r="K232" i="48" s="1"/>
  <c r="E666" i="9"/>
  <c r="L666" i="9"/>
  <c r="A666" i="9" s="1"/>
  <c r="B13" i="75" s="1"/>
  <c r="M666" i="9"/>
  <c r="B666" i="9" s="1"/>
  <c r="N666" i="9"/>
  <c r="C666" i="9" s="1"/>
  <c r="D13" i="75" s="1"/>
  <c r="O666" i="9"/>
  <c r="D666" i="9" s="1"/>
  <c r="E233" i="48" s="1"/>
  <c r="T666" i="9"/>
  <c r="I666" i="9" s="1"/>
  <c r="J233" i="48" s="1"/>
  <c r="U666" i="9"/>
  <c r="J666" i="9" s="1"/>
  <c r="K233" i="48" s="1"/>
  <c r="E667" i="9"/>
  <c r="L667" i="9"/>
  <c r="A667" i="9" s="1"/>
  <c r="M667" i="9"/>
  <c r="B667" i="9" s="1"/>
  <c r="C15" i="75" s="1"/>
  <c r="N667" i="9"/>
  <c r="C667" i="9" s="1"/>
  <c r="D234" i="48" s="1"/>
  <c r="O667" i="9"/>
  <c r="D667" i="9" s="1"/>
  <c r="E234" i="48" s="1"/>
  <c r="Q667" i="9"/>
  <c r="T667" i="9"/>
  <c r="I667" i="9" s="1"/>
  <c r="J234" i="48" s="1"/>
  <c r="U667" i="9"/>
  <c r="J667" i="9" s="1"/>
  <c r="K234" i="48" s="1"/>
  <c r="E668" i="9"/>
  <c r="L668" i="9"/>
  <c r="A668" i="9" s="1"/>
  <c r="B16" i="75" s="1"/>
  <c r="M668" i="9"/>
  <c r="B668" i="9" s="1"/>
  <c r="N668" i="9"/>
  <c r="C668" i="9" s="1"/>
  <c r="D235" i="48" s="1"/>
  <c r="O668" i="9"/>
  <c r="D668" i="9" s="1"/>
  <c r="E235" i="48" s="1"/>
  <c r="T668" i="9"/>
  <c r="I668" i="9" s="1"/>
  <c r="J235" i="48" s="1"/>
  <c r="U668" i="9"/>
  <c r="J668" i="9" s="1"/>
  <c r="K235" i="48" s="1"/>
  <c r="E669" i="9"/>
  <c r="L669" i="9"/>
  <c r="A669" i="9" s="1"/>
  <c r="M669" i="9"/>
  <c r="B669" i="9" s="1"/>
  <c r="N669" i="9"/>
  <c r="C669" i="9" s="1"/>
  <c r="D236" i="48" s="1"/>
  <c r="O669" i="9"/>
  <c r="D669" i="9" s="1"/>
  <c r="E236" i="48" s="1"/>
  <c r="T669" i="9"/>
  <c r="I669" i="9" s="1"/>
  <c r="J236" i="48" s="1"/>
  <c r="U669" i="9"/>
  <c r="J669" i="9" s="1"/>
  <c r="K236" i="48" s="1"/>
  <c r="E670" i="9"/>
  <c r="L670" i="9"/>
  <c r="A670" i="9" s="1"/>
  <c r="B237" i="48" s="1"/>
  <c r="M670" i="9"/>
  <c r="B670" i="9" s="1"/>
  <c r="N670" i="9"/>
  <c r="C670" i="9" s="1"/>
  <c r="D5" i="75" s="1"/>
  <c r="O670" i="9"/>
  <c r="D670" i="9" s="1"/>
  <c r="E237" i="48" s="1"/>
  <c r="T670" i="9"/>
  <c r="I670" i="9" s="1"/>
  <c r="J237" i="48" s="1"/>
  <c r="U670" i="9"/>
  <c r="J670" i="9" s="1"/>
  <c r="K237" i="48" s="1"/>
  <c r="E671" i="9"/>
  <c r="L671" i="9"/>
  <c r="A671" i="9" s="1"/>
  <c r="B238" i="48" s="1"/>
  <c r="M671" i="9"/>
  <c r="B671" i="9" s="1"/>
  <c r="C238" i="48" s="1"/>
  <c r="N671" i="9"/>
  <c r="C671" i="9" s="1"/>
  <c r="O671" i="9"/>
  <c r="D671" i="9" s="1"/>
  <c r="E238" i="48" s="1"/>
  <c r="Q671" i="9"/>
  <c r="T671" i="9"/>
  <c r="I671" i="9" s="1"/>
  <c r="J238" i="48" s="1"/>
  <c r="U671" i="9"/>
  <c r="J671" i="9" s="1"/>
  <c r="K238" i="48" s="1"/>
  <c r="E672" i="9"/>
  <c r="L672" i="9"/>
  <c r="A672" i="9" s="1"/>
  <c r="B7" i="75" s="1"/>
  <c r="M672" i="9"/>
  <c r="B672" i="9" s="1"/>
  <c r="C7" i="75" s="1"/>
  <c r="N672" i="9"/>
  <c r="C672" i="9" s="1"/>
  <c r="D7" i="75" s="1"/>
  <c r="O672" i="9"/>
  <c r="D672" i="9" s="1"/>
  <c r="E239" i="48" s="1"/>
  <c r="Q672" i="9"/>
  <c r="T672" i="9"/>
  <c r="I672" i="9" s="1"/>
  <c r="J239" i="48" s="1"/>
  <c r="U672" i="9"/>
  <c r="J672" i="9" s="1"/>
  <c r="K239" i="48" s="1"/>
  <c r="E673" i="9"/>
  <c r="L673" i="9"/>
  <c r="A673" i="9" s="1"/>
  <c r="B240" i="48" s="1"/>
  <c r="M673" i="9"/>
  <c r="B673" i="9" s="1"/>
  <c r="N673" i="9"/>
  <c r="C673" i="9" s="1"/>
  <c r="D240" i="48" s="1"/>
  <c r="O673" i="9"/>
  <c r="D673" i="9" s="1"/>
  <c r="E240" i="48" s="1"/>
  <c r="T673" i="9"/>
  <c r="I673" i="9" s="1"/>
  <c r="J240" i="48" s="1"/>
  <c r="U673" i="9"/>
  <c r="J673" i="9" s="1"/>
  <c r="K240" i="48" s="1"/>
  <c r="E674" i="9"/>
  <c r="L674" i="9"/>
  <c r="A674" i="9" s="1"/>
  <c r="M674" i="9"/>
  <c r="B674" i="9" s="1"/>
  <c r="N674" i="9"/>
  <c r="C674" i="9" s="1"/>
  <c r="D26" i="75" s="1"/>
  <c r="O674" i="9"/>
  <c r="D674" i="9" s="1"/>
  <c r="E241" i="48" s="1"/>
  <c r="T674" i="9"/>
  <c r="I674" i="9" s="1"/>
  <c r="J241" i="48" s="1"/>
  <c r="U674" i="9"/>
  <c r="J674" i="9" s="1"/>
  <c r="K241" i="48" s="1"/>
  <c r="E675" i="9"/>
  <c r="L675" i="9"/>
  <c r="A675" i="9" s="1"/>
  <c r="M675" i="9"/>
  <c r="B675" i="9" s="1"/>
  <c r="C242" i="48" s="1"/>
  <c r="N675" i="9"/>
  <c r="C675" i="9" s="1"/>
  <c r="D25" i="75" s="1"/>
  <c r="O675" i="9"/>
  <c r="D675" i="9" s="1"/>
  <c r="E242" i="48" s="1"/>
  <c r="T675" i="9"/>
  <c r="I675" i="9" s="1"/>
  <c r="J242" i="48" s="1"/>
  <c r="U675" i="9"/>
  <c r="J675" i="9" s="1"/>
  <c r="K242" i="48" s="1"/>
  <c r="E676" i="9"/>
  <c r="L676" i="9"/>
  <c r="A676" i="9" s="1"/>
  <c r="M676" i="9"/>
  <c r="B676" i="9" s="1"/>
  <c r="C29" i="75" s="1"/>
  <c r="N676" i="9"/>
  <c r="C676" i="9" s="1"/>
  <c r="D243" i="48" s="1"/>
  <c r="O676" i="9"/>
  <c r="D676" i="9" s="1"/>
  <c r="E243" i="48" s="1"/>
  <c r="Q676" i="9"/>
  <c r="T676" i="9"/>
  <c r="I676" i="9" s="1"/>
  <c r="J243" i="48" s="1"/>
  <c r="U676" i="9"/>
  <c r="J676" i="9" s="1"/>
  <c r="K243" i="48" s="1"/>
  <c r="E677" i="9"/>
  <c r="L677" i="9"/>
  <c r="A677" i="9" s="1"/>
  <c r="B244" i="48" s="1"/>
  <c r="M677" i="9"/>
  <c r="B677" i="9" s="1"/>
  <c r="C30" i="75" s="1"/>
  <c r="N677" i="9"/>
  <c r="C677" i="9" s="1"/>
  <c r="O677" i="9"/>
  <c r="D677" i="9" s="1"/>
  <c r="E244" i="48" s="1"/>
  <c r="T677" i="9"/>
  <c r="I677" i="9" s="1"/>
  <c r="J244" i="48" s="1"/>
  <c r="U677" i="9"/>
  <c r="J677" i="9" s="1"/>
  <c r="K244" i="48" s="1"/>
  <c r="L678" i="9"/>
  <c r="A678" i="9" s="1"/>
  <c r="M678" i="9"/>
  <c r="B678" i="9" s="1"/>
  <c r="C245" i="48" s="1"/>
  <c r="N678" i="9"/>
  <c r="C678" i="9" s="1"/>
  <c r="D245" i="48" s="1"/>
  <c r="O678" i="9"/>
  <c r="D678" i="9" s="1"/>
  <c r="E245" i="48" s="1"/>
  <c r="T678" i="9"/>
  <c r="I678" i="9" s="1"/>
  <c r="J245" i="48" s="1"/>
  <c r="U678" i="9"/>
  <c r="J678" i="9" s="1"/>
  <c r="K245" i="48" s="1"/>
  <c r="L679" i="9"/>
  <c r="A679" i="9" s="1"/>
  <c r="M679" i="9"/>
  <c r="B679" i="9" s="1"/>
  <c r="C246" i="48" s="1"/>
  <c r="N679" i="9"/>
  <c r="C679" i="9" s="1"/>
  <c r="O679" i="9"/>
  <c r="D679" i="9" s="1"/>
  <c r="E246" i="48" s="1"/>
  <c r="Q679" i="9"/>
  <c r="T679" i="9"/>
  <c r="I679" i="9" s="1"/>
  <c r="J246" i="48" s="1"/>
  <c r="U679" i="9"/>
  <c r="J679" i="9" s="1"/>
  <c r="K246" i="48" s="1"/>
  <c r="L680" i="9"/>
  <c r="A680" i="9" s="1"/>
  <c r="B247" i="48" s="1"/>
  <c r="M680" i="9"/>
  <c r="B680" i="9" s="1"/>
  <c r="C33" i="75" s="1"/>
  <c r="N680" i="9"/>
  <c r="C680" i="9" s="1"/>
  <c r="D33" i="75" s="1"/>
  <c r="O680" i="9"/>
  <c r="D680" i="9" s="1"/>
  <c r="E247" i="48" s="1"/>
  <c r="Q680" i="9"/>
  <c r="T680" i="9"/>
  <c r="I680" i="9" s="1"/>
  <c r="J247" i="48" s="1"/>
  <c r="U680" i="9"/>
  <c r="J680" i="9" s="1"/>
  <c r="K247" i="48" s="1"/>
  <c r="L681" i="9"/>
  <c r="A681" i="9" s="1"/>
  <c r="B248" i="48" s="1"/>
  <c r="M681" i="9"/>
  <c r="B681" i="9" s="1"/>
  <c r="C248" i="48" s="1"/>
  <c r="N681" i="9"/>
  <c r="C681" i="9" s="1"/>
  <c r="D34" i="75" s="1"/>
  <c r="O681" i="9"/>
  <c r="D681" i="9" s="1"/>
  <c r="E248" i="48" s="1"/>
  <c r="T681" i="9"/>
  <c r="I681" i="9" s="1"/>
  <c r="J248" i="48" s="1"/>
  <c r="U681" i="9"/>
  <c r="J681" i="9" s="1"/>
  <c r="K248" i="48" s="1"/>
  <c r="L682" i="9"/>
  <c r="A682" i="9" s="1"/>
  <c r="M682" i="9"/>
  <c r="B682" i="9" s="1"/>
  <c r="N682" i="9"/>
  <c r="C682" i="9" s="1"/>
  <c r="O682" i="9"/>
  <c r="D682" i="9" s="1"/>
  <c r="E249" i="48" s="1"/>
  <c r="BD249" i="48" s="1"/>
  <c r="T682" i="9"/>
  <c r="I682" i="9" s="1"/>
  <c r="J249" i="48" s="1"/>
  <c r="U682" i="9"/>
  <c r="J682" i="9" s="1"/>
  <c r="K249" i="48" s="1"/>
  <c r="L683" i="9"/>
  <c r="A683" i="9" s="1"/>
  <c r="M683" i="9"/>
  <c r="B683" i="9" s="1"/>
  <c r="N683" i="9"/>
  <c r="C683" i="9" s="1"/>
  <c r="O683" i="9"/>
  <c r="D683" i="9" s="1"/>
  <c r="Q683" i="9"/>
  <c r="T683" i="9"/>
  <c r="I683" i="9" s="1"/>
  <c r="U683" i="9"/>
  <c r="J683" i="9" s="1"/>
  <c r="L684" i="9"/>
  <c r="M684" i="9"/>
  <c r="N684" i="9"/>
  <c r="O684" i="9"/>
  <c r="Q684" i="9"/>
  <c r="T684" i="9"/>
  <c r="U684" i="9"/>
  <c r="L685" i="9"/>
  <c r="M685" i="9"/>
  <c r="N685" i="9"/>
  <c r="O685" i="9"/>
  <c r="T685" i="9"/>
  <c r="U685" i="9"/>
  <c r="L686" i="9"/>
  <c r="M686" i="9"/>
  <c r="N686" i="9"/>
  <c r="O686" i="9"/>
  <c r="T686" i="9"/>
  <c r="U686" i="9"/>
  <c r="L687" i="9"/>
  <c r="M687" i="9"/>
  <c r="N687" i="9"/>
  <c r="O687" i="9"/>
  <c r="T687" i="9"/>
  <c r="U687" i="9"/>
  <c r="L688" i="9"/>
  <c r="M688" i="9"/>
  <c r="N688" i="9"/>
  <c r="O688" i="9"/>
  <c r="Q688" i="9"/>
  <c r="T688" i="9"/>
  <c r="U688" i="9"/>
  <c r="L689" i="9"/>
  <c r="M689" i="9"/>
  <c r="N689" i="9"/>
  <c r="O689" i="9"/>
  <c r="T689" i="9"/>
  <c r="U689" i="9"/>
  <c r="L690" i="9"/>
  <c r="M690" i="9"/>
  <c r="N690" i="9"/>
  <c r="O690" i="9"/>
  <c r="T690" i="9"/>
  <c r="U690" i="9"/>
  <c r="L691" i="9"/>
  <c r="M691" i="9"/>
  <c r="N691" i="9"/>
  <c r="O691" i="9"/>
  <c r="T691" i="9"/>
  <c r="U691" i="9"/>
  <c r="L692" i="9"/>
  <c r="M692" i="9"/>
  <c r="N692" i="9"/>
  <c r="O692" i="9"/>
  <c r="Q692" i="9"/>
  <c r="T692" i="9"/>
  <c r="U692" i="9"/>
  <c r="L693" i="9"/>
  <c r="M693" i="9"/>
  <c r="N693" i="9"/>
  <c r="O693" i="9"/>
  <c r="T693" i="9"/>
  <c r="U693" i="9"/>
  <c r="L694" i="9"/>
  <c r="M694" i="9"/>
  <c r="N694" i="9"/>
  <c r="O694" i="9"/>
  <c r="T694" i="9"/>
  <c r="U694" i="9"/>
  <c r="L695" i="9"/>
  <c r="M695" i="9"/>
  <c r="N695" i="9"/>
  <c r="O695" i="9"/>
  <c r="T695" i="9"/>
  <c r="U695" i="9"/>
  <c r="L696" i="9"/>
  <c r="M696" i="9"/>
  <c r="N696" i="9"/>
  <c r="O696" i="9"/>
  <c r="Q696" i="9"/>
  <c r="T696" i="9"/>
  <c r="U696" i="9"/>
  <c r="L697" i="9"/>
  <c r="M697" i="9"/>
  <c r="N697" i="9"/>
  <c r="O697" i="9"/>
  <c r="T697" i="9"/>
  <c r="U697" i="9"/>
  <c r="L698" i="9"/>
  <c r="M698" i="9"/>
  <c r="N698" i="9"/>
  <c r="O698" i="9"/>
  <c r="T698" i="9"/>
  <c r="U698" i="9"/>
  <c r="L699" i="9"/>
  <c r="M699" i="9"/>
  <c r="N699" i="9"/>
  <c r="O699" i="9"/>
  <c r="T699" i="9"/>
  <c r="U699" i="9"/>
  <c r="L700" i="9"/>
  <c r="M700" i="9"/>
  <c r="N700" i="9"/>
  <c r="O700" i="9"/>
  <c r="Q700" i="9"/>
  <c r="T700" i="9"/>
  <c r="U700" i="9"/>
  <c r="L701" i="9"/>
  <c r="M701" i="9"/>
  <c r="N701" i="9"/>
  <c r="O701" i="9"/>
  <c r="T701" i="9"/>
  <c r="U701" i="9"/>
  <c r="L702" i="9"/>
  <c r="M702" i="9"/>
  <c r="N702" i="9"/>
  <c r="O702" i="9"/>
  <c r="T702" i="9"/>
  <c r="U702" i="9"/>
  <c r="L703" i="9"/>
  <c r="M703" i="9"/>
  <c r="N703" i="9"/>
  <c r="O703" i="9"/>
  <c r="Q703" i="9"/>
  <c r="T703" i="9"/>
  <c r="U703" i="9"/>
  <c r="L704" i="9"/>
  <c r="A704" i="9" s="1"/>
  <c r="B23" i="16" s="1"/>
  <c r="M704" i="9"/>
  <c r="N704" i="9"/>
  <c r="O704" i="9"/>
  <c r="Q704" i="9"/>
  <c r="T704" i="9"/>
  <c r="U704" i="9"/>
  <c r="L705" i="9"/>
  <c r="M705" i="9"/>
  <c r="N705" i="9"/>
  <c r="O705" i="9"/>
  <c r="T705" i="9"/>
  <c r="U705" i="9"/>
  <c r="E706" i="9"/>
  <c r="L706" i="9"/>
  <c r="A706" i="9" s="1"/>
  <c r="M706" i="9"/>
  <c r="B706" i="9" s="1"/>
  <c r="N706" i="9"/>
  <c r="C706" i="9" s="1"/>
  <c r="O706" i="9"/>
  <c r="D706" i="9" s="1"/>
  <c r="E253" i="48" s="1"/>
  <c r="T706" i="9"/>
  <c r="I706" i="9" s="1"/>
  <c r="J253" i="48" s="1"/>
  <c r="U706" i="9"/>
  <c r="J706" i="9" s="1"/>
  <c r="K253" i="48" s="1"/>
  <c r="E707" i="9"/>
  <c r="L707" i="9"/>
  <c r="A707" i="9" s="1"/>
  <c r="B254" i="48" s="1"/>
  <c r="M707" i="9"/>
  <c r="B707" i="9" s="1"/>
  <c r="C254" i="48" s="1"/>
  <c r="N707" i="9"/>
  <c r="C707" i="9" s="1"/>
  <c r="D254" i="48" s="1"/>
  <c r="O707" i="9"/>
  <c r="D707" i="9" s="1"/>
  <c r="E254" i="48" s="1"/>
  <c r="T707" i="9"/>
  <c r="I707" i="9" s="1"/>
  <c r="J254" i="48" s="1"/>
  <c r="U707" i="9"/>
  <c r="J707" i="9" s="1"/>
  <c r="K254" i="48" s="1"/>
  <c r="E710" i="9"/>
  <c r="L710" i="9"/>
  <c r="A710" i="9" s="1"/>
  <c r="M710" i="9"/>
  <c r="B710" i="9" s="1"/>
  <c r="N710" i="9"/>
  <c r="C710" i="9" s="1"/>
  <c r="O710" i="9"/>
  <c r="D710" i="9" s="1"/>
  <c r="T710" i="9"/>
  <c r="I710" i="9" s="1"/>
  <c r="U710" i="9"/>
  <c r="J710" i="9" s="1"/>
  <c r="L711" i="9"/>
  <c r="M711" i="9"/>
  <c r="B711" i="9" s="1"/>
  <c r="N711" i="9"/>
  <c r="O711" i="9"/>
  <c r="T711" i="9"/>
  <c r="U711" i="9"/>
  <c r="L712" i="9"/>
  <c r="M712" i="9"/>
  <c r="N712" i="9"/>
  <c r="O712" i="9"/>
  <c r="T712" i="9"/>
  <c r="U712" i="9"/>
  <c r="L713" i="9"/>
  <c r="M713" i="9"/>
  <c r="N713" i="9"/>
  <c r="O713" i="9"/>
  <c r="T713" i="9"/>
  <c r="U713" i="9"/>
  <c r="L714" i="9"/>
  <c r="A714" i="9" s="1"/>
  <c r="M714" i="9"/>
  <c r="N714" i="9"/>
  <c r="O714" i="9"/>
  <c r="Q714" i="9"/>
  <c r="T714" i="9"/>
  <c r="U714" i="9"/>
  <c r="E715" i="9"/>
  <c r="L715" i="9"/>
  <c r="A715" i="9" s="1"/>
  <c r="M715" i="9"/>
  <c r="B715" i="9" s="1"/>
  <c r="N715" i="9"/>
  <c r="C715" i="9" s="1"/>
  <c r="D33" i="16" s="1"/>
  <c r="O715" i="9"/>
  <c r="D715" i="9" s="1"/>
  <c r="E262" i="48" s="1"/>
  <c r="T715" i="9"/>
  <c r="I715" i="9" s="1"/>
  <c r="J262" i="48" s="1"/>
  <c r="U715" i="9"/>
  <c r="J715" i="9" s="1"/>
  <c r="K262" i="48" s="1"/>
  <c r="E716" i="9"/>
  <c r="L716" i="9"/>
  <c r="A716" i="9" s="1"/>
  <c r="M716" i="9"/>
  <c r="B716" i="9" s="1"/>
  <c r="C263" i="48" s="1"/>
  <c r="N716" i="9"/>
  <c r="C716" i="9" s="1"/>
  <c r="O716" i="9"/>
  <c r="D716" i="9" s="1"/>
  <c r="E263" i="48" s="1"/>
  <c r="T716" i="9"/>
  <c r="I716" i="9" s="1"/>
  <c r="J263" i="48" s="1"/>
  <c r="U716" i="9"/>
  <c r="J716" i="9" s="1"/>
  <c r="K263" i="48" s="1"/>
  <c r="E717" i="9"/>
  <c r="L717" i="9"/>
  <c r="A717" i="9" s="1"/>
  <c r="B264" i="48" s="1"/>
  <c r="M717" i="9"/>
  <c r="B717" i="9" s="1"/>
  <c r="C35" i="16" s="1"/>
  <c r="N717" i="9"/>
  <c r="C717" i="9" s="1"/>
  <c r="O717" i="9"/>
  <c r="D717" i="9" s="1"/>
  <c r="E264" i="48" s="1"/>
  <c r="T717" i="9"/>
  <c r="I717" i="9" s="1"/>
  <c r="J264" i="48" s="1"/>
  <c r="U717" i="9"/>
  <c r="J717" i="9" s="1"/>
  <c r="K264" i="48" s="1"/>
  <c r="E718" i="9"/>
  <c r="L718" i="9"/>
  <c r="A718" i="9" s="1"/>
  <c r="M718" i="9"/>
  <c r="B718" i="9" s="1"/>
  <c r="N718" i="9"/>
  <c r="C718" i="9" s="1"/>
  <c r="O718" i="9"/>
  <c r="D718" i="9" s="1"/>
  <c r="E265" i="48" s="1"/>
  <c r="Q718" i="9"/>
  <c r="T718" i="9"/>
  <c r="I718" i="9" s="1"/>
  <c r="J265" i="48" s="1"/>
  <c r="U718" i="9"/>
  <c r="J718" i="9" s="1"/>
  <c r="K265" i="48" s="1"/>
  <c r="E719" i="9"/>
  <c r="L719" i="9"/>
  <c r="A719" i="9" s="1"/>
  <c r="M719" i="9"/>
  <c r="B719" i="9" s="1"/>
  <c r="N719" i="9"/>
  <c r="C719" i="9" s="1"/>
  <c r="O719" i="9"/>
  <c r="D719" i="9" s="1"/>
  <c r="T719" i="9"/>
  <c r="I719" i="9" s="1"/>
  <c r="U719" i="9"/>
  <c r="J719" i="9" s="1"/>
  <c r="E720" i="9"/>
  <c r="L720" i="9"/>
  <c r="A720" i="9" s="1"/>
  <c r="B37" i="16" s="1"/>
  <c r="M720" i="9"/>
  <c r="B720" i="9" s="1"/>
  <c r="C266" i="48" s="1"/>
  <c r="N720" i="9"/>
  <c r="C720" i="9" s="1"/>
  <c r="D266" i="48" s="1"/>
  <c r="O720" i="9"/>
  <c r="D720" i="9" s="1"/>
  <c r="E266" i="48" s="1"/>
  <c r="T720" i="9"/>
  <c r="I720" i="9" s="1"/>
  <c r="J266" i="48" s="1"/>
  <c r="U720" i="9"/>
  <c r="J720" i="9" s="1"/>
  <c r="K266" i="48" s="1"/>
  <c r="L721" i="9"/>
  <c r="M721" i="9"/>
  <c r="N721" i="9"/>
  <c r="O721" i="9"/>
  <c r="T721" i="9"/>
  <c r="U721" i="9"/>
  <c r="L722" i="9"/>
  <c r="M722" i="9"/>
  <c r="N722" i="9"/>
  <c r="O722" i="9"/>
  <c r="Q722" i="9"/>
  <c r="T722" i="9"/>
  <c r="U722" i="9"/>
  <c r="L723" i="9"/>
  <c r="M723" i="9"/>
  <c r="N723" i="9"/>
  <c r="O723" i="9"/>
  <c r="T723" i="9"/>
  <c r="U723" i="9"/>
  <c r="L724" i="9"/>
  <c r="M724" i="9"/>
  <c r="N724" i="9"/>
  <c r="O724" i="9"/>
  <c r="T724" i="9"/>
  <c r="U724" i="9"/>
  <c r="L725" i="9"/>
  <c r="M725" i="9"/>
  <c r="N725" i="9"/>
  <c r="O725" i="9"/>
  <c r="Q725" i="9"/>
  <c r="T725" i="9"/>
  <c r="U725" i="9"/>
  <c r="L726" i="9"/>
  <c r="M726" i="9"/>
  <c r="N726" i="9"/>
  <c r="O726" i="9"/>
  <c r="T726" i="9"/>
  <c r="U726" i="9"/>
  <c r="E727" i="9"/>
  <c r="L727" i="9"/>
  <c r="A727" i="9" s="1"/>
  <c r="B269" i="48" s="1"/>
  <c r="M727" i="9"/>
  <c r="B727" i="9" s="1"/>
  <c r="C269" i="48" s="1"/>
  <c r="N727" i="9"/>
  <c r="C727" i="9" s="1"/>
  <c r="O727" i="9"/>
  <c r="D727" i="9" s="1"/>
  <c r="E269" i="48" s="1"/>
  <c r="T727" i="9"/>
  <c r="I727" i="9" s="1"/>
  <c r="J269" i="48" s="1"/>
  <c r="U727" i="9"/>
  <c r="J727" i="9" s="1"/>
  <c r="K269" i="48" s="1"/>
  <c r="E728" i="9"/>
  <c r="L728" i="9"/>
  <c r="A728" i="9" s="1"/>
  <c r="M728" i="9"/>
  <c r="B728" i="9" s="1"/>
  <c r="N728" i="9"/>
  <c r="C728" i="9" s="1"/>
  <c r="O728" i="9"/>
  <c r="D728" i="9" s="1"/>
  <c r="T728" i="9"/>
  <c r="I728" i="9" s="1"/>
  <c r="U728" i="9"/>
  <c r="J728" i="9" s="1"/>
  <c r="L729" i="9"/>
  <c r="M729" i="9"/>
  <c r="N729" i="9"/>
  <c r="O729" i="9"/>
  <c r="T729" i="9"/>
  <c r="U729" i="9"/>
  <c r="L730" i="9"/>
  <c r="M730" i="9"/>
  <c r="N730" i="9"/>
  <c r="O730" i="9"/>
  <c r="Q730" i="9"/>
  <c r="T730" i="9"/>
  <c r="U730" i="9"/>
  <c r="L731" i="9"/>
  <c r="M731" i="9"/>
  <c r="N731" i="9"/>
  <c r="O731" i="9"/>
  <c r="T731" i="9"/>
  <c r="U731" i="9"/>
  <c r="L732" i="9"/>
  <c r="M732" i="9"/>
  <c r="N732" i="9"/>
  <c r="O732" i="9"/>
  <c r="T732" i="9"/>
  <c r="U732" i="9"/>
  <c r="L733" i="9"/>
  <c r="M733" i="9"/>
  <c r="N733" i="9"/>
  <c r="O733" i="9"/>
  <c r="Q733" i="9"/>
  <c r="T733" i="9"/>
  <c r="U733" i="9"/>
  <c r="L734" i="9"/>
  <c r="M734" i="9"/>
  <c r="N734" i="9"/>
  <c r="O734" i="9"/>
  <c r="Q734" i="9"/>
  <c r="T734" i="9"/>
  <c r="U734" i="9"/>
  <c r="L735" i="9"/>
  <c r="M735" i="9"/>
  <c r="N735" i="9"/>
  <c r="O735" i="9"/>
  <c r="T735" i="9"/>
  <c r="U735" i="9"/>
  <c r="L736" i="9"/>
  <c r="M736" i="9"/>
  <c r="N736" i="9"/>
  <c r="O736" i="9"/>
  <c r="T736" i="9"/>
  <c r="U736" i="9"/>
  <c r="L737" i="9"/>
  <c r="M737" i="9"/>
  <c r="N737" i="9"/>
  <c r="O737" i="9"/>
  <c r="Q737" i="9"/>
  <c r="T737" i="9"/>
  <c r="U737" i="9"/>
  <c r="L738" i="9"/>
  <c r="M738" i="9"/>
  <c r="N738" i="9"/>
  <c r="O738" i="9"/>
  <c r="T738" i="9"/>
  <c r="U738" i="9"/>
  <c r="L739" i="9"/>
  <c r="M739" i="9"/>
  <c r="N739" i="9"/>
  <c r="O739" i="9"/>
  <c r="T739" i="9"/>
  <c r="U739" i="9"/>
  <c r="L740" i="9"/>
  <c r="M740" i="9"/>
  <c r="N740" i="9"/>
  <c r="O740" i="9"/>
  <c r="T740" i="9"/>
  <c r="U740" i="9"/>
  <c r="L741" i="9"/>
  <c r="M741" i="9"/>
  <c r="N741" i="9"/>
  <c r="O741" i="9"/>
  <c r="Q741" i="9"/>
  <c r="T741" i="9"/>
  <c r="U741" i="9"/>
  <c r="M742" i="9"/>
  <c r="N742" i="9"/>
  <c r="T742" i="9"/>
  <c r="U742" i="9"/>
  <c r="D743" i="9"/>
  <c r="E271" i="48" s="1"/>
  <c r="E743" i="9"/>
  <c r="L743" i="9"/>
  <c r="A743" i="9" s="1"/>
  <c r="B271" i="48" s="1"/>
  <c r="M743" i="9"/>
  <c r="B743" i="9" s="1"/>
  <c r="C271" i="48" s="1"/>
  <c r="N743" i="9"/>
  <c r="C743" i="9" s="1"/>
  <c r="D271" i="48" s="1"/>
  <c r="T743" i="9"/>
  <c r="I743" i="9" s="1"/>
  <c r="J271" i="48" s="1"/>
  <c r="U743" i="9"/>
  <c r="J743" i="9" s="1"/>
  <c r="K271" i="48" s="1"/>
  <c r="D744" i="9"/>
  <c r="E272" i="48" s="1"/>
  <c r="E744" i="9"/>
  <c r="L744" i="9"/>
  <c r="A744" i="9" s="1"/>
  <c r="B272" i="48" s="1"/>
  <c r="M744" i="9"/>
  <c r="B744" i="9" s="1"/>
  <c r="C272" i="48" s="1"/>
  <c r="N744" i="9"/>
  <c r="C744" i="9" s="1"/>
  <c r="D272" i="48" s="1"/>
  <c r="T744" i="9"/>
  <c r="I744" i="9" s="1"/>
  <c r="J272" i="48" s="1"/>
  <c r="U744" i="9"/>
  <c r="J744" i="9" s="1"/>
  <c r="K272" i="48" s="1"/>
  <c r="D745" i="9"/>
  <c r="E273" i="48" s="1"/>
  <c r="E745" i="9"/>
  <c r="L745" i="9"/>
  <c r="A745" i="9" s="1"/>
  <c r="B273" i="48" s="1"/>
  <c r="M745" i="9"/>
  <c r="B745" i="9" s="1"/>
  <c r="C273" i="48" s="1"/>
  <c r="N745" i="9"/>
  <c r="C745" i="9" s="1"/>
  <c r="D273" i="48" s="1"/>
  <c r="Q745" i="9"/>
  <c r="T745" i="9"/>
  <c r="I745" i="9" s="1"/>
  <c r="J273" i="48" s="1"/>
  <c r="U745" i="9"/>
  <c r="J745" i="9" s="1"/>
  <c r="K273" i="48" s="1"/>
  <c r="D746" i="9"/>
  <c r="E274" i="48" s="1"/>
  <c r="E746" i="9"/>
  <c r="L746" i="9"/>
  <c r="A746" i="9" s="1"/>
  <c r="B274" i="48" s="1"/>
  <c r="M746" i="9"/>
  <c r="B746" i="9" s="1"/>
  <c r="C274" i="48" s="1"/>
  <c r="N746" i="9"/>
  <c r="C746" i="9" s="1"/>
  <c r="D274" i="48" s="1"/>
  <c r="T746" i="9"/>
  <c r="I746" i="9" s="1"/>
  <c r="J274" i="48" s="1"/>
  <c r="U746" i="9"/>
  <c r="J746" i="9" s="1"/>
  <c r="K274" i="48" s="1"/>
  <c r="D747" i="9"/>
  <c r="E275" i="48" s="1"/>
  <c r="E747" i="9"/>
  <c r="L747" i="9"/>
  <c r="A747" i="9" s="1"/>
  <c r="B275" i="48" s="1"/>
  <c r="M747" i="9"/>
  <c r="B747" i="9" s="1"/>
  <c r="C275" i="48" s="1"/>
  <c r="N747" i="9"/>
  <c r="C747" i="9" s="1"/>
  <c r="D275" i="48" s="1"/>
  <c r="T747" i="9"/>
  <c r="I747" i="9" s="1"/>
  <c r="J275" i="48" s="1"/>
  <c r="U747" i="9"/>
  <c r="J747" i="9" s="1"/>
  <c r="K275" i="48" s="1"/>
  <c r="D748" i="9"/>
  <c r="E276" i="48" s="1"/>
  <c r="E748" i="9"/>
  <c r="L748" i="9"/>
  <c r="A748" i="9" s="1"/>
  <c r="B276" i="48" s="1"/>
  <c r="M748" i="9"/>
  <c r="B748" i="9" s="1"/>
  <c r="C276" i="48" s="1"/>
  <c r="N748" i="9"/>
  <c r="C748" i="9" s="1"/>
  <c r="D276" i="48" s="1"/>
  <c r="T748" i="9"/>
  <c r="I748" i="9" s="1"/>
  <c r="J276" i="48" s="1"/>
  <c r="U748" i="9"/>
  <c r="J748" i="9" s="1"/>
  <c r="K276" i="48" s="1"/>
  <c r="D749" i="9"/>
  <c r="E277" i="48" s="1"/>
  <c r="E749" i="9"/>
  <c r="L749" i="9"/>
  <c r="A749" i="9" s="1"/>
  <c r="B277" i="48" s="1"/>
  <c r="M749" i="9"/>
  <c r="B749" i="9" s="1"/>
  <c r="C277" i="48" s="1"/>
  <c r="N749" i="9"/>
  <c r="C749" i="9" s="1"/>
  <c r="D277" i="48" s="1"/>
  <c r="Q749" i="9"/>
  <c r="T749" i="9"/>
  <c r="I749" i="9" s="1"/>
  <c r="J277" i="48" s="1"/>
  <c r="U749" i="9"/>
  <c r="J749" i="9" s="1"/>
  <c r="K277" i="48" s="1"/>
  <c r="D750" i="9"/>
  <c r="E278" i="48" s="1"/>
  <c r="E750" i="9"/>
  <c r="L750" i="9"/>
  <c r="A750" i="9" s="1"/>
  <c r="B278" i="48" s="1"/>
  <c r="M750" i="9"/>
  <c r="B750" i="9" s="1"/>
  <c r="C278" i="48" s="1"/>
  <c r="N750" i="9"/>
  <c r="C750" i="9" s="1"/>
  <c r="D278" i="48" s="1"/>
  <c r="Q750" i="9"/>
  <c r="T750" i="9"/>
  <c r="I750" i="9" s="1"/>
  <c r="J278" i="48" s="1"/>
  <c r="U750" i="9"/>
  <c r="J750" i="9" s="1"/>
  <c r="K278" i="48" s="1"/>
  <c r="D751" i="9"/>
  <c r="E279" i="48" s="1"/>
  <c r="E751" i="9"/>
  <c r="L751" i="9"/>
  <c r="A751" i="9" s="1"/>
  <c r="B279" i="48" s="1"/>
  <c r="M751" i="9"/>
  <c r="B751" i="9" s="1"/>
  <c r="C279" i="48" s="1"/>
  <c r="N751" i="9"/>
  <c r="C751" i="9" s="1"/>
  <c r="D279" i="48" s="1"/>
  <c r="T751" i="9"/>
  <c r="I751" i="9" s="1"/>
  <c r="J279" i="48" s="1"/>
  <c r="U751" i="9"/>
  <c r="J751" i="9" s="1"/>
  <c r="K279" i="48" s="1"/>
  <c r="D752" i="9"/>
  <c r="E280" i="48" s="1"/>
  <c r="E752" i="9"/>
  <c r="L752" i="9"/>
  <c r="A752" i="9" s="1"/>
  <c r="B280" i="48" s="1"/>
  <c r="M752" i="9"/>
  <c r="B752" i="9" s="1"/>
  <c r="C280" i="48" s="1"/>
  <c r="N752" i="9"/>
  <c r="C752" i="9" s="1"/>
  <c r="D280" i="48" s="1"/>
  <c r="T752" i="9"/>
  <c r="I752" i="9" s="1"/>
  <c r="J280" i="48" s="1"/>
  <c r="U752" i="9"/>
  <c r="J752" i="9" s="1"/>
  <c r="K280" i="48" s="1"/>
  <c r="L753" i="9"/>
  <c r="M753" i="9"/>
  <c r="N753" i="9"/>
  <c r="Q753" i="9"/>
  <c r="T753" i="9"/>
  <c r="U753" i="9"/>
  <c r="L754" i="9"/>
  <c r="M754" i="9"/>
  <c r="N754" i="9"/>
  <c r="Q754" i="9"/>
  <c r="T754" i="9"/>
  <c r="U754" i="9"/>
  <c r="L755" i="9"/>
  <c r="M755" i="9"/>
  <c r="N755" i="9"/>
  <c r="Q755" i="9"/>
  <c r="T755" i="9"/>
  <c r="U755" i="9"/>
  <c r="L756" i="9"/>
  <c r="M756" i="9"/>
  <c r="N756" i="9"/>
  <c r="Q756" i="9"/>
  <c r="T756" i="9"/>
  <c r="U756" i="9"/>
  <c r="L757" i="9"/>
  <c r="M757" i="9"/>
  <c r="N757" i="9"/>
  <c r="Q757" i="9"/>
  <c r="T757" i="9"/>
  <c r="U757" i="9"/>
  <c r="L758" i="9"/>
  <c r="M758" i="9"/>
  <c r="N758" i="9"/>
  <c r="Q758" i="9"/>
  <c r="T758" i="9"/>
  <c r="U758" i="9"/>
  <c r="L759" i="9"/>
  <c r="M759" i="9"/>
  <c r="N759" i="9"/>
  <c r="Q759" i="9"/>
  <c r="T759" i="9"/>
  <c r="U759" i="9"/>
  <c r="L760" i="9"/>
  <c r="M760" i="9"/>
  <c r="N760" i="9"/>
  <c r="Q760" i="9"/>
  <c r="T760" i="9"/>
  <c r="U760" i="9"/>
  <c r="L761" i="9"/>
  <c r="M761" i="9"/>
  <c r="N761" i="9"/>
  <c r="Q761" i="9"/>
  <c r="T761" i="9"/>
  <c r="U761" i="9"/>
  <c r="L762" i="9"/>
  <c r="M762" i="9"/>
  <c r="N762" i="9"/>
  <c r="Q762" i="9"/>
  <c r="T762" i="9"/>
  <c r="U762" i="9"/>
  <c r="L763" i="9"/>
  <c r="M763" i="9"/>
  <c r="N763" i="9"/>
  <c r="Q763" i="9"/>
  <c r="T763" i="9"/>
  <c r="U763" i="9"/>
  <c r="L764" i="9"/>
  <c r="M764" i="9"/>
  <c r="N764" i="9"/>
  <c r="Q764" i="9"/>
  <c r="T764" i="9"/>
  <c r="U764" i="9"/>
  <c r="L765" i="9"/>
  <c r="M765" i="9"/>
  <c r="N765" i="9"/>
  <c r="Q765" i="9"/>
  <c r="T765" i="9"/>
  <c r="U765" i="9"/>
  <c r="L766" i="9"/>
  <c r="M766" i="9"/>
  <c r="N766" i="9"/>
  <c r="Q766" i="9"/>
  <c r="T766" i="9"/>
  <c r="U766" i="9"/>
  <c r="L767" i="9"/>
  <c r="M767" i="9"/>
  <c r="N767" i="9"/>
  <c r="Q767" i="9"/>
  <c r="T767" i="9"/>
  <c r="U767" i="9"/>
  <c r="L768" i="9"/>
  <c r="M768" i="9"/>
  <c r="N768" i="9"/>
  <c r="Q768" i="9"/>
  <c r="T768" i="9"/>
  <c r="U768" i="9"/>
  <c r="L769" i="9"/>
  <c r="M769" i="9"/>
  <c r="N769" i="9"/>
  <c r="Q769" i="9"/>
  <c r="T769" i="9"/>
  <c r="U769" i="9"/>
  <c r="L770" i="9"/>
  <c r="M770" i="9"/>
  <c r="N770" i="9"/>
  <c r="Q770" i="9"/>
  <c r="T770" i="9"/>
  <c r="U770" i="9"/>
  <c r="L771" i="9"/>
  <c r="M771" i="9"/>
  <c r="N771" i="9"/>
  <c r="Q771" i="9"/>
  <c r="T771" i="9"/>
  <c r="U771" i="9"/>
  <c r="L772" i="9"/>
  <c r="M772" i="9"/>
  <c r="N772" i="9"/>
  <c r="Q772" i="9"/>
  <c r="T772" i="9"/>
  <c r="U772" i="9"/>
  <c r="L773" i="9"/>
  <c r="M773" i="9"/>
  <c r="N773" i="9"/>
  <c r="Q773" i="9"/>
  <c r="T773" i="9"/>
  <c r="U773" i="9"/>
  <c r="L774" i="9"/>
  <c r="M774" i="9"/>
  <c r="N774" i="9"/>
  <c r="Q774" i="9"/>
  <c r="T774" i="9"/>
  <c r="U774" i="9"/>
  <c r="L775" i="9"/>
  <c r="M775" i="9"/>
  <c r="N775" i="9"/>
  <c r="Q775" i="9"/>
  <c r="T775" i="9"/>
  <c r="U775" i="9"/>
  <c r="L776" i="9"/>
  <c r="M776" i="9"/>
  <c r="N776" i="9"/>
  <c r="Q776" i="9"/>
  <c r="T776" i="9"/>
  <c r="U776" i="9"/>
  <c r="L777" i="9"/>
  <c r="M777" i="9"/>
  <c r="N777" i="9"/>
  <c r="Q777" i="9"/>
  <c r="T777" i="9"/>
  <c r="U777" i="9"/>
  <c r="L778" i="9"/>
  <c r="M778" i="9"/>
  <c r="N778" i="9"/>
  <c r="Q778" i="9"/>
  <c r="T778" i="9"/>
  <c r="U778" i="9"/>
  <c r="L779" i="9"/>
  <c r="M779" i="9"/>
  <c r="N779" i="9"/>
  <c r="Q779" i="9"/>
  <c r="T779" i="9"/>
  <c r="U779" i="9"/>
  <c r="L780" i="9"/>
  <c r="M780" i="9"/>
  <c r="N780" i="9"/>
  <c r="Q780" i="9"/>
  <c r="T780" i="9"/>
  <c r="U780" i="9"/>
  <c r="L781" i="9"/>
  <c r="M781" i="9"/>
  <c r="N781" i="9"/>
  <c r="Q781" i="9"/>
  <c r="T781" i="9"/>
  <c r="U781" i="9"/>
  <c r="L782" i="9"/>
  <c r="M782" i="9"/>
  <c r="N782" i="9"/>
  <c r="Q782" i="9"/>
  <c r="T782" i="9"/>
  <c r="U782" i="9"/>
  <c r="L783" i="9"/>
  <c r="M783" i="9"/>
  <c r="N783" i="9"/>
  <c r="Q783" i="9"/>
  <c r="T783" i="9"/>
  <c r="U783" i="9"/>
  <c r="L784" i="9"/>
  <c r="M784" i="9"/>
  <c r="N784" i="9"/>
  <c r="Q784" i="9"/>
  <c r="T784" i="9"/>
  <c r="U784" i="9"/>
  <c r="L785" i="9"/>
  <c r="M785" i="9"/>
  <c r="N785" i="9"/>
  <c r="Q785" i="9"/>
  <c r="T785" i="9"/>
  <c r="U785" i="9"/>
  <c r="L786" i="9"/>
  <c r="M786" i="9"/>
  <c r="N786" i="9"/>
  <c r="Q786" i="9"/>
  <c r="T786" i="9"/>
  <c r="U786" i="9"/>
  <c r="L787" i="9"/>
  <c r="M787" i="9"/>
  <c r="N787" i="9"/>
  <c r="Q787" i="9"/>
  <c r="T787" i="9"/>
  <c r="U787" i="9"/>
  <c r="L788" i="9"/>
  <c r="M788" i="9"/>
  <c r="N788" i="9"/>
  <c r="Q788" i="9"/>
  <c r="T788" i="9"/>
  <c r="U788" i="9"/>
  <c r="L789" i="9"/>
  <c r="M789" i="9"/>
  <c r="N789" i="9"/>
  <c r="Q789" i="9"/>
  <c r="T789" i="9"/>
  <c r="U789" i="9"/>
  <c r="L790" i="9"/>
  <c r="M790" i="9"/>
  <c r="N790" i="9"/>
  <c r="Q790" i="9"/>
  <c r="T790" i="9"/>
  <c r="U790" i="9"/>
  <c r="L791" i="9"/>
  <c r="M791" i="9"/>
  <c r="N791" i="9"/>
  <c r="Q791" i="9"/>
  <c r="T791" i="9"/>
  <c r="U791" i="9"/>
  <c r="L792" i="9"/>
  <c r="M792" i="9"/>
  <c r="N792" i="9"/>
  <c r="Q792" i="9"/>
  <c r="T792" i="9"/>
  <c r="U792" i="9"/>
  <c r="L793" i="9"/>
  <c r="M793" i="9"/>
  <c r="N793" i="9"/>
  <c r="Q793" i="9"/>
  <c r="T793" i="9"/>
  <c r="U793" i="9"/>
  <c r="L794" i="9"/>
  <c r="M794" i="9"/>
  <c r="N794" i="9"/>
  <c r="Q794" i="9"/>
  <c r="T794" i="9"/>
  <c r="U794" i="9"/>
  <c r="L795" i="9"/>
  <c r="M795" i="9"/>
  <c r="N795" i="9"/>
  <c r="Q795" i="9"/>
  <c r="T795" i="9"/>
  <c r="U795" i="9"/>
  <c r="L796" i="9"/>
  <c r="M796" i="9"/>
  <c r="N796" i="9"/>
  <c r="Q796" i="9"/>
  <c r="T796" i="9"/>
  <c r="U796" i="9"/>
  <c r="L797" i="9"/>
  <c r="M797" i="9"/>
  <c r="N797" i="9"/>
  <c r="Q797" i="9"/>
  <c r="T797" i="9"/>
  <c r="U797" i="9"/>
  <c r="L798" i="9"/>
  <c r="M798" i="9"/>
  <c r="N798" i="9"/>
  <c r="Q798" i="9"/>
  <c r="T798" i="9"/>
  <c r="U798" i="9"/>
  <c r="L799" i="9"/>
  <c r="M799" i="9"/>
  <c r="N799" i="9"/>
  <c r="Q799" i="9"/>
  <c r="T799" i="9"/>
  <c r="U799" i="9"/>
  <c r="L800" i="9"/>
  <c r="M800" i="9"/>
  <c r="N800" i="9"/>
  <c r="Q800" i="9"/>
  <c r="T800" i="9"/>
  <c r="U800" i="9"/>
  <c r="B1" i="12"/>
  <c r="B83" i="12" s="1"/>
  <c r="B2" i="48"/>
  <c r="K2" i="48"/>
  <c r="B3" i="48"/>
  <c r="B4" i="48"/>
  <c r="C4" i="48"/>
  <c r="B5" i="48"/>
  <c r="C5" i="48"/>
  <c r="BG5" i="48"/>
  <c r="B7" i="48"/>
  <c r="C7" i="48"/>
  <c r="B8" i="48"/>
  <c r="C8" i="48"/>
  <c r="B9" i="48"/>
  <c r="C9" i="48"/>
  <c r="F75" i="48"/>
  <c r="L75" i="48" s="1"/>
  <c r="M75" i="48" s="1"/>
  <c r="F89" i="48"/>
  <c r="BB98" i="48"/>
  <c r="F98" i="48" s="1"/>
  <c r="BB99" i="48"/>
  <c r="F99" i="48" s="1"/>
  <c r="L99" i="48" s="1"/>
  <c r="BB100" i="48"/>
  <c r="F100" i="48" s="1"/>
  <c r="BB101" i="48"/>
  <c r="F101" i="48" s="1"/>
  <c r="BD111" i="48"/>
  <c r="BD116" i="48"/>
  <c r="AM123" i="48"/>
  <c r="AQ123" i="48"/>
  <c r="BB123" i="48"/>
  <c r="L124" i="48"/>
  <c r="M124" i="48" s="1"/>
  <c r="F145" i="48"/>
  <c r="L145" i="48" s="1"/>
  <c r="F146" i="48"/>
  <c r="BD146" i="48" s="1"/>
  <c r="F152" i="48"/>
  <c r="L152" i="48" s="1"/>
  <c r="BD153" i="48"/>
  <c r="F157" i="48"/>
  <c r="L157" i="48" s="1"/>
  <c r="L158" i="48"/>
  <c r="M158" i="48" s="1"/>
  <c r="F161" i="48"/>
  <c r="L161" i="48" s="1"/>
  <c r="F165" i="48"/>
  <c r="L165" i="48" s="1"/>
  <c r="F183" i="48"/>
  <c r="L183" i="48" s="1"/>
  <c r="L184" i="48"/>
  <c r="M184" i="48" s="1"/>
  <c r="L191" i="48"/>
  <c r="M191" i="48" s="1"/>
  <c r="F193" i="48"/>
  <c r="L193" i="48" s="1"/>
  <c r="BD194" i="48"/>
  <c r="F196" i="48"/>
  <c r="L196" i="48" s="1"/>
  <c r="F198" i="48"/>
  <c r="L198" i="48" s="1"/>
  <c r="M199" i="48"/>
  <c r="BD208" i="48"/>
  <c r="BB209" i="48"/>
  <c r="BB210" i="48"/>
  <c r="BC210" i="48"/>
  <c r="BB211" i="48"/>
  <c r="F211" i="48" s="1"/>
  <c r="BB212" i="48"/>
  <c r="F212" i="48" s="1"/>
  <c r="L217" i="48"/>
  <c r="BC218" i="48"/>
  <c r="F218" i="48" s="1"/>
  <c r="L218" i="48" s="1"/>
  <c r="BC219" i="48"/>
  <c r="F219" i="48" s="1"/>
  <c r="L219" i="48" s="1"/>
  <c r="BC220" i="48"/>
  <c r="F220" i="48" s="1"/>
  <c r="L220" i="48" s="1"/>
  <c r="BC221" i="48"/>
  <c r="F221" i="48" s="1"/>
  <c r="L221" i="48" s="1"/>
  <c r="BC222" i="48"/>
  <c r="F222" i="48" s="1"/>
  <c r="L222" i="48" s="1"/>
  <c r="BC223" i="48"/>
  <c r="F223" i="48" s="1"/>
  <c r="BC224" i="48"/>
  <c r="F224" i="48" s="1"/>
  <c r="L224" i="48" s="1"/>
  <c r="BC225" i="48"/>
  <c r="F225" i="48" s="1"/>
  <c r="L225" i="48" s="1"/>
  <c r="BC226" i="48"/>
  <c r="F226" i="48" s="1"/>
  <c r="L226" i="48" s="1"/>
  <c r="BC227" i="48"/>
  <c r="F227" i="48" s="1"/>
  <c r="BC228" i="48"/>
  <c r="F228" i="48" s="1"/>
  <c r="L228" i="48" s="1"/>
  <c r="BC229" i="48"/>
  <c r="F229" i="48" s="1"/>
  <c r="L229" i="48" s="1"/>
  <c r="BC230" i="48"/>
  <c r="F230" i="48" s="1"/>
  <c r="BC231" i="48"/>
  <c r="F231" i="48" s="1"/>
  <c r="L231" i="48" s="1"/>
  <c r="BC232" i="48"/>
  <c r="F232" i="48" s="1"/>
  <c r="L232" i="48" s="1"/>
  <c r="BC233" i="48"/>
  <c r="F233" i="48" s="1"/>
  <c r="L233" i="48" s="1"/>
  <c r="BC234" i="48"/>
  <c r="F234" i="48" s="1"/>
  <c r="L234" i="48" s="1"/>
  <c r="BC235" i="48"/>
  <c r="F235" i="48" s="1"/>
  <c r="L235" i="48" s="1"/>
  <c r="BC236" i="48"/>
  <c r="F236" i="48" s="1"/>
  <c r="L236" i="48" s="1"/>
  <c r="BC237" i="48"/>
  <c r="F237" i="48" s="1"/>
  <c r="L237" i="48" s="1"/>
  <c r="BC238" i="48"/>
  <c r="F238" i="48" s="1"/>
  <c r="L238" i="48" s="1"/>
  <c r="BC239" i="48"/>
  <c r="F239" i="48" s="1"/>
  <c r="L239" i="48" s="1"/>
  <c r="BC241" i="48"/>
  <c r="F241" i="48" s="1"/>
  <c r="L241" i="48" s="1"/>
  <c r="BC242" i="48"/>
  <c r="F242" i="48" s="1"/>
  <c r="L242" i="48" s="1"/>
  <c r="BC243" i="48"/>
  <c r="F243" i="48" s="1"/>
  <c r="L243" i="48" s="1"/>
  <c r="BC244" i="48"/>
  <c r="F244" i="48" s="1"/>
  <c r="L244" i="48" s="1"/>
  <c r="BD250" i="48"/>
  <c r="BB251" i="48"/>
  <c r="F251" i="48" s="1"/>
  <c r="BB252" i="48"/>
  <c r="F252" i="48" s="1"/>
  <c r="L252" i="48" s="1"/>
  <c r="BB253" i="48"/>
  <c r="F253" i="48" s="1"/>
  <c r="L253" i="48" s="1"/>
  <c r="BB254" i="48"/>
  <c r="F254" i="48" s="1"/>
  <c r="L254" i="48" s="1"/>
  <c r="BD257" i="48"/>
  <c r="BB258" i="48"/>
  <c r="F258" i="48" s="1"/>
  <c r="BB259" i="48"/>
  <c r="F259" i="48" s="1"/>
  <c r="BB260" i="48"/>
  <c r="F260" i="48" s="1"/>
  <c r="BB261" i="48"/>
  <c r="F261" i="48" s="1"/>
  <c r="BB262" i="48"/>
  <c r="F262" i="48" s="1"/>
  <c r="BB263" i="48"/>
  <c r="F263" i="48" s="1"/>
  <c r="BB264" i="48"/>
  <c r="F264" i="48" s="1"/>
  <c r="L264" i="48" s="1"/>
  <c r="BB265" i="48"/>
  <c r="F265" i="48" s="1"/>
  <c r="BB266" i="48"/>
  <c r="F266" i="48" s="1"/>
  <c r="BB267" i="48"/>
  <c r="F267" i="48" s="1"/>
  <c r="BB268" i="48"/>
  <c r="F268" i="48" s="1"/>
  <c r="BB269" i="48"/>
  <c r="F269" i="48" s="1"/>
  <c r="H275" i="48"/>
  <c r="H276" i="48"/>
  <c r="H277" i="48"/>
  <c r="H278" i="48"/>
  <c r="H279" i="48"/>
  <c r="H280" i="48"/>
  <c r="R6" i="15"/>
  <c r="R14" i="15"/>
  <c r="D56" i="15"/>
  <c r="H56" i="15"/>
  <c r="H61" i="15"/>
  <c r="M6" i="103"/>
  <c r="R18" i="103"/>
  <c r="AZ203" i="48" s="1"/>
  <c r="F203" i="48" s="1"/>
  <c r="L203" i="48" s="1"/>
  <c r="R19" i="103"/>
  <c r="AZ204" i="48" s="1"/>
  <c r="F204" i="48" s="1"/>
  <c r="L204" i="48" s="1"/>
  <c r="R20" i="103"/>
  <c r="AZ205" i="48" s="1"/>
  <c r="F205" i="48" s="1"/>
  <c r="R21" i="103"/>
  <c r="AZ206" i="48" s="1"/>
  <c r="F206" i="48" s="1"/>
  <c r="L206" i="48" s="1"/>
  <c r="R22" i="103"/>
  <c r="AZ207" i="48" s="1"/>
  <c r="F207" i="48" s="1"/>
  <c r="L207" i="48" s="1"/>
  <c r="R3" i="102"/>
  <c r="M6" i="102"/>
  <c r="R8" i="102"/>
  <c r="AX197" i="48" s="1"/>
  <c r="F197" i="48" s="1"/>
  <c r="L197" i="48" s="1"/>
  <c r="S3" i="100"/>
  <c r="AW172" i="48" s="1"/>
  <c r="F172" i="48" s="1"/>
  <c r="L172" i="48" s="1"/>
  <c r="S4" i="100"/>
  <c r="AW173" i="48" s="1"/>
  <c r="F173" i="48" s="1"/>
  <c r="L173" i="48" s="1"/>
  <c r="S5" i="100"/>
  <c r="AW174" i="48" s="1"/>
  <c r="F174" i="48" s="1"/>
  <c r="L174" i="48" s="1"/>
  <c r="N6" i="100"/>
  <c r="S6" i="100"/>
  <c r="AW175" i="48" s="1"/>
  <c r="F175" i="48" s="1"/>
  <c r="L175" i="48" s="1"/>
  <c r="S9" i="100"/>
  <c r="AW178" i="48" s="1"/>
  <c r="F178" i="48" s="1"/>
  <c r="L178" i="48" s="1"/>
  <c r="S10" i="100"/>
  <c r="AW179" i="48" s="1"/>
  <c r="F179" i="48" s="1"/>
  <c r="L179" i="48" s="1"/>
  <c r="S11" i="100"/>
  <c r="AW180" i="48" s="1"/>
  <c r="F180" i="48" s="1"/>
  <c r="L180" i="48" s="1"/>
  <c r="S12" i="100"/>
  <c r="AW181" i="48" s="1"/>
  <c r="F181" i="48" s="1"/>
  <c r="L181" i="48" s="1"/>
  <c r="S15" i="100"/>
  <c r="AW185" i="48" s="1"/>
  <c r="F185" i="48" s="1"/>
  <c r="L185" i="48" s="1"/>
  <c r="S16" i="100"/>
  <c r="AW186" i="48" s="1"/>
  <c r="F186" i="48" s="1"/>
  <c r="S17" i="100"/>
  <c r="AW187" i="48" s="1"/>
  <c r="F187" i="48" s="1"/>
  <c r="L187" i="48" s="1"/>
  <c r="S18" i="100"/>
  <c r="AW188" i="48" s="1"/>
  <c r="F188" i="48" s="1"/>
  <c r="L188" i="48" s="1"/>
  <c r="S21" i="100"/>
  <c r="AW192" i="48" s="1"/>
  <c r="F192" i="48" s="1"/>
  <c r="L192" i="48" s="1"/>
  <c r="R3" i="101"/>
  <c r="AU159" i="48" s="1"/>
  <c r="F159" i="48" s="1"/>
  <c r="L159" i="48" s="1"/>
  <c r="R4" i="101"/>
  <c r="AU160" i="48" s="1"/>
  <c r="F160" i="48" s="1"/>
  <c r="L160" i="48" s="1"/>
  <c r="M6" i="101"/>
  <c r="R8" i="101"/>
  <c r="AU162" i="48" s="1"/>
  <c r="F162" i="48" s="1"/>
  <c r="L162" i="48" s="1"/>
  <c r="R9" i="101"/>
  <c r="AU163" i="48" s="1"/>
  <c r="F163" i="48" s="1"/>
  <c r="L163" i="48" s="1"/>
  <c r="R10" i="101"/>
  <c r="AU164" i="48" s="1"/>
  <c r="F164" i="48" s="1"/>
  <c r="L164" i="48" s="1"/>
  <c r="B27" i="101"/>
  <c r="S3" i="99"/>
  <c r="AT134" i="48" s="1"/>
  <c r="F134" i="48" s="1"/>
  <c r="L134" i="48" s="1"/>
  <c r="S4" i="99"/>
  <c r="AT135" i="48" s="1"/>
  <c r="F135" i="48" s="1"/>
  <c r="L135" i="48" s="1"/>
  <c r="S5" i="99"/>
  <c r="AT136" i="48" s="1"/>
  <c r="F136" i="48" s="1"/>
  <c r="L136" i="48" s="1"/>
  <c r="N6" i="99"/>
  <c r="S6" i="99"/>
  <c r="AT137" i="48" s="1"/>
  <c r="F137" i="48" s="1"/>
  <c r="L137" i="48" s="1"/>
  <c r="S9" i="99"/>
  <c r="AT140" i="48" s="1"/>
  <c r="F140" i="48" s="1"/>
  <c r="L140" i="48" s="1"/>
  <c r="S10" i="99"/>
  <c r="AT141" i="48" s="1"/>
  <c r="F141" i="48" s="1"/>
  <c r="L141" i="48" s="1"/>
  <c r="S11" i="99"/>
  <c r="AT142" i="48" s="1"/>
  <c r="F142" i="48" s="1"/>
  <c r="L142" i="48" s="1"/>
  <c r="S12" i="99"/>
  <c r="AT143" i="48" s="1"/>
  <c r="F143" i="48" s="1"/>
  <c r="L143" i="48" s="1"/>
  <c r="S15" i="99"/>
  <c r="AT147" i="48" s="1"/>
  <c r="F147" i="48" s="1"/>
  <c r="L147" i="48" s="1"/>
  <c r="S16" i="99"/>
  <c r="AT148" i="48" s="1"/>
  <c r="F148" i="48" s="1"/>
  <c r="L148" i="48" s="1"/>
  <c r="S17" i="99"/>
  <c r="AT149" i="48" s="1"/>
  <c r="F149" i="48" s="1"/>
  <c r="L149" i="48" s="1"/>
  <c r="S18" i="99"/>
  <c r="AT150" i="48" s="1"/>
  <c r="F150" i="48" s="1"/>
  <c r="L150" i="48" s="1"/>
  <c r="S21" i="99"/>
  <c r="AT154" i="48" s="1"/>
  <c r="F154" i="48" s="1"/>
  <c r="L154" i="48" s="1"/>
  <c r="S22" i="99"/>
  <c r="AT155" i="48" s="1"/>
  <c r="F155" i="48" s="1"/>
  <c r="L155" i="48" s="1"/>
  <c r="S23" i="99"/>
  <c r="AT156" i="48" s="1"/>
  <c r="F156" i="48" s="1"/>
  <c r="L156" i="48" s="1"/>
  <c r="B31" i="99"/>
  <c r="B32" i="99"/>
  <c r="P6" i="3"/>
  <c r="F18" i="3"/>
  <c r="I7" i="16"/>
  <c r="AQ19" i="48"/>
  <c r="AQ20" i="48"/>
  <c r="AQ35" i="48"/>
  <c r="N8" i="97"/>
  <c r="AQ36" i="48"/>
  <c r="AQ37" i="48"/>
  <c r="I14" i="97"/>
  <c r="I15" i="97"/>
  <c r="AQ66" i="48"/>
  <c r="AQ68" i="48"/>
  <c r="AQ71" i="48"/>
  <c r="AQ121" i="48"/>
  <c r="AO20" i="48"/>
  <c r="AO118" i="48"/>
  <c r="N8" i="96"/>
  <c r="AO36" i="48"/>
  <c r="AO37" i="48"/>
  <c r="I14" i="96"/>
  <c r="I15" i="96"/>
  <c r="AO66" i="48"/>
  <c r="AO68" i="48"/>
  <c r="AO70" i="48"/>
  <c r="AO120" i="48"/>
  <c r="AO121" i="48"/>
  <c r="AO125" i="48"/>
  <c r="AO126" i="48"/>
  <c r="S72" i="96"/>
  <c r="S73" i="96"/>
  <c r="AO129" i="48"/>
  <c r="AO130" i="48"/>
  <c r="S77" i="96"/>
  <c r="S78" i="96"/>
  <c r="AM35" i="48"/>
  <c r="N8" i="92"/>
  <c r="AM37" i="48"/>
  <c r="I14" i="92"/>
  <c r="I15" i="92"/>
  <c r="AM66" i="48"/>
  <c r="AM68" i="48"/>
  <c r="AM70" i="48"/>
  <c r="AM121" i="48"/>
  <c r="AM122" i="48"/>
  <c r="U3" i="109"/>
  <c r="U4" i="109"/>
  <c r="S82" i="109"/>
  <c r="N8" i="109"/>
  <c r="AL43" i="48"/>
  <c r="S84" i="109"/>
  <c r="AL58" i="48" s="1"/>
  <c r="I14" i="109"/>
  <c r="I15" i="109"/>
  <c r="AL68" i="48"/>
  <c r="AL70" i="48"/>
  <c r="AL71" i="48"/>
  <c r="AL67" i="48"/>
  <c r="AL126" i="48"/>
  <c r="AL130" i="48"/>
  <c r="S80" i="109"/>
  <c r="S81" i="109"/>
  <c r="S85" i="109"/>
  <c r="AL59" i="48" s="1"/>
  <c r="S86" i="109"/>
  <c r="AL60" i="48" s="1"/>
  <c r="S3" i="112"/>
  <c r="AI19" i="48" s="1"/>
  <c r="S4" i="112"/>
  <c r="AI20" i="48" s="1"/>
  <c r="S5" i="112"/>
  <c r="AI21" i="48" s="1"/>
  <c r="S6" i="112"/>
  <c r="AI22" i="48" s="1"/>
  <c r="S7" i="112"/>
  <c r="AI23" i="48" s="1"/>
  <c r="M8" i="112"/>
  <c r="S8" i="112"/>
  <c r="S9" i="112"/>
  <c r="S10" i="112"/>
  <c r="S12" i="112"/>
  <c r="S49" i="112" s="1"/>
  <c r="AI56" i="48" s="1"/>
  <c r="S13" i="112"/>
  <c r="AI43" i="48" s="1"/>
  <c r="S14" i="112"/>
  <c r="S15" i="112"/>
  <c r="AI45" i="48" s="1"/>
  <c r="S16" i="112"/>
  <c r="S53" i="112" s="1"/>
  <c r="AI60" i="48" s="1"/>
  <c r="S17" i="112"/>
  <c r="G18" i="112"/>
  <c r="S18" i="112"/>
  <c r="S19" i="112"/>
  <c r="S20" i="112"/>
  <c r="S22" i="112"/>
  <c r="K23" i="112"/>
  <c r="S23" i="112"/>
  <c r="K24" i="112"/>
  <c r="F26" i="112"/>
  <c r="G26" i="112"/>
  <c r="H26" i="112"/>
  <c r="I26" i="112"/>
  <c r="S26" i="112"/>
  <c r="AI66" i="48" s="1"/>
  <c r="F28" i="112"/>
  <c r="H28" i="112"/>
  <c r="S28" i="112"/>
  <c r="AI68" i="48" s="1"/>
  <c r="G29" i="112"/>
  <c r="I29" i="112"/>
  <c r="S30" i="112"/>
  <c r="AI70" i="48" s="1"/>
  <c r="S32" i="112"/>
  <c r="AI72" i="48" s="1"/>
  <c r="S34" i="112"/>
  <c r="AI74" i="48" s="1"/>
  <c r="S3" i="90"/>
  <c r="AH19" i="48" s="1"/>
  <c r="S4" i="90"/>
  <c r="AH20" i="48" s="1"/>
  <c r="S5" i="90"/>
  <c r="AH21" i="48" s="1"/>
  <c r="S6" i="90"/>
  <c r="AH22" i="48" s="1"/>
  <c r="S7" i="90"/>
  <c r="AH23" i="48" s="1"/>
  <c r="M8" i="90"/>
  <c r="S8" i="90"/>
  <c r="S9" i="90"/>
  <c r="S10" i="90"/>
  <c r="S12" i="90"/>
  <c r="AH35" i="48" s="1"/>
  <c r="S13" i="90"/>
  <c r="AH36" i="48" s="1"/>
  <c r="S14" i="90"/>
  <c r="AH37" i="48" s="1"/>
  <c r="S15" i="90"/>
  <c r="AH38" i="48" s="1"/>
  <c r="S16" i="90"/>
  <c r="AH39" i="48" s="1"/>
  <c r="S17" i="90"/>
  <c r="G18" i="90"/>
  <c r="S18" i="90"/>
  <c r="S19" i="90"/>
  <c r="S20" i="90"/>
  <c r="S22" i="90"/>
  <c r="K23" i="90"/>
  <c r="S23" i="90"/>
  <c r="K24" i="90"/>
  <c r="F26" i="90"/>
  <c r="G26" i="90"/>
  <c r="H26" i="90"/>
  <c r="I26" i="90"/>
  <c r="S26" i="90"/>
  <c r="AH66" i="48" s="1"/>
  <c r="F28" i="90"/>
  <c r="H28" i="90"/>
  <c r="S28" i="90"/>
  <c r="AH68" i="48" s="1"/>
  <c r="G29" i="90"/>
  <c r="I29" i="90"/>
  <c r="S30" i="90"/>
  <c r="AH70" i="48" s="1"/>
  <c r="S32" i="90"/>
  <c r="AH72" i="48" s="1"/>
  <c r="S34" i="90"/>
  <c r="AH74" i="48" s="1"/>
  <c r="AF20" i="48"/>
  <c r="N8" i="111"/>
  <c r="AF66" i="48"/>
  <c r="AF67" i="48"/>
  <c r="AF68" i="48"/>
  <c r="AF69" i="48"/>
  <c r="AF70" i="48"/>
  <c r="AF71" i="48"/>
  <c r="AF72" i="48"/>
  <c r="AF73" i="48"/>
  <c r="AF74" i="48"/>
  <c r="AF80" i="48"/>
  <c r="AF81" i="48"/>
  <c r="AF82" i="48"/>
  <c r="AF83" i="48"/>
  <c r="AF84" i="48"/>
  <c r="AF85" i="48"/>
  <c r="AF86" i="48"/>
  <c r="AF87" i="48"/>
  <c r="N8" i="110"/>
  <c r="AE66" i="48"/>
  <c r="AE67" i="48"/>
  <c r="AE68" i="48"/>
  <c r="AE69" i="48"/>
  <c r="AE70" i="48"/>
  <c r="AE71" i="48"/>
  <c r="AE72" i="48"/>
  <c r="AE73" i="48"/>
  <c r="AE74" i="48"/>
  <c r="AE80" i="48"/>
  <c r="AE81" i="48"/>
  <c r="AE82" i="48"/>
  <c r="AE83" i="48"/>
  <c r="AE84" i="48"/>
  <c r="AE85" i="48"/>
  <c r="AE86" i="48"/>
  <c r="AE87" i="48"/>
  <c r="S7" i="108"/>
  <c r="AD42" i="48" s="1"/>
  <c r="N8" i="108"/>
  <c r="S8" i="108"/>
  <c r="S9" i="108"/>
  <c r="S51" i="108" s="1"/>
  <c r="AD58" i="48" s="1"/>
  <c r="S10" i="108"/>
  <c r="S11" i="108"/>
  <c r="AD46" i="48" s="1"/>
  <c r="S13" i="108"/>
  <c r="S14" i="108"/>
  <c r="S15" i="108"/>
  <c r="S16" i="108"/>
  <c r="S17" i="108"/>
  <c r="AD66" i="48" s="1"/>
  <c r="S18" i="108"/>
  <c r="AD67" i="48" s="1"/>
  <c r="S19" i="108"/>
  <c r="AD68" i="48" s="1"/>
  <c r="S20" i="108"/>
  <c r="AD69" i="48" s="1"/>
  <c r="S21" i="108"/>
  <c r="AD70" i="48" s="1"/>
  <c r="S22" i="108"/>
  <c r="AD71" i="48" s="1"/>
  <c r="S23" i="108"/>
  <c r="AD72" i="48" s="1"/>
  <c r="S24" i="108"/>
  <c r="AD73" i="48" s="1"/>
  <c r="S25" i="108"/>
  <c r="AD74" i="48" s="1"/>
  <c r="S27" i="108"/>
  <c r="S28" i="108"/>
  <c r="S29" i="108"/>
  <c r="S30" i="108"/>
  <c r="S31" i="108"/>
  <c r="S32" i="108"/>
  <c r="S33" i="108"/>
  <c r="S34" i="108"/>
  <c r="S35" i="108"/>
  <c r="S36" i="108"/>
  <c r="S37" i="108"/>
  <c r="S38" i="108"/>
  <c r="S39" i="108"/>
  <c r="S47" i="108"/>
  <c r="S48" i="108"/>
  <c r="S3" i="89"/>
  <c r="S4" i="89"/>
  <c r="S5" i="89"/>
  <c r="S6" i="89"/>
  <c r="S7" i="89"/>
  <c r="AC35" i="48" s="1"/>
  <c r="N8" i="89"/>
  <c r="S8" i="89"/>
  <c r="AC36" i="48" s="1"/>
  <c r="S9" i="89"/>
  <c r="AC37" i="48" s="1"/>
  <c r="S10" i="89"/>
  <c r="AC38" i="48" s="1"/>
  <c r="S11" i="89"/>
  <c r="AC39" i="48" s="1"/>
  <c r="S13" i="89"/>
  <c r="S14" i="89"/>
  <c r="S15" i="89"/>
  <c r="S16" i="89"/>
  <c r="S17" i="89"/>
  <c r="AC66" i="48" s="1"/>
  <c r="S18" i="89"/>
  <c r="AC67" i="48" s="1"/>
  <c r="S19" i="89"/>
  <c r="AC68" i="48" s="1"/>
  <c r="S20" i="89"/>
  <c r="AC69" i="48" s="1"/>
  <c r="S21" i="89"/>
  <c r="AC70" i="48" s="1"/>
  <c r="S22" i="89"/>
  <c r="AC71" i="48" s="1"/>
  <c r="S23" i="89"/>
  <c r="AC72" i="48" s="1"/>
  <c r="S24" i="89"/>
  <c r="AC73" i="48" s="1"/>
  <c r="S25" i="89"/>
  <c r="AC74" i="48" s="1"/>
  <c r="S27" i="89"/>
  <c r="S28" i="89"/>
  <c r="S29" i="89"/>
  <c r="S30" i="89"/>
  <c r="S31" i="89"/>
  <c r="S32" i="89"/>
  <c r="S33" i="89"/>
  <c r="S34" i="89"/>
  <c r="S35" i="89"/>
  <c r="S36" i="89"/>
  <c r="S37" i="89"/>
  <c r="S38" i="89"/>
  <c r="S39" i="89"/>
  <c r="S3" i="93"/>
  <c r="S4" i="93"/>
  <c r="S5" i="93"/>
  <c r="S6" i="93"/>
  <c r="S7" i="93"/>
  <c r="AB19" i="48" s="1"/>
  <c r="N8" i="93"/>
  <c r="S8" i="93"/>
  <c r="AB20" i="48" s="1"/>
  <c r="S9" i="93"/>
  <c r="AB21" i="48" s="1"/>
  <c r="S10" i="93"/>
  <c r="AB22" i="48" s="1"/>
  <c r="S11" i="93"/>
  <c r="AB23" i="48" s="1"/>
  <c r="S13" i="93"/>
  <c r="S14" i="93"/>
  <c r="S15" i="93"/>
  <c r="S16" i="93"/>
  <c r="S17" i="93"/>
  <c r="AB66" i="48" s="1"/>
  <c r="S18" i="93"/>
  <c r="AB67" i="48" s="1"/>
  <c r="S19" i="93"/>
  <c r="AB68" i="48" s="1"/>
  <c r="S20" i="93"/>
  <c r="AB69" i="48" s="1"/>
  <c r="S21" i="93"/>
  <c r="AB70" i="48" s="1"/>
  <c r="S22" i="93"/>
  <c r="AB71" i="48" s="1"/>
  <c r="S23" i="93"/>
  <c r="AB72" i="48" s="1"/>
  <c r="S24" i="93"/>
  <c r="AB73" i="48" s="1"/>
  <c r="S25" i="93"/>
  <c r="AB74" i="48" s="1"/>
  <c r="S27" i="93"/>
  <c r="S28" i="93"/>
  <c r="S29" i="93"/>
  <c r="S30" i="93"/>
  <c r="S31" i="93"/>
  <c r="S32" i="93"/>
  <c r="S33" i="93"/>
  <c r="S34" i="93"/>
  <c r="S35" i="93"/>
  <c r="S36" i="93"/>
  <c r="S37" i="93"/>
  <c r="S38" i="93"/>
  <c r="N8" i="86"/>
  <c r="Z65" i="48"/>
  <c r="Z66" i="48"/>
  <c r="Z67" i="48"/>
  <c r="Z68" i="48"/>
  <c r="Z69" i="48"/>
  <c r="Z70" i="48"/>
  <c r="Z71" i="48"/>
  <c r="Z72" i="48"/>
  <c r="Z73" i="48"/>
  <c r="Z74" i="48"/>
  <c r="S27" i="86"/>
  <c r="S28" i="86"/>
  <c r="S29" i="86"/>
  <c r="S30" i="86"/>
  <c r="Z79" i="48" s="1"/>
  <c r="S31" i="86"/>
  <c r="Z80" i="48" s="1"/>
  <c r="S32" i="86"/>
  <c r="Z81" i="48" s="1"/>
  <c r="S33" i="86"/>
  <c r="Z82" i="48" s="1"/>
  <c r="S34" i="86"/>
  <c r="Z83" i="48" s="1"/>
  <c r="S35" i="86"/>
  <c r="Z84" i="48" s="1"/>
  <c r="S36" i="86"/>
  <c r="Z85" i="48" s="1"/>
  <c r="S37" i="86"/>
  <c r="Z86" i="48" s="1"/>
  <c r="S38" i="86"/>
  <c r="Z87" i="48" s="1"/>
  <c r="S39" i="86"/>
  <c r="Z88" i="48" s="1"/>
  <c r="N8" i="107"/>
  <c r="H12" i="107"/>
  <c r="H13" i="107"/>
  <c r="Y62" i="48"/>
  <c r="Y63" i="48"/>
  <c r="Y64" i="48"/>
  <c r="Y65" i="48"/>
  <c r="Y66" i="48"/>
  <c r="Y67" i="48"/>
  <c r="Y68" i="48"/>
  <c r="Y69" i="48"/>
  <c r="Y70" i="48"/>
  <c r="Y71" i="48"/>
  <c r="Y72" i="48"/>
  <c r="Y73" i="48"/>
  <c r="Y74" i="48"/>
  <c r="S27" i="107"/>
  <c r="Y76" i="48" s="1"/>
  <c r="S28" i="107"/>
  <c r="Y77" i="48" s="1"/>
  <c r="S29" i="107"/>
  <c r="Y78" i="48" s="1"/>
  <c r="S30" i="107"/>
  <c r="Y79" i="48" s="1"/>
  <c r="S31" i="107"/>
  <c r="Y80" i="48" s="1"/>
  <c r="S32" i="107"/>
  <c r="Y81" i="48" s="1"/>
  <c r="S33" i="107"/>
  <c r="Y82" i="48" s="1"/>
  <c r="S34" i="107"/>
  <c r="Y83" i="48" s="1"/>
  <c r="S35" i="107"/>
  <c r="Y84" i="48" s="1"/>
  <c r="S36" i="107"/>
  <c r="Y85" i="48" s="1"/>
  <c r="S37" i="107"/>
  <c r="Y86" i="48" s="1"/>
  <c r="S38" i="107"/>
  <c r="Y87" i="48" s="1"/>
  <c r="S39" i="107"/>
  <c r="Y88" i="48" s="1"/>
  <c r="N8" i="88"/>
  <c r="H12" i="88"/>
  <c r="H13" i="88"/>
  <c r="X62" i="48"/>
  <c r="X63" i="48"/>
  <c r="X64" i="48"/>
  <c r="X65" i="48"/>
  <c r="X66" i="48"/>
  <c r="X67" i="48"/>
  <c r="X68" i="48"/>
  <c r="X69" i="48"/>
  <c r="X70" i="48"/>
  <c r="X71" i="48"/>
  <c r="X72" i="48"/>
  <c r="X73" i="48"/>
  <c r="X74" i="48"/>
  <c r="S27" i="88"/>
  <c r="X76" i="48" s="1"/>
  <c r="S28" i="88"/>
  <c r="X77" i="48" s="1"/>
  <c r="S29" i="88"/>
  <c r="X78" i="48" s="1"/>
  <c r="S30" i="88"/>
  <c r="S31" i="88"/>
  <c r="X80" i="48" s="1"/>
  <c r="S32" i="88"/>
  <c r="X81" i="48" s="1"/>
  <c r="S33" i="88"/>
  <c r="X82" i="48" s="1"/>
  <c r="S34" i="88"/>
  <c r="X83" i="48" s="1"/>
  <c r="S35" i="88"/>
  <c r="X84" i="48" s="1"/>
  <c r="S36" i="88"/>
  <c r="X85" i="48" s="1"/>
  <c r="S37" i="88"/>
  <c r="X86" i="48" s="1"/>
  <c r="S38" i="88"/>
  <c r="X87" i="48" s="1"/>
  <c r="S39" i="88"/>
  <c r="X88" i="48" s="1"/>
  <c r="N8" i="106"/>
  <c r="H12" i="106"/>
  <c r="H13" i="106"/>
  <c r="W62" i="48"/>
  <c r="H14" i="106"/>
  <c r="W63" i="48"/>
  <c r="H15" i="106"/>
  <c r="W64" i="48"/>
  <c r="W65" i="48"/>
  <c r="W66" i="48"/>
  <c r="W67" i="48"/>
  <c r="W68" i="48"/>
  <c r="W69" i="48"/>
  <c r="W70" i="48"/>
  <c r="W71" i="48"/>
  <c r="W72" i="48"/>
  <c r="W73" i="48"/>
  <c r="W74" i="48"/>
  <c r="S27" i="106"/>
  <c r="W76" i="48" s="1"/>
  <c r="S28" i="106"/>
  <c r="W77" i="48" s="1"/>
  <c r="S29" i="106"/>
  <c r="W78" i="48" s="1"/>
  <c r="S30" i="106"/>
  <c r="W79" i="48" s="1"/>
  <c r="S31" i="106"/>
  <c r="W80" i="48" s="1"/>
  <c r="S32" i="106"/>
  <c r="W81" i="48" s="1"/>
  <c r="S33" i="106"/>
  <c r="W82" i="48" s="1"/>
  <c r="S34" i="106"/>
  <c r="W83" i="48" s="1"/>
  <c r="S35" i="106"/>
  <c r="W84" i="48" s="1"/>
  <c r="S36" i="106"/>
  <c r="W85" i="48" s="1"/>
  <c r="S37" i="106"/>
  <c r="W86" i="48" s="1"/>
  <c r="S38" i="106"/>
  <c r="W87" i="48" s="1"/>
  <c r="S39" i="106"/>
  <c r="W88" i="48" s="1"/>
  <c r="N8" i="87"/>
  <c r="V36" i="48"/>
  <c r="H12" i="87"/>
  <c r="H13" i="87"/>
  <c r="V62" i="48"/>
  <c r="H14" i="87"/>
  <c r="V63" i="48"/>
  <c r="H15" i="87"/>
  <c r="V64" i="48"/>
  <c r="V65" i="48"/>
  <c r="V66" i="48"/>
  <c r="V67" i="48"/>
  <c r="V68" i="48"/>
  <c r="V69" i="48"/>
  <c r="V70" i="48"/>
  <c r="V71" i="48"/>
  <c r="V72" i="48"/>
  <c r="V73" i="48"/>
  <c r="V74" i="48"/>
  <c r="S27" i="87"/>
  <c r="V76" i="48" s="1"/>
  <c r="S28" i="87"/>
  <c r="V77" i="48" s="1"/>
  <c r="S29" i="87"/>
  <c r="V78" i="48" s="1"/>
  <c r="S30" i="87"/>
  <c r="V79" i="48" s="1"/>
  <c r="S31" i="87"/>
  <c r="V80" i="48" s="1"/>
  <c r="S32" i="87"/>
  <c r="V81" i="48" s="1"/>
  <c r="S33" i="87"/>
  <c r="V82" i="48" s="1"/>
  <c r="S34" i="87"/>
  <c r="V83" i="48" s="1"/>
  <c r="S35" i="87"/>
  <c r="V84" i="48" s="1"/>
  <c r="S36" i="87"/>
  <c r="V85" i="48" s="1"/>
  <c r="S37" i="87"/>
  <c r="V86" i="48" s="1"/>
  <c r="S38" i="87"/>
  <c r="V87" i="48" s="1"/>
  <c r="S39" i="87"/>
  <c r="V88" i="48" s="1"/>
  <c r="N8" i="105"/>
  <c r="H12" i="105"/>
  <c r="H13" i="105"/>
  <c r="U62" i="48"/>
  <c r="H14" i="105"/>
  <c r="U63" i="48"/>
  <c r="H15" i="105"/>
  <c r="U64" i="48"/>
  <c r="U65" i="48"/>
  <c r="U66" i="48"/>
  <c r="U67" i="48"/>
  <c r="U68" i="48"/>
  <c r="U69" i="48"/>
  <c r="U70" i="48"/>
  <c r="U71" i="48"/>
  <c r="U72" i="48"/>
  <c r="U73" i="48"/>
  <c r="U74" i="48"/>
  <c r="S27" i="105"/>
  <c r="U76" i="48" s="1"/>
  <c r="S28" i="105"/>
  <c r="U77" i="48" s="1"/>
  <c r="S29" i="105"/>
  <c r="U78" i="48" s="1"/>
  <c r="S30" i="105"/>
  <c r="U79" i="48" s="1"/>
  <c r="S31" i="105"/>
  <c r="U80" i="48" s="1"/>
  <c r="S32" i="105"/>
  <c r="U81" i="48" s="1"/>
  <c r="S33" i="105"/>
  <c r="U82" i="48" s="1"/>
  <c r="S34" i="105"/>
  <c r="U83" i="48" s="1"/>
  <c r="S35" i="105"/>
  <c r="U84" i="48" s="1"/>
  <c r="S36" i="105"/>
  <c r="U85" i="48" s="1"/>
  <c r="S37" i="105"/>
  <c r="U86" i="48" s="1"/>
  <c r="S38" i="105"/>
  <c r="U87" i="48" s="1"/>
  <c r="S39" i="105"/>
  <c r="U88" i="48" s="1"/>
  <c r="N8" i="80"/>
  <c r="H12" i="80"/>
  <c r="H13" i="80"/>
  <c r="T62" i="48"/>
  <c r="H14" i="80"/>
  <c r="T63" i="48"/>
  <c r="H15" i="80"/>
  <c r="T64" i="48"/>
  <c r="T65" i="48"/>
  <c r="T66" i="48"/>
  <c r="T67" i="48"/>
  <c r="T68" i="48"/>
  <c r="T69" i="48"/>
  <c r="T70" i="48"/>
  <c r="T71" i="48"/>
  <c r="T72" i="48"/>
  <c r="T73" i="48"/>
  <c r="T74" i="48"/>
  <c r="S27" i="80"/>
  <c r="T76" i="48" s="1"/>
  <c r="S28" i="80"/>
  <c r="T77" i="48" s="1"/>
  <c r="S29" i="80"/>
  <c r="T78" i="48" s="1"/>
  <c r="S30" i="80"/>
  <c r="T79" i="48" s="1"/>
  <c r="S31" i="80"/>
  <c r="T80" i="48" s="1"/>
  <c r="S32" i="80"/>
  <c r="T81" i="48" s="1"/>
  <c r="S33" i="80"/>
  <c r="T82" i="48" s="1"/>
  <c r="S34" i="80"/>
  <c r="T83" i="48" s="1"/>
  <c r="S35" i="80"/>
  <c r="T84" i="48" s="1"/>
  <c r="S36" i="80"/>
  <c r="T85" i="48" s="1"/>
  <c r="S37" i="80"/>
  <c r="T86" i="48" s="1"/>
  <c r="S38" i="80"/>
  <c r="T87" i="48" s="1"/>
  <c r="S39" i="80"/>
  <c r="T88" i="48" s="1"/>
  <c r="N8" i="104"/>
  <c r="S62" i="48"/>
  <c r="S63" i="48"/>
  <c r="S64" i="48"/>
  <c r="S65" i="48"/>
  <c r="S66" i="48"/>
  <c r="S67" i="48"/>
  <c r="S68" i="48"/>
  <c r="S69" i="48"/>
  <c r="S70" i="48"/>
  <c r="S71" i="48"/>
  <c r="S72" i="48"/>
  <c r="S73" i="48"/>
  <c r="S74" i="48"/>
  <c r="S27" i="104"/>
  <c r="S76" i="48" s="1"/>
  <c r="S28" i="104"/>
  <c r="S77" i="48" s="1"/>
  <c r="S29" i="104"/>
  <c r="S78" i="48" s="1"/>
  <c r="S30" i="104"/>
  <c r="S79" i="48" s="1"/>
  <c r="S31" i="104"/>
  <c r="S80" i="48" s="1"/>
  <c r="S32" i="104"/>
  <c r="S81" i="48" s="1"/>
  <c r="S33" i="104"/>
  <c r="S82" i="48" s="1"/>
  <c r="S34" i="104"/>
  <c r="S83" i="48" s="1"/>
  <c r="S35" i="104"/>
  <c r="S84" i="48" s="1"/>
  <c r="S36" i="104"/>
  <c r="S85" i="48" s="1"/>
  <c r="S37" i="104"/>
  <c r="S86" i="48" s="1"/>
  <c r="S38" i="104"/>
  <c r="S87" i="48" s="1"/>
  <c r="S39" i="104"/>
  <c r="S88" i="48" s="1"/>
  <c r="N8" i="85"/>
  <c r="R62" i="48"/>
  <c r="R63" i="48"/>
  <c r="R64" i="48"/>
  <c r="R65" i="48"/>
  <c r="R66" i="48"/>
  <c r="R67" i="48"/>
  <c r="R68" i="48"/>
  <c r="R69" i="48"/>
  <c r="R70" i="48"/>
  <c r="R71" i="48"/>
  <c r="R72" i="48"/>
  <c r="R73" i="48"/>
  <c r="R74" i="48"/>
  <c r="S27" i="85"/>
  <c r="R76" i="48" s="1"/>
  <c r="S28" i="85"/>
  <c r="R77" i="48" s="1"/>
  <c r="S29" i="85"/>
  <c r="R78" i="48" s="1"/>
  <c r="S30" i="85"/>
  <c r="R79" i="48" s="1"/>
  <c r="S31" i="85"/>
  <c r="R80" i="48" s="1"/>
  <c r="S32" i="85"/>
  <c r="S33" i="85"/>
  <c r="R82" i="48" s="1"/>
  <c r="S34" i="85"/>
  <c r="R83" i="48" s="1"/>
  <c r="S35" i="85"/>
  <c r="R84" i="48" s="1"/>
  <c r="S36" i="85"/>
  <c r="R85" i="48" s="1"/>
  <c r="S37" i="85"/>
  <c r="R86" i="48" s="1"/>
  <c r="S38" i="85"/>
  <c r="R87" i="48" s="1"/>
  <c r="S39" i="85"/>
  <c r="R88" i="48" s="1"/>
  <c r="N8" i="84"/>
  <c r="Q64" i="48"/>
  <c r="Q65" i="48"/>
  <c r="Q66" i="48"/>
  <c r="Q67" i="48"/>
  <c r="Q68" i="48"/>
  <c r="Q69" i="48"/>
  <c r="Q70" i="48"/>
  <c r="Q71" i="48"/>
  <c r="S27" i="84"/>
  <c r="Q78" i="48" s="1"/>
  <c r="S28" i="84"/>
  <c r="Q79" i="48" s="1"/>
  <c r="S29" i="84"/>
  <c r="Q80" i="48" s="1"/>
  <c r="S30" i="84"/>
  <c r="Q81" i="48" s="1"/>
  <c r="S31" i="84"/>
  <c r="Q82" i="48" s="1"/>
  <c r="S32" i="84"/>
  <c r="Q83" i="48" s="1"/>
  <c r="S33" i="84"/>
  <c r="Q84" i="48" s="1"/>
  <c r="S34" i="84"/>
  <c r="Q85" i="48" s="1"/>
  <c r="N8" i="81"/>
  <c r="H14" i="81"/>
  <c r="P62" i="48"/>
  <c r="P63" i="48"/>
  <c r="P64" i="48"/>
  <c r="P65" i="48"/>
  <c r="P66" i="48"/>
  <c r="P67" i="48"/>
  <c r="P68" i="48"/>
  <c r="P69" i="48"/>
  <c r="P70" i="48"/>
  <c r="P71" i="48"/>
  <c r="P72" i="48"/>
  <c r="P73" i="48"/>
  <c r="P74" i="48"/>
  <c r="S27" i="81"/>
  <c r="P76" i="48" s="1"/>
  <c r="S28" i="81"/>
  <c r="P77" i="48" s="1"/>
  <c r="S29" i="81"/>
  <c r="P78" i="48" s="1"/>
  <c r="S30" i="81"/>
  <c r="P79" i="48" s="1"/>
  <c r="S31" i="81"/>
  <c r="P80" i="48" s="1"/>
  <c r="S32" i="81"/>
  <c r="P81" i="48" s="1"/>
  <c r="S33" i="81"/>
  <c r="P82" i="48" s="1"/>
  <c r="S34" i="81"/>
  <c r="P83" i="48" s="1"/>
  <c r="S35" i="81"/>
  <c r="P84" i="48" s="1"/>
  <c r="S36" i="81"/>
  <c r="P85" i="48" s="1"/>
  <c r="S37" i="81"/>
  <c r="P86" i="48" s="1"/>
  <c r="S38" i="81"/>
  <c r="P87" i="48" s="1"/>
  <c r="S39" i="81"/>
  <c r="P88" i="48" s="1"/>
  <c r="N8" i="82"/>
  <c r="O62" i="48"/>
  <c r="O63" i="48"/>
  <c r="O64" i="48"/>
  <c r="O65" i="48"/>
  <c r="O66" i="48"/>
  <c r="O67" i="48"/>
  <c r="O68" i="48"/>
  <c r="O69" i="48"/>
  <c r="O70" i="48"/>
  <c r="O71" i="48"/>
  <c r="O72" i="48"/>
  <c r="O73" i="48"/>
  <c r="O74" i="48"/>
  <c r="S27" i="82"/>
  <c r="O76" i="48" s="1"/>
  <c r="S28" i="82"/>
  <c r="O77" i="48" s="1"/>
  <c r="S29" i="82"/>
  <c r="O78" i="48" s="1"/>
  <c r="S30" i="82"/>
  <c r="O79" i="48" s="1"/>
  <c r="S31" i="82"/>
  <c r="O80" i="48" s="1"/>
  <c r="S32" i="82"/>
  <c r="O81" i="48" s="1"/>
  <c r="S33" i="82"/>
  <c r="O82" i="48" s="1"/>
  <c r="S34" i="82"/>
  <c r="O83" i="48" s="1"/>
  <c r="S35" i="82"/>
  <c r="O84" i="48" s="1"/>
  <c r="S36" i="82"/>
  <c r="O85" i="48" s="1"/>
  <c r="S37" i="82"/>
  <c r="O86" i="48" s="1"/>
  <c r="S38" i="82"/>
  <c r="O87" i="48" s="1"/>
  <c r="S39" i="82"/>
  <c r="O88" i="48" s="1"/>
  <c r="N8" i="83"/>
  <c r="S29" i="83"/>
  <c r="N80" i="48" s="1"/>
  <c r="S31" i="83"/>
  <c r="N82" i="48" s="1"/>
  <c r="T7" i="10"/>
  <c r="L10" i="11"/>
  <c r="J23" i="11"/>
  <c r="H25" i="11"/>
  <c r="B27" i="11"/>
  <c r="B28" i="11"/>
  <c r="B29" i="11"/>
  <c r="B30" i="11"/>
  <c r="B31" i="11"/>
  <c r="B32" i="11"/>
  <c r="AR70" i="48"/>
  <c r="AN42" i="48"/>
  <c r="S84" i="113"/>
  <c r="AN58" i="48" s="1"/>
  <c r="AL44" i="48"/>
  <c r="AP42" i="48"/>
  <c r="AR42" i="48"/>
  <c r="L166" i="48"/>
  <c r="M166" i="48" s="1"/>
  <c r="BD199" i="48"/>
  <c r="BD191" i="48"/>
  <c r="R68" i="104"/>
  <c r="B62" i="48"/>
  <c r="R75" i="105"/>
  <c r="Q14" i="87"/>
  <c r="Q13" i="115"/>
  <c r="P13" i="107"/>
  <c r="Q14" i="105"/>
  <c r="R81" i="115"/>
  <c r="P13" i="89"/>
  <c r="R48" i="112"/>
  <c r="Q13" i="114"/>
  <c r="P12" i="109"/>
  <c r="R81" i="114"/>
  <c r="P13" i="81"/>
  <c r="Q14" i="80"/>
  <c r="P12" i="92"/>
  <c r="P13" i="105"/>
  <c r="R80" i="111"/>
  <c r="D55" i="48"/>
  <c r="R81" i="113"/>
  <c r="S66" i="97"/>
  <c r="AQ119" i="48" s="1"/>
  <c r="Q35" i="105"/>
  <c r="P34" i="106"/>
  <c r="P13" i="93"/>
  <c r="P12" i="96"/>
  <c r="P13" i="87"/>
  <c r="P22" i="112"/>
  <c r="P13" i="106"/>
  <c r="P13" i="82"/>
  <c r="P13" i="108"/>
  <c r="P13" i="104"/>
  <c r="P12" i="97"/>
  <c r="Q35" i="107"/>
  <c r="P34" i="87"/>
  <c r="P34" i="85"/>
  <c r="P34" i="81"/>
  <c r="R27" i="108"/>
  <c r="Q22" i="111"/>
  <c r="P39" i="88"/>
  <c r="P39" i="85"/>
  <c r="Q35" i="104"/>
  <c r="Q33" i="111"/>
  <c r="Q35" i="93"/>
  <c r="Q35" i="87"/>
  <c r="Q18" i="111"/>
  <c r="Q18" i="85"/>
  <c r="Q18" i="110"/>
  <c r="P16" i="83"/>
  <c r="P16" i="84"/>
  <c r="P17" i="93"/>
  <c r="AO21" i="48"/>
  <c r="R37" i="108"/>
  <c r="R37" i="106"/>
  <c r="R37" i="88"/>
  <c r="D86" i="48"/>
  <c r="R37" i="85"/>
  <c r="R37" i="87"/>
  <c r="P21" i="110"/>
  <c r="R77" i="106"/>
  <c r="R83" i="109"/>
  <c r="R50" i="112"/>
  <c r="R70" i="104"/>
  <c r="R83" i="115"/>
  <c r="R82" i="111"/>
  <c r="R50" i="108"/>
  <c r="R77" i="105"/>
  <c r="D57" i="48"/>
  <c r="R83" i="114"/>
  <c r="R77" i="107"/>
  <c r="R37" i="80"/>
  <c r="R31" i="85"/>
  <c r="P53" i="108"/>
  <c r="P80" i="105"/>
  <c r="P73" i="104"/>
  <c r="P85" i="111"/>
  <c r="P86" i="113"/>
  <c r="B60" i="48"/>
  <c r="P53" i="112"/>
  <c r="P80" i="107"/>
  <c r="P86" i="115"/>
  <c r="P80" i="106"/>
  <c r="P86" i="109"/>
  <c r="P86" i="114"/>
  <c r="R37" i="86"/>
  <c r="R83" i="113"/>
  <c r="R36" i="108"/>
  <c r="R36" i="106"/>
  <c r="R36" i="82"/>
  <c r="R36" i="81"/>
  <c r="R36" i="107"/>
  <c r="R34" i="111"/>
  <c r="R36" i="85"/>
  <c r="R34" i="84"/>
  <c r="P21" i="85"/>
  <c r="R19" i="108"/>
  <c r="B83" i="48"/>
  <c r="P32" i="110"/>
  <c r="R23" i="111"/>
  <c r="R23" i="89"/>
  <c r="R32" i="90"/>
  <c r="R82" i="115"/>
  <c r="AQ70" i="48"/>
  <c r="AQ21" i="48"/>
  <c r="BD139" i="48"/>
  <c r="D230" i="48"/>
  <c r="L139" i="48"/>
  <c r="M139" i="48" s="1"/>
  <c r="L208" i="48"/>
  <c r="M208" i="48" s="1"/>
  <c r="L153" i="48"/>
  <c r="M153" i="48" s="1"/>
  <c r="BD124" i="48"/>
  <c r="R31" i="88" l="1"/>
  <c r="R18" i="93"/>
  <c r="C79" i="48"/>
  <c r="Q25" i="105"/>
  <c r="I8" i="97"/>
  <c r="I8" i="113"/>
  <c r="I8" i="114"/>
  <c r="I8" i="115"/>
  <c r="I8" i="92"/>
  <c r="I8" i="96"/>
  <c r="I8" i="109"/>
  <c r="I8" i="95"/>
  <c r="I353" i="9"/>
  <c r="A353" i="9"/>
  <c r="R18" i="88"/>
  <c r="D67" i="48"/>
  <c r="Q72" i="96"/>
  <c r="R31" i="107"/>
  <c r="Q53" i="108"/>
  <c r="Q25" i="93"/>
  <c r="P23" i="109"/>
  <c r="R27" i="112"/>
  <c r="R31" i="87"/>
  <c r="Q30" i="89"/>
  <c r="R18" i="80"/>
  <c r="Q25" i="80"/>
  <c r="R31" i="106"/>
  <c r="Q30" i="81"/>
  <c r="Q25" i="87"/>
  <c r="D353" i="9"/>
  <c r="E115" i="48" s="1"/>
  <c r="C353" i="9"/>
  <c r="Q209" i="48"/>
  <c r="AH209" i="48"/>
  <c r="AQ209" i="48"/>
  <c r="AB209" i="48"/>
  <c r="AC209" i="48"/>
  <c r="AR209" i="48"/>
  <c r="P94" i="113"/>
  <c r="P94" i="114"/>
  <c r="P94" i="115"/>
  <c r="P94" i="92"/>
  <c r="P94" i="96"/>
  <c r="P94" i="97"/>
  <c r="P94" i="109"/>
  <c r="B249" i="48"/>
  <c r="B35" i="75"/>
  <c r="C216" i="48"/>
  <c r="C19" i="16"/>
  <c r="R22" i="111"/>
  <c r="R21" i="92"/>
  <c r="R21" i="113"/>
  <c r="R21" i="96"/>
  <c r="R21" i="114"/>
  <c r="R21" i="97"/>
  <c r="R21" i="115"/>
  <c r="R21" i="109"/>
  <c r="Q20" i="83"/>
  <c r="Q20" i="92"/>
  <c r="Q20" i="113"/>
  <c r="Q20" i="96"/>
  <c r="Q20" i="114"/>
  <c r="Q20" i="97"/>
  <c r="Q20" i="115"/>
  <c r="Q20" i="109"/>
  <c r="P19" i="95"/>
  <c r="P19" i="92"/>
  <c r="P19" i="113"/>
  <c r="P19" i="96"/>
  <c r="P19" i="114"/>
  <c r="P19" i="97"/>
  <c r="P19" i="115"/>
  <c r="P19" i="109"/>
  <c r="R18" i="106"/>
  <c r="R17" i="92"/>
  <c r="R17" i="113"/>
  <c r="R17" i="96"/>
  <c r="R17" i="114"/>
  <c r="R17" i="97"/>
  <c r="R17" i="115"/>
  <c r="R17" i="109"/>
  <c r="Q16" i="92"/>
  <c r="Q16" i="113"/>
  <c r="Q16" i="96"/>
  <c r="Q16" i="114"/>
  <c r="Q16" i="97"/>
  <c r="Q16" i="115"/>
  <c r="Q16" i="109"/>
  <c r="R91" i="109"/>
  <c r="R91" i="113"/>
  <c r="R91" i="114"/>
  <c r="R91" i="115"/>
  <c r="R91" i="92"/>
  <c r="R91" i="96"/>
  <c r="R91" i="97"/>
  <c r="B216" i="48"/>
  <c r="B19" i="16"/>
  <c r="D215" i="48"/>
  <c r="D18" i="16"/>
  <c r="Q21" i="92"/>
  <c r="Q21" i="113"/>
  <c r="Q21" i="96"/>
  <c r="Q21" i="114"/>
  <c r="Q21" i="97"/>
  <c r="Q21" i="115"/>
  <c r="Q21" i="109"/>
  <c r="P21" i="88"/>
  <c r="P20" i="92"/>
  <c r="P20" i="113"/>
  <c r="P20" i="96"/>
  <c r="P20" i="114"/>
  <c r="P20" i="97"/>
  <c r="P20" i="115"/>
  <c r="P20" i="109"/>
  <c r="R19" i="106"/>
  <c r="R18" i="92"/>
  <c r="R18" i="113"/>
  <c r="R18" i="96"/>
  <c r="R18" i="114"/>
  <c r="R18" i="97"/>
  <c r="R18" i="115"/>
  <c r="R18" i="109"/>
  <c r="Q18" i="108"/>
  <c r="Q17" i="92"/>
  <c r="Q17" i="113"/>
  <c r="Q17" i="96"/>
  <c r="Q17" i="114"/>
  <c r="Q17" i="97"/>
  <c r="Q17" i="115"/>
  <c r="Q17" i="109"/>
  <c r="P16" i="92"/>
  <c r="P16" i="113"/>
  <c r="P16" i="96"/>
  <c r="P16" i="114"/>
  <c r="P16" i="97"/>
  <c r="P16" i="115"/>
  <c r="P16" i="109"/>
  <c r="R94" i="92"/>
  <c r="R94" i="96"/>
  <c r="R94" i="97"/>
  <c r="R94" i="109"/>
  <c r="R94" i="113"/>
  <c r="R94" i="114"/>
  <c r="R94" i="115"/>
  <c r="Q91" i="92"/>
  <c r="Q91" i="96"/>
  <c r="Q91" i="97"/>
  <c r="Q91" i="109"/>
  <c r="Q91" i="113"/>
  <c r="Q91" i="114"/>
  <c r="Q91" i="115"/>
  <c r="D249" i="48"/>
  <c r="D35" i="75"/>
  <c r="C215" i="48"/>
  <c r="C18" i="16"/>
  <c r="P21" i="92"/>
  <c r="P21" i="113"/>
  <c r="P21" i="96"/>
  <c r="P21" i="114"/>
  <c r="P21" i="97"/>
  <c r="P21" i="115"/>
  <c r="P21" i="109"/>
  <c r="R20" i="86"/>
  <c r="R19" i="92"/>
  <c r="R19" i="113"/>
  <c r="R19" i="96"/>
  <c r="R19" i="114"/>
  <c r="R19" i="97"/>
  <c r="R19" i="115"/>
  <c r="R19" i="109"/>
  <c r="Q18" i="92"/>
  <c r="Q18" i="113"/>
  <c r="Q18" i="96"/>
  <c r="Q18" i="114"/>
  <c r="Q18" i="97"/>
  <c r="Q18" i="115"/>
  <c r="Q18" i="109"/>
  <c r="P27" i="90"/>
  <c r="P17" i="92"/>
  <c r="P17" i="113"/>
  <c r="P17" i="96"/>
  <c r="P17" i="114"/>
  <c r="P17" i="97"/>
  <c r="P17" i="115"/>
  <c r="P17" i="109"/>
  <c r="Q94" i="113"/>
  <c r="Q94" i="114"/>
  <c r="Q94" i="115"/>
  <c r="Q94" i="92"/>
  <c r="Q94" i="96"/>
  <c r="Q94" i="97"/>
  <c r="Q94" i="109"/>
  <c r="C249" i="48"/>
  <c r="C35" i="75"/>
  <c r="D216" i="48"/>
  <c r="D19" i="16"/>
  <c r="B215" i="48"/>
  <c r="B18" i="16"/>
  <c r="R20" i="92"/>
  <c r="R20" i="113"/>
  <c r="R20" i="96"/>
  <c r="R20" i="114"/>
  <c r="R20" i="97"/>
  <c r="R20" i="115"/>
  <c r="R20" i="109"/>
  <c r="Q20" i="80"/>
  <c r="Q19" i="92"/>
  <c r="Q19" i="113"/>
  <c r="Q19" i="96"/>
  <c r="Q19" i="114"/>
  <c r="Q19" i="97"/>
  <c r="Q19" i="115"/>
  <c r="Q19" i="109"/>
  <c r="P18" i="92"/>
  <c r="P18" i="113"/>
  <c r="P18" i="96"/>
  <c r="P18" i="114"/>
  <c r="P18" i="97"/>
  <c r="P18" i="115"/>
  <c r="P18" i="109"/>
  <c r="R17" i="111"/>
  <c r="R16" i="92"/>
  <c r="R16" i="113"/>
  <c r="R16" i="96"/>
  <c r="R16" i="114"/>
  <c r="R16" i="97"/>
  <c r="R16" i="115"/>
  <c r="R16" i="109"/>
  <c r="P91" i="96"/>
  <c r="P91" i="97"/>
  <c r="P91" i="109"/>
  <c r="P91" i="92"/>
  <c r="P91" i="113"/>
  <c r="P91" i="114"/>
  <c r="P91" i="115"/>
  <c r="S77" i="106"/>
  <c r="W57" i="48" s="1"/>
  <c r="V35" i="48"/>
  <c r="V209" i="48" s="1"/>
  <c r="S76" i="105"/>
  <c r="U56" i="48" s="1"/>
  <c r="F48" i="48"/>
  <c r="L48" i="48" s="1"/>
  <c r="F25" i="48"/>
  <c r="L25" i="48" s="1"/>
  <c r="P34" i="89"/>
  <c r="R34" i="110"/>
  <c r="R36" i="104"/>
  <c r="R36" i="105"/>
  <c r="R36" i="86"/>
  <c r="R37" i="104"/>
  <c r="R37" i="107"/>
  <c r="R37" i="93"/>
  <c r="R37" i="89"/>
  <c r="Q35" i="82"/>
  <c r="Q35" i="89"/>
  <c r="C84" i="48"/>
  <c r="P34" i="82"/>
  <c r="P34" i="88"/>
  <c r="P34" i="108"/>
  <c r="P39" i="104"/>
  <c r="B70" i="48"/>
  <c r="P32" i="111"/>
  <c r="R36" i="80"/>
  <c r="D85" i="48"/>
  <c r="R36" i="93"/>
  <c r="R36" i="89"/>
  <c r="R36" i="87"/>
  <c r="R37" i="81"/>
  <c r="R37" i="82"/>
  <c r="R37" i="105"/>
  <c r="Q35" i="81"/>
  <c r="Q35" i="86"/>
  <c r="B88" i="48"/>
  <c r="R27" i="86"/>
  <c r="P34" i="105"/>
  <c r="Q35" i="85"/>
  <c r="P34" i="104"/>
  <c r="Q35" i="88"/>
  <c r="O21" i="103"/>
  <c r="O22" i="103"/>
  <c r="C229" i="48"/>
  <c r="O20" i="103"/>
  <c r="C265" i="48"/>
  <c r="Q94" i="95"/>
  <c r="B253" i="48"/>
  <c r="P91" i="95"/>
  <c r="B36" i="16"/>
  <c r="P94" i="95"/>
  <c r="D253" i="48"/>
  <c r="R91" i="95"/>
  <c r="D36" i="16"/>
  <c r="R94" i="95"/>
  <c r="C253" i="48"/>
  <c r="Q91" i="95"/>
  <c r="B279" i="12"/>
  <c r="B409" i="11" s="1"/>
  <c r="B325" i="12"/>
  <c r="B326" i="12"/>
  <c r="R18" i="89"/>
  <c r="R18" i="111"/>
  <c r="R31" i="80"/>
  <c r="R31" i="104"/>
  <c r="Q30" i="93"/>
  <c r="Q30" i="87"/>
  <c r="Q34" i="106"/>
  <c r="Q25" i="106"/>
  <c r="P24" i="80"/>
  <c r="R18" i="108"/>
  <c r="R18" i="104"/>
  <c r="Q71" i="105"/>
  <c r="R31" i="86"/>
  <c r="R31" i="108"/>
  <c r="Q30" i="106"/>
  <c r="P33" i="90"/>
  <c r="P24" i="104"/>
  <c r="J344" i="9"/>
  <c r="K112" i="48" s="1"/>
  <c r="D347" i="9"/>
  <c r="E113" i="48" s="1"/>
  <c r="A347" i="9"/>
  <c r="D344" i="9"/>
  <c r="I350" i="9"/>
  <c r="J114" i="48" s="1"/>
  <c r="C344" i="9"/>
  <c r="R65" i="83" s="1"/>
  <c r="I344" i="9"/>
  <c r="J112" i="48" s="1"/>
  <c r="D350" i="9"/>
  <c r="C350" i="9"/>
  <c r="B350" i="9"/>
  <c r="F350" i="9"/>
  <c r="B344" i="9"/>
  <c r="Q65" i="83" s="1"/>
  <c r="I347" i="9"/>
  <c r="J113" i="48" s="1"/>
  <c r="J347" i="9"/>
  <c r="K113" i="48" s="1"/>
  <c r="B347" i="9"/>
  <c r="A350" i="9"/>
  <c r="F347" i="9"/>
  <c r="F344" i="9"/>
  <c r="C347" i="9"/>
  <c r="J350" i="9"/>
  <c r="F353" i="9"/>
  <c r="B4" i="9"/>
  <c r="A344" i="9"/>
  <c r="N12" i="48"/>
  <c r="N209" i="48" s="1"/>
  <c r="S64" i="83"/>
  <c r="S65" i="83"/>
  <c r="N112" i="48" s="1"/>
  <c r="F112" i="48" s="1"/>
  <c r="P25" i="93"/>
  <c r="P25" i="87"/>
  <c r="P23" i="96"/>
  <c r="P24" i="108"/>
  <c r="P24" i="88"/>
  <c r="P24" i="81"/>
  <c r="P23" i="115"/>
  <c r="P29" i="90"/>
  <c r="P20" i="85"/>
  <c r="B281" i="12"/>
  <c r="B411" i="11" s="1"/>
  <c r="B283" i="12"/>
  <c r="B282" i="12"/>
  <c r="B31" i="12"/>
  <c r="X6" i="11" s="1"/>
  <c r="B82" i="12"/>
  <c r="B81" i="12"/>
  <c r="B182" i="12"/>
  <c r="B186" i="12"/>
  <c r="B185" i="12"/>
  <c r="P90" i="84" s="1"/>
  <c r="I528" i="9"/>
  <c r="J169" i="48" s="1"/>
  <c r="G17" i="83"/>
  <c r="G21" i="83"/>
  <c r="J25" i="83"/>
  <c r="J17" i="83"/>
  <c r="G25" i="83"/>
  <c r="J21" i="83"/>
  <c r="B314" i="12"/>
  <c r="D43" i="110" s="1"/>
  <c r="B184" i="12"/>
  <c r="P89" i="83" s="1"/>
  <c r="J528" i="9"/>
  <c r="B528" i="9"/>
  <c r="E524" i="9"/>
  <c r="A524" i="9"/>
  <c r="E520" i="9"/>
  <c r="A520" i="9"/>
  <c r="O6" i="116" s="1"/>
  <c r="J524" i="9"/>
  <c r="K168" i="48" s="1"/>
  <c r="I520" i="9"/>
  <c r="J167" i="48" s="1"/>
  <c r="C520" i="9"/>
  <c r="D528" i="9"/>
  <c r="E169" i="48" s="1"/>
  <c r="BD169" i="48" s="1"/>
  <c r="B524" i="9"/>
  <c r="F528" i="9"/>
  <c r="A528" i="9"/>
  <c r="D524" i="9"/>
  <c r="E168" i="48" s="1"/>
  <c r="BD168" i="48" s="1"/>
  <c r="J520" i="9"/>
  <c r="D520" i="9"/>
  <c r="E167" i="48" s="1"/>
  <c r="BD167" i="48" s="1"/>
  <c r="E528" i="9"/>
  <c r="C524" i="9"/>
  <c r="F524" i="9"/>
  <c r="F520" i="9"/>
  <c r="B520" i="9"/>
  <c r="I524" i="9"/>
  <c r="J168" i="48" s="1"/>
  <c r="C528" i="9"/>
  <c r="E398" i="9"/>
  <c r="J398" i="9"/>
  <c r="K123" i="48" s="1"/>
  <c r="F398" i="9"/>
  <c r="C398" i="9"/>
  <c r="A398" i="9"/>
  <c r="D398" i="9"/>
  <c r="I398" i="9"/>
  <c r="J123" i="48" s="1"/>
  <c r="B398" i="9"/>
  <c r="C123" i="48" s="1"/>
  <c r="J201" i="9"/>
  <c r="K47" i="48" s="1"/>
  <c r="A201" i="9"/>
  <c r="C201" i="9"/>
  <c r="F201" i="9"/>
  <c r="D201" i="9"/>
  <c r="E47" i="48" s="1"/>
  <c r="B201" i="9"/>
  <c r="I201" i="9"/>
  <c r="J47" i="48" s="1"/>
  <c r="R36" i="111"/>
  <c r="R36" i="84"/>
  <c r="Q37" i="85"/>
  <c r="Q35" i="84"/>
  <c r="P33" i="95"/>
  <c r="P33" i="83"/>
  <c r="R28" i="106"/>
  <c r="R26" i="84"/>
  <c r="R24" i="85"/>
  <c r="R23" i="84"/>
  <c r="Q22" i="97"/>
  <c r="Q22" i="84"/>
  <c r="D65" i="48"/>
  <c r="R15" i="83"/>
  <c r="P13" i="95"/>
  <c r="P13" i="84"/>
  <c r="Q38" i="93"/>
  <c r="Q36" i="84"/>
  <c r="P37" i="107"/>
  <c r="P35" i="84"/>
  <c r="R28" i="110"/>
  <c r="R28" i="83"/>
  <c r="Q28" i="81"/>
  <c r="Q26" i="84"/>
  <c r="Q24" i="89"/>
  <c r="Q23" i="84"/>
  <c r="P23" i="85"/>
  <c r="P22" i="84"/>
  <c r="R20" i="84"/>
  <c r="R20" i="83"/>
  <c r="Q15" i="95"/>
  <c r="Q15" i="83"/>
  <c r="P38" i="107"/>
  <c r="P36" i="84"/>
  <c r="R35" i="107"/>
  <c r="R33" i="83"/>
  <c r="Q28" i="95"/>
  <c r="Q28" i="83"/>
  <c r="P26" i="95"/>
  <c r="P26" i="84"/>
  <c r="P23" i="113"/>
  <c r="P23" i="84"/>
  <c r="P16" i="85"/>
  <c r="P15" i="83"/>
  <c r="R35" i="95"/>
  <c r="R35" i="84"/>
  <c r="R23" i="106"/>
  <c r="R22" i="84"/>
  <c r="P21" i="86"/>
  <c r="P20" i="83"/>
  <c r="F106" i="9"/>
  <c r="J106" i="9"/>
  <c r="K30" i="48" s="1"/>
  <c r="I106" i="9"/>
  <c r="J30" i="48" s="1"/>
  <c r="D106" i="9"/>
  <c r="E30" i="48" s="1"/>
  <c r="C106" i="9"/>
  <c r="B106" i="9"/>
  <c r="A106" i="9"/>
  <c r="J76" i="9"/>
  <c r="K24" i="48" s="1"/>
  <c r="I76" i="9"/>
  <c r="J24" i="48" s="1"/>
  <c r="F76" i="9"/>
  <c r="D76" i="9"/>
  <c r="E24" i="48" s="1"/>
  <c r="C76" i="9"/>
  <c r="B76" i="9"/>
  <c r="A76" i="9"/>
  <c r="D26" i="9"/>
  <c r="E14" i="48" s="1"/>
  <c r="C26" i="9"/>
  <c r="J26" i="9"/>
  <c r="K14" i="48" s="1"/>
  <c r="I26" i="9"/>
  <c r="J14" i="48" s="1"/>
  <c r="F26" i="9"/>
  <c r="A26" i="9"/>
  <c r="B26" i="9"/>
  <c r="P20" i="108"/>
  <c r="P33" i="104"/>
  <c r="A11" i="9"/>
  <c r="F11" i="9"/>
  <c r="C11" i="9"/>
  <c r="B11" i="9"/>
  <c r="J11" i="9"/>
  <c r="K11" i="48" s="1"/>
  <c r="D11" i="9"/>
  <c r="E11" i="48" s="1"/>
  <c r="I11" i="9"/>
  <c r="J11" i="48" s="1"/>
  <c r="P20" i="87"/>
  <c r="Q34" i="104"/>
  <c r="P20" i="111"/>
  <c r="P29" i="112"/>
  <c r="P33" i="93"/>
  <c r="Q32" i="111"/>
  <c r="P20" i="106"/>
  <c r="P20" i="105"/>
  <c r="B82" i="48"/>
  <c r="P20" i="107"/>
  <c r="P33" i="105"/>
  <c r="S77" i="105"/>
  <c r="U57" i="48" s="1"/>
  <c r="P20" i="88"/>
  <c r="P33" i="107"/>
  <c r="P20" i="104"/>
  <c r="P31" i="111"/>
  <c r="B40" i="16"/>
  <c r="C247" i="48"/>
  <c r="I724" i="9"/>
  <c r="J268" i="48" s="1"/>
  <c r="F724" i="9"/>
  <c r="B724" i="9"/>
  <c r="C39" i="16" s="1"/>
  <c r="F721" i="9"/>
  <c r="B721" i="9"/>
  <c r="F616" i="9"/>
  <c r="B616" i="9"/>
  <c r="F613" i="9"/>
  <c r="B613" i="9"/>
  <c r="F607" i="9"/>
  <c r="B607" i="9"/>
  <c r="C198" i="48" s="1"/>
  <c r="F604" i="9"/>
  <c r="B604" i="9"/>
  <c r="P8" i="102" s="1"/>
  <c r="F600" i="9"/>
  <c r="B600" i="9"/>
  <c r="C196" i="48" s="1"/>
  <c r="F597" i="9"/>
  <c r="B597" i="9"/>
  <c r="F591" i="9"/>
  <c r="B591" i="9"/>
  <c r="C193" i="48" s="1"/>
  <c r="F588" i="9"/>
  <c r="B588" i="9"/>
  <c r="F584" i="9"/>
  <c r="B584" i="9"/>
  <c r="C190" i="48" s="1"/>
  <c r="F581" i="9"/>
  <c r="B581" i="9"/>
  <c r="C189" i="48" s="1"/>
  <c r="F578" i="9"/>
  <c r="B578" i="9"/>
  <c r="F575" i="9"/>
  <c r="B575" i="9"/>
  <c r="Q17" i="100" s="1"/>
  <c r="F572" i="9"/>
  <c r="B572" i="9"/>
  <c r="F569" i="9"/>
  <c r="B569" i="9"/>
  <c r="Q15" i="100" s="1"/>
  <c r="F565" i="9"/>
  <c r="B565" i="9"/>
  <c r="C183" i="48" s="1"/>
  <c r="F562" i="9"/>
  <c r="B562" i="9"/>
  <c r="C182" i="48" s="1"/>
  <c r="F559" i="9"/>
  <c r="B559" i="9"/>
  <c r="F556" i="9"/>
  <c r="B556" i="9"/>
  <c r="C180" i="48" s="1"/>
  <c r="F553" i="9"/>
  <c r="B553" i="9"/>
  <c r="F550" i="9"/>
  <c r="B550" i="9"/>
  <c r="C178" i="48" s="1"/>
  <c r="F546" i="9"/>
  <c r="B546" i="9"/>
  <c r="C176" i="48" s="1"/>
  <c r="F543" i="9"/>
  <c r="B543" i="9"/>
  <c r="Q6" i="100" s="1"/>
  <c r="F540" i="9"/>
  <c r="B540" i="9"/>
  <c r="F537" i="9"/>
  <c r="B537" i="9"/>
  <c r="F534" i="9"/>
  <c r="B534" i="9"/>
  <c r="Q3" i="100" s="1"/>
  <c r="F515" i="9"/>
  <c r="B515" i="9"/>
  <c r="C165" i="48" s="1"/>
  <c r="F512" i="9"/>
  <c r="B512" i="9"/>
  <c r="P10" i="101" s="1"/>
  <c r="F509" i="9"/>
  <c r="B509" i="9"/>
  <c r="F506" i="9"/>
  <c r="B506" i="9"/>
  <c r="P8" i="101" s="1"/>
  <c r="F502" i="9"/>
  <c r="B502" i="9"/>
  <c r="F499" i="9"/>
  <c r="B499" i="9"/>
  <c r="F496" i="9"/>
  <c r="B496" i="9"/>
  <c r="F490" i="9"/>
  <c r="B490" i="9"/>
  <c r="C157" i="48" s="1"/>
  <c r="F487" i="9"/>
  <c r="B487" i="9"/>
  <c r="Q23" i="99" s="1"/>
  <c r="F484" i="9"/>
  <c r="B484" i="9"/>
  <c r="F481" i="9"/>
  <c r="B481" i="9"/>
  <c r="F477" i="9"/>
  <c r="B477" i="9"/>
  <c r="C152" i="48" s="1"/>
  <c r="F474" i="9"/>
  <c r="E724" i="9"/>
  <c r="A724" i="9"/>
  <c r="B268" i="48" s="1"/>
  <c r="E721" i="9"/>
  <c r="A721" i="9"/>
  <c r="E616" i="9"/>
  <c r="A616" i="9"/>
  <c r="E613" i="9"/>
  <c r="A613" i="9"/>
  <c r="E607" i="9"/>
  <c r="A607" i="9"/>
  <c r="E604" i="9"/>
  <c r="A604" i="9"/>
  <c r="O8" i="102" s="1"/>
  <c r="E600" i="9"/>
  <c r="A600" i="9"/>
  <c r="B196" i="48" s="1"/>
  <c r="E597" i="9"/>
  <c r="A597" i="9"/>
  <c r="B195" i="48" s="1"/>
  <c r="E591" i="9"/>
  <c r="A591" i="9"/>
  <c r="B193" i="48" s="1"/>
  <c r="E588" i="9"/>
  <c r="A588" i="9"/>
  <c r="E584" i="9"/>
  <c r="A584" i="9"/>
  <c r="B190" i="48" s="1"/>
  <c r="E581" i="9"/>
  <c r="A581" i="9"/>
  <c r="P19" i="100" s="1"/>
  <c r="E578" i="9"/>
  <c r="A578" i="9"/>
  <c r="E575" i="9"/>
  <c r="A575" i="9"/>
  <c r="B187" i="48" s="1"/>
  <c r="E572" i="9"/>
  <c r="A572" i="9"/>
  <c r="E569" i="9"/>
  <c r="A569" i="9"/>
  <c r="P15" i="100" s="1"/>
  <c r="E565" i="9"/>
  <c r="A565" i="9"/>
  <c r="B183" i="48" s="1"/>
  <c r="E562" i="9"/>
  <c r="A562" i="9"/>
  <c r="B182" i="48" s="1"/>
  <c r="E559" i="9"/>
  <c r="A559" i="9"/>
  <c r="P12" i="100" s="1"/>
  <c r="E556" i="9"/>
  <c r="A556" i="9"/>
  <c r="E553" i="9"/>
  <c r="A553" i="9"/>
  <c r="E550" i="9"/>
  <c r="A550" i="9"/>
  <c r="E546" i="9"/>
  <c r="A546" i="9"/>
  <c r="P7" i="100" s="1"/>
  <c r="E543" i="9"/>
  <c r="A543" i="9"/>
  <c r="E540" i="9"/>
  <c r="A540" i="9"/>
  <c r="E537" i="9"/>
  <c r="A537" i="9"/>
  <c r="P4" i="100" s="1"/>
  <c r="E534" i="9"/>
  <c r="A534" i="9"/>
  <c r="E515" i="9"/>
  <c r="A515" i="9"/>
  <c r="B165" i="48" s="1"/>
  <c r="E512" i="9"/>
  <c r="A512" i="9"/>
  <c r="O10" i="101" s="1"/>
  <c r="E509" i="9"/>
  <c r="A509" i="9"/>
  <c r="E506" i="9"/>
  <c r="A506" i="9"/>
  <c r="O8" i="101" s="1"/>
  <c r="E502" i="9"/>
  <c r="A502" i="9"/>
  <c r="B161" i="48" s="1"/>
  <c r="E499" i="9"/>
  <c r="A499" i="9"/>
  <c r="B160" i="48" s="1"/>
  <c r="E496" i="9"/>
  <c r="A496" i="9"/>
  <c r="O3" i="101" s="1"/>
  <c r="E490" i="9"/>
  <c r="A490" i="9"/>
  <c r="B157" i="48" s="1"/>
  <c r="E487" i="9"/>
  <c r="A487" i="9"/>
  <c r="B156" i="48" s="1"/>
  <c r="E484" i="9"/>
  <c r="A484" i="9"/>
  <c r="B155" i="48" s="1"/>
  <c r="E481" i="9"/>
  <c r="A481" i="9"/>
  <c r="B154" i="48" s="1"/>
  <c r="E477" i="9"/>
  <c r="A477" i="9"/>
  <c r="B152" i="48" s="1"/>
  <c r="E474" i="9"/>
  <c r="J724" i="9"/>
  <c r="K268" i="48" s="1"/>
  <c r="D724" i="9"/>
  <c r="E268" i="48" s="1"/>
  <c r="BD268" i="48" s="1"/>
  <c r="J721" i="9"/>
  <c r="K267" i="48" s="1"/>
  <c r="D721" i="9"/>
  <c r="E267" i="48" s="1"/>
  <c r="BD267" i="48" s="1"/>
  <c r="J616" i="9"/>
  <c r="K201" i="48" s="1"/>
  <c r="D616" i="9"/>
  <c r="E201" i="48" s="1"/>
  <c r="J613" i="9"/>
  <c r="K200" i="48" s="1"/>
  <c r="D613" i="9"/>
  <c r="E200" i="48" s="1"/>
  <c r="J607" i="9"/>
  <c r="K198" i="48" s="1"/>
  <c r="D607" i="9"/>
  <c r="E198" i="48" s="1"/>
  <c r="BD198" i="48" s="1"/>
  <c r="J604" i="9"/>
  <c r="K197" i="48" s="1"/>
  <c r="D604" i="9"/>
  <c r="E197" i="48" s="1"/>
  <c r="BD197" i="48" s="1"/>
  <c r="J600" i="9"/>
  <c r="K196" i="48" s="1"/>
  <c r="D600" i="9"/>
  <c r="E196" i="48" s="1"/>
  <c r="BD196" i="48" s="1"/>
  <c r="J597" i="9"/>
  <c r="K195" i="48" s="1"/>
  <c r="D597" i="9"/>
  <c r="E195" i="48" s="1"/>
  <c r="J591" i="9"/>
  <c r="K193" i="48" s="1"/>
  <c r="D591" i="9"/>
  <c r="E193" i="48" s="1"/>
  <c r="BD193" i="48" s="1"/>
  <c r="J588" i="9"/>
  <c r="K192" i="48" s="1"/>
  <c r="D588" i="9"/>
  <c r="E192" i="48" s="1"/>
  <c r="BD192" i="48" s="1"/>
  <c r="J584" i="9"/>
  <c r="K190" i="48" s="1"/>
  <c r="D584" i="9"/>
  <c r="E190" i="48" s="1"/>
  <c r="BD190" i="48" s="1"/>
  <c r="J581" i="9"/>
  <c r="K189" i="48" s="1"/>
  <c r="D581" i="9"/>
  <c r="E189" i="48" s="1"/>
  <c r="BD189" i="48" s="1"/>
  <c r="J578" i="9"/>
  <c r="K188" i="48" s="1"/>
  <c r="D578" i="9"/>
  <c r="E188" i="48" s="1"/>
  <c r="BD188" i="48" s="1"/>
  <c r="J575" i="9"/>
  <c r="K187" i="48" s="1"/>
  <c r="D575" i="9"/>
  <c r="E187" i="48" s="1"/>
  <c r="BD187" i="48" s="1"/>
  <c r="J572" i="9"/>
  <c r="K186" i="48" s="1"/>
  <c r="D572" i="9"/>
  <c r="E186" i="48" s="1"/>
  <c r="BD186" i="48" s="1"/>
  <c r="J569" i="9"/>
  <c r="K185" i="48" s="1"/>
  <c r="D569" i="9"/>
  <c r="E185" i="48" s="1"/>
  <c r="BD185" i="48" s="1"/>
  <c r="J565" i="9"/>
  <c r="K183" i="48" s="1"/>
  <c r="D565" i="9"/>
  <c r="E183" i="48" s="1"/>
  <c r="BD183" i="48" s="1"/>
  <c r="J562" i="9"/>
  <c r="K182" i="48" s="1"/>
  <c r="D562" i="9"/>
  <c r="E182" i="48" s="1"/>
  <c r="BD182" i="48" s="1"/>
  <c r="J559" i="9"/>
  <c r="K181" i="48" s="1"/>
  <c r="D559" i="9"/>
  <c r="E181" i="48" s="1"/>
  <c r="BD181" i="48" s="1"/>
  <c r="J556" i="9"/>
  <c r="K180" i="48" s="1"/>
  <c r="D556" i="9"/>
  <c r="E180" i="48" s="1"/>
  <c r="BD180" i="48" s="1"/>
  <c r="J553" i="9"/>
  <c r="K179" i="48" s="1"/>
  <c r="D553" i="9"/>
  <c r="E179" i="48" s="1"/>
  <c r="BD179" i="48" s="1"/>
  <c r="J550" i="9"/>
  <c r="K178" i="48" s="1"/>
  <c r="D550" i="9"/>
  <c r="E178" i="48" s="1"/>
  <c r="BD178" i="48" s="1"/>
  <c r="J546" i="9"/>
  <c r="K176" i="48" s="1"/>
  <c r="D546" i="9"/>
  <c r="E176" i="48" s="1"/>
  <c r="BD176" i="48" s="1"/>
  <c r="J543" i="9"/>
  <c r="K175" i="48" s="1"/>
  <c r="D543" i="9"/>
  <c r="E175" i="48" s="1"/>
  <c r="BD175" i="48" s="1"/>
  <c r="J540" i="9"/>
  <c r="K174" i="48" s="1"/>
  <c r="D540" i="9"/>
  <c r="E174" i="48" s="1"/>
  <c r="BD174" i="48" s="1"/>
  <c r="J537" i="9"/>
  <c r="K173" i="48" s="1"/>
  <c r="D537" i="9"/>
  <c r="E173" i="48" s="1"/>
  <c r="BD173" i="48" s="1"/>
  <c r="J534" i="9"/>
  <c r="K172" i="48" s="1"/>
  <c r="D534" i="9"/>
  <c r="E172" i="48" s="1"/>
  <c r="BD172" i="48" s="1"/>
  <c r="K169" i="48"/>
  <c r="K167" i="48"/>
  <c r="J515" i="9"/>
  <c r="K165" i="48" s="1"/>
  <c r="D515" i="9"/>
  <c r="E165" i="48" s="1"/>
  <c r="BD165" i="48" s="1"/>
  <c r="J512" i="9"/>
  <c r="K164" i="48" s="1"/>
  <c r="D512" i="9"/>
  <c r="E164" i="48" s="1"/>
  <c r="BD164" i="48" s="1"/>
  <c r="J509" i="9"/>
  <c r="K163" i="48" s="1"/>
  <c r="D509" i="9"/>
  <c r="E163" i="48" s="1"/>
  <c r="BD163" i="48" s="1"/>
  <c r="J506" i="9"/>
  <c r="K162" i="48" s="1"/>
  <c r="D506" i="9"/>
  <c r="E162" i="48" s="1"/>
  <c r="BD162" i="48" s="1"/>
  <c r="J502" i="9"/>
  <c r="K161" i="48" s="1"/>
  <c r="D502" i="9"/>
  <c r="E161" i="48" s="1"/>
  <c r="BD161" i="48" s="1"/>
  <c r="J499" i="9"/>
  <c r="K160" i="48" s="1"/>
  <c r="D499" i="9"/>
  <c r="E160" i="48" s="1"/>
  <c r="BD160" i="48" s="1"/>
  <c r="J496" i="9"/>
  <c r="K159" i="48" s="1"/>
  <c r="D496" i="9"/>
  <c r="E159" i="48" s="1"/>
  <c r="BD159" i="48" s="1"/>
  <c r="J490" i="9"/>
  <c r="K157" i="48" s="1"/>
  <c r="D490" i="9"/>
  <c r="E157" i="48" s="1"/>
  <c r="BD157" i="48" s="1"/>
  <c r="J487" i="9"/>
  <c r="K156" i="48" s="1"/>
  <c r="D487" i="9"/>
  <c r="E156" i="48" s="1"/>
  <c r="BD156" i="48" s="1"/>
  <c r="J484" i="9"/>
  <c r="K155" i="48" s="1"/>
  <c r="I721" i="9"/>
  <c r="J267" i="48" s="1"/>
  <c r="I613" i="9"/>
  <c r="J200" i="48" s="1"/>
  <c r="I604" i="9"/>
  <c r="J197" i="48" s="1"/>
  <c r="I597" i="9"/>
  <c r="J195" i="48" s="1"/>
  <c r="I588" i="9"/>
  <c r="J192" i="48" s="1"/>
  <c r="I581" i="9"/>
  <c r="J189" i="48" s="1"/>
  <c r="I575" i="9"/>
  <c r="J187" i="48" s="1"/>
  <c r="I569" i="9"/>
  <c r="J185" i="48" s="1"/>
  <c r="I562" i="9"/>
  <c r="J182" i="48" s="1"/>
  <c r="I556" i="9"/>
  <c r="J180" i="48" s="1"/>
  <c r="I550" i="9"/>
  <c r="J178" i="48" s="1"/>
  <c r="I543" i="9"/>
  <c r="J175" i="48" s="1"/>
  <c r="I537" i="9"/>
  <c r="J173" i="48" s="1"/>
  <c r="I512" i="9"/>
  <c r="J164" i="48" s="1"/>
  <c r="I506" i="9"/>
  <c r="J162" i="48" s="1"/>
  <c r="I499" i="9"/>
  <c r="J160" i="48" s="1"/>
  <c r="I490" i="9"/>
  <c r="J157" i="48" s="1"/>
  <c r="I484" i="9"/>
  <c r="J155" i="48" s="1"/>
  <c r="I481" i="9"/>
  <c r="J154" i="48" s="1"/>
  <c r="I477" i="9"/>
  <c r="J152" i="48" s="1"/>
  <c r="I474" i="9"/>
  <c r="J151" i="48" s="1"/>
  <c r="A474" i="9"/>
  <c r="B151" i="48" s="1"/>
  <c r="E471" i="9"/>
  <c r="A471" i="9"/>
  <c r="E468" i="9"/>
  <c r="A468" i="9"/>
  <c r="E465" i="9"/>
  <c r="A465" i="9"/>
  <c r="E462" i="9"/>
  <c r="A462" i="9"/>
  <c r="E458" i="9"/>
  <c r="A458" i="9"/>
  <c r="B145" i="48" s="1"/>
  <c r="E455" i="9"/>
  <c r="A455" i="9"/>
  <c r="B144" i="48" s="1"/>
  <c r="E452" i="9"/>
  <c r="A452" i="9"/>
  <c r="P12" i="99" s="1"/>
  <c r="E449" i="9"/>
  <c r="A449" i="9"/>
  <c r="B142" i="48" s="1"/>
  <c r="E446" i="9"/>
  <c r="A446" i="9"/>
  <c r="P10" i="99" s="1"/>
  <c r="E443" i="9"/>
  <c r="A443" i="9"/>
  <c r="B140" i="48" s="1"/>
  <c r="E439" i="9"/>
  <c r="A439" i="9"/>
  <c r="P7" i="99" s="1"/>
  <c r="E436" i="9"/>
  <c r="A436" i="9"/>
  <c r="B137" i="48" s="1"/>
  <c r="E433" i="9"/>
  <c r="A433" i="9"/>
  <c r="E430" i="9"/>
  <c r="A430" i="9"/>
  <c r="E427" i="9"/>
  <c r="A427" i="9"/>
  <c r="P3" i="99" s="1"/>
  <c r="F419" i="9"/>
  <c r="A419" i="9"/>
  <c r="C389" i="9"/>
  <c r="D121" i="48" s="1"/>
  <c r="I384" i="9"/>
  <c r="J120" i="48" s="1"/>
  <c r="A384" i="9"/>
  <c r="D374" i="9"/>
  <c r="E119" i="48" s="1"/>
  <c r="I369" i="9"/>
  <c r="J118" i="48" s="1"/>
  <c r="A369" i="9"/>
  <c r="C360" i="9"/>
  <c r="C607" i="9"/>
  <c r="D198" i="48" s="1"/>
  <c r="C572" i="9"/>
  <c r="C553" i="9"/>
  <c r="C534" i="9"/>
  <c r="C509" i="9"/>
  <c r="Q9" i="101" s="1"/>
  <c r="C487" i="9"/>
  <c r="D156" i="48" s="1"/>
  <c r="J474" i="9"/>
  <c r="K151" i="48" s="1"/>
  <c r="B471" i="9"/>
  <c r="F465" i="9"/>
  <c r="B462" i="9"/>
  <c r="F455" i="9"/>
  <c r="B452" i="9"/>
  <c r="F446" i="9"/>
  <c r="F439" i="9"/>
  <c r="B436" i="9"/>
  <c r="Q6" i="99" s="1"/>
  <c r="F430" i="9"/>
  <c r="C721" i="9"/>
  <c r="C613" i="9"/>
  <c r="C604" i="9"/>
  <c r="D197" i="48" s="1"/>
  <c r="C597" i="9"/>
  <c r="D195" i="48" s="1"/>
  <c r="C588" i="9"/>
  <c r="C581" i="9"/>
  <c r="D189" i="48" s="1"/>
  <c r="C575" i="9"/>
  <c r="C569" i="9"/>
  <c r="C562" i="9"/>
  <c r="D182" i="48" s="1"/>
  <c r="C556" i="9"/>
  <c r="R11" i="100" s="1"/>
  <c r="C550" i="9"/>
  <c r="D178" i="48" s="1"/>
  <c r="C543" i="9"/>
  <c r="C537" i="9"/>
  <c r="R4" i="100" s="1"/>
  <c r="C512" i="9"/>
  <c r="C506" i="9"/>
  <c r="C499" i="9"/>
  <c r="Q4" i="101" s="1"/>
  <c r="C490" i="9"/>
  <c r="D157" i="48" s="1"/>
  <c r="D484" i="9"/>
  <c r="E155" i="48" s="1"/>
  <c r="BD155" i="48" s="1"/>
  <c r="D481" i="9"/>
  <c r="E154" i="48" s="1"/>
  <c r="BD154" i="48" s="1"/>
  <c r="D477" i="9"/>
  <c r="E152" i="48" s="1"/>
  <c r="BD152" i="48" s="1"/>
  <c r="D474" i="9"/>
  <c r="E151" i="48" s="1"/>
  <c r="J471" i="9"/>
  <c r="K150" i="48" s="1"/>
  <c r="D471" i="9"/>
  <c r="E150" i="48" s="1"/>
  <c r="BD150" i="48" s="1"/>
  <c r="J468" i="9"/>
  <c r="K149" i="48" s="1"/>
  <c r="D468" i="9"/>
  <c r="E149" i="48" s="1"/>
  <c r="BD149" i="48" s="1"/>
  <c r="J465" i="9"/>
  <c r="K148" i="48" s="1"/>
  <c r="D465" i="9"/>
  <c r="E148" i="48" s="1"/>
  <c r="BD148" i="48" s="1"/>
  <c r="J462" i="9"/>
  <c r="K147" i="48" s="1"/>
  <c r="D462" i="9"/>
  <c r="E147" i="48" s="1"/>
  <c r="BD147" i="48" s="1"/>
  <c r="J458" i="9"/>
  <c r="K145" i="48" s="1"/>
  <c r="D458" i="9"/>
  <c r="E145" i="48" s="1"/>
  <c r="BD145" i="48" s="1"/>
  <c r="J455" i="9"/>
  <c r="K144" i="48" s="1"/>
  <c r="D455" i="9"/>
  <c r="E144" i="48" s="1"/>
  <c r="BD144" i="48" s="1"/>
  <c r="J452" i="9"/>
  <c r="K143" i="48" s="1"/>
  <c r="D452" i="9"/>
  <c r="E143" i="48" s="1"/>
  <c r="BD143" i="48" s="1"/>
  <c r="J449" i="9"/>
  <c r="K142" i="48" s="1"/>
  <c r="D449" i="9"/>
  <c r="J446" i="9"/>
  <c r="K141" i="48" s="1"/>
  <c r="D446" i="9"/>
  <c r="E141" i="48" s="1"/>
  <c r="BD141" i="48" s="1"/>
  <c r="J443" i="9"/>
  <c r="K140" i="48" s="1"/>
  <c r="D443" i="9"/>
  <c r="E140" i="48" s="1"/>
  <c r="BD140" i="48" s="1"/>
  <c r="J439" i="9"/>
  <c r="K138" i="48" s="1"/>
  <c r="D439" i="9"/>
  <c r="E138" i="48" s="1"/>
  <c r="J436" i="9"/>
  <c r="K137" i="48" s="1"/>
  <c r="D436" i="9"/>
  <c r="E137" i="48" s="1"/>
  <c r="BD137" i="48" s="1"/>
  <c r="J433" i="9"/>
  <c r="K136" i="48" s="1"/>
  <c r="D433" i="9"/>
  <c r="E136" i="48" s="1"/>
  <c r="BD136" i="48" s="1"/>
  <c r="J430" i="9"/>
  <c r="K135" i="48" s="1"/>
  <c r="D430" i="9"/>
  <c r="E135" i="48" s="1"/>
  <c r="BD135" i="48" s="1"/>
  <c r="J427" i="9"/>
  <c r="K134" i="48" s="1"/>
  <c r="D427" i="9"/>
  <c r="E134" i="48" s="1"/>
  <c r="BD134" i="48" s="1"/>
  <c r="D419" i="9"/>
  <c r="E122" i="48" s="1"/>
  <c r="J389" i="9"/>
  <c r="K121" i="48" s="1"/>
  <c r="B389" i="9"/>
  <c r="Q67" i="107" s="1"/>
  <c r="F384" i="9"/>
  <c r="J374" i="9"/>
  <c r="K119" i="48" s="1"/>
  <c r="C374" i="9"/>
  <c r="R65" i="92" s="1"/>
  <c r="F369" i="9"/>
  <c r="J360" i="9"/>
  <c r="K117" i="48" s="1"/>
  <c r="B360" i="9"/>
  <c r="Q65" i="81" s="1"/>
  <c r="C616" i="9"/>
  <c r="C600" i="9"/>
  <c r="D196" i="48" s="1"/>
  <c r="C584" i="9"/>
  <c r="D190" i="48" s="1"/>
  <c r="C565" i="9"/>
  <c r="C540" i="9"/>
  <c r="C515" i="9"/>
  <c r="D165" i="48" s="1"/>
  <c r="C496" i="9"/>
  <c r="J477" i="9"/>
  <c r="K152" i="48" s="1"/>
  <c r="F471" i="9"/>
  <c r="B468" i="9"/>
  <c r="C149" i="48" s="1"/>
  <c r="F462" i="9"/>
  <c r="B458" i="9"/>
  <c r="C145" i="48" s="1"/>
  <c r="B455" i="9"/>
  <c r="Q13" i="99" s="1"/>
  <c r="B449" i="9"/>
  <c r="C142" i="48" s="1"/>
  <c r="F443" i="9"/>
  <c r="B439" i="9"/>
  <c r="F433" i="9"/>
  <c r="B430" i="9"/>
  <c r="Q4" i="99" s="1"/>
  <c r="B427" i="9"/>
  <c r="I616" i="9"/>
  <c r="J201" i="48" s="1"/>
  <c r="I607" i="9"/>
  <c r="J198" i="48" s="1"/>
  <c r="I600" i="9"/>
  <c r="J196" i="48" s="1"/>
  <c r="I591" i="9"/>
  <c r="J193" i="48" s="1"/>
  <c r="I584" i="9"/>
  <c r="J190" i="48" s="1"/>
  <c r="I578" i="9"/>
  <c r="J188" i="48" s="1"/>
  <c r="I572" i="9"/>
  <c r="J186" i="48" s="1"/>
  <c r="I565" i="9"/>
  <c r="J183" i="48" s="1"/>
  <c r="I559" i="9"/>
  <c r="J181" i="48" s="1"/>
  <c r="I553" i="9"/>
  <c r="J179" i="48" s="1"/>
  <c r="I546" i="9"/>
  <c r="J176" i="48" s="1"/>
  <c r="I540" i="9"/>
  <c r="J174" i="48" s="1"/>
  <c r="I534" i="9"/>
  <c r="J172" i="48" s="1"/>
  <c r="I515" i="9"/>
  <c r="J165" i="48" s="1"/>
  <c r="I509" i="9"/>
  <c r="J163" i="48" s="1"/>
  <c r="I502" i="9"/>
  <c r="J161" i="48" s="1"/>
  <c r="I496" i="9"/>
  <c r="J159" i="48" s="1"/>
  <c r="I487" i="9"/>
  <c r="J156" i="48" s="1"/>
  <c r="C484" i="9"/>
  <c r="D155" i="48" s="1"/>
  <c r="C481" i="9"/>
  <c r="D154" i="48" s="1"/>
  <c r="C477" i="9"/>
  <c r="D152" i="48" s="1"/>
  <c r="C474" i="9"/>
  <c r="D151" i="48" s="1"/>
  <c r="I471" i="9"/>
  <c r="J150" i="48" s="1"/>
  <c r="C471" i="9"/>
  <c r="I468" i="9"/>
  <c r="J149" i="48" s="1"/>
  <c r="C468" i="9"/>
  <c r="I465" i="9"/>
  <c r="J148" i="48" s="1"/>
  <c r="C465" i="9"/>
  <c r="I462" i="9"/>
  <c r="J147" i="48" s="1"/>
  <c r="C462" i="9"/>
  <c r="I458" i="9"/>
  <c r="J145" i="48" s="1"/>
  <c r="C458" i="9"/>
  <c r="D145" i="48" s="1"/>
  <c r="I455" i="9"/>
  <c r="J144" i="48" s="1"/>
  <c r="C455" i="9"/>
  <c r="R13" i="99" s="1"/>
  <c r="I452" i="9"/>
  <c r="J143" i="48" s="1"/>
  <c r="C452" i="9"/>
  <c r="D143" i="48" s="1"/>
  <c r="I449" i="9"/>
  <c r="J142" i="48" s="1"/>
  <c r="C449" i="9"/>
  <c r="D142" i="48" s="1"/>
  <c r="I446" i="9"/>
  <c r="J141" i="48" s="1"/>
  <c r="C446" i="9"/>
  <c r="R10" i="99" s="1"/>
  <c r="I443" i="9"/>
  <c r="J140" i="48" s="1"/>
  <c r="C443" i="9"/>
  <c r="I439" i="9"/>
  <c r="J138" i="48" s="1"/>
  <c r="C439" i="9"/>
  <c r="D138" i="48" s="1"/>
  <c r="I436" i="9"/>
  <c r="J137" i="48" s="1"/>
  <c r="C436" i="9"/>
  <c r="I433" i="9"/>
  <c r="J136" i="48" s="1"/>
  <c r="C433" i="9"/>
  <c r="R5" i="99" s="1"/>
  <c r="I430" i="9"/>
  <c r="J135" i="48" s="1"/>
  <c r="C430" i="9"/>
  <c r="I427" i="9"/>
  <c r="J134" i="48" s="1"/>
  <c r="C427" i="9"/>
  <c r="J419" i="9"/>
  <c r="K122" i="48" s="1"/>
  <c r="C419" i="9"/>
  <c r="R68" i="113" s="1"/>
  <c r="I389" i="9"/>
  <c r="J121" i="48" s="1"/>
  <c r="A389" i="9"/>
  <c r="P67" i="92" s="1"/>
  <c r="C384" i="9"/>
  <c r="I374" i="9"/>
  <c r="J119" i="48" s="1"/>
  <c r="B374" i="9"/>
  <c r="Q65" i="92" s="1"/>
  <c r="C369" i="9"/>
  <c r="I360" i="9"/>
  <c r="J117" i="48" s="1"/>
  <c r="A360" i="9"/>
  <c r="P67" i="97" s="1"/>
  <c r="C724" i="9"/>
  <c r="D39" i="16" s="1"/>
  <c r="C591" i="9"/>
  <c r="D193" i="48" s="1"/>
  <c r="C578" i="9"/>
  <c r="C559" i="9"/>
  <c r="C546" i="9"/>
  <c r="D176" i="48" s="1"/>
  <c r="C502" i="9"/>
  <c r="D161" i="48" s="1"/>
  <c r="J481" i="9"/>
  <c r="K154" i="48" s="1"/>
  <c r="B474" i="9"/>
  <c r="F468" i="9"/>
  <c r="B465" i="9"/>
  <c r="F458" i="9"/>
  <c r="F452" i="9"/>
  <c r="F449" i="9"/>
  <c r="B446" i="9"/>
  <c r="C141" i="48" s="1"/>
  <c r="B443" i="9"/>
  <c r="Q9" i="99" s="1"/>
  <c r="F436" i="9"/>
  <c r="B433" i="9"/>
  <c r="C136" i="48" s="1"/>
  <c r="F427" i="9"/>
  <c r="I419" i="9"/>
  <c r="J122" i="48" s="1"/>
  <c r="B384" i="9"/>
  <c r="C120" i="48" s="1"/>
  <c r="F360" i="9"/>
  <c r="B419" i="9"/>
  <c r="Q69" i="97" s="1"/>
  <c r="F374" i="9"/>
  <c r="B369" i="9"/>
  <c r="F389" i="9"/>
  <c r="J369" i="9"/>
  <c r="K118" i="48" s="1"/>
  <c r="J384" i="9"/>
  <c r="K120" i="48" s="1"/>
  <c r="D389" i="9"/>
  <c r="E121" i="48" s="1"/>
  <c r="D369" i="9"/>
  <c r="E118" i="48" s="1"/>
  <c r="D384" i="9"/>
  <c r="E120" i="48" s="1"/>
  <c r="D360" i="9"/>
  <c r="E117" i="48" s="1"/>
  <c r="A374" i="9"/>
  <c r="J334" i="9"/>
  <c r="K110" i="48" s="1"/>
  <c r="I334" i="9"/>
  <c r="J110" i="48" s="1"/>
  <c r="A334" i="9"/>
  <c r="P39" i="90" s="1"/>
  <c r="B334" i="9"/>
  <c r="C110" i="48" s="1"/>
  <c r="F334" i="9"/>
  <c r="D334" i="9"/>
  <c r="E110" i="48" s="1"/>
  <c r="C334" i="9"/>
  <c r="C34" i="16"/>
  <c r="I329" i="9"/>
  <c r="J109" i="48" s="1"/>
  <c r="B329" i="9"/>
  <c r="F324" i="9"/>
  <c r="A324" i="9"/>
  <c r="P37" i="112" s="1"/>
  <c r="D319" i="9"/>
  <c r="E107" i="48" s="1"/>
  <c r="J314" i="9"/>
  <c r="K106" i="48" s="1"/>
  <c r="C314" i="9"/>
  <c r="D329" i="9"/>
  <c r="E109" i="48" s="1"/>
  <c r="C324" i="9"/>
  <c r="D108" i="48" s="1"/>
  <c r="F314" i="9"/>
  <c r="C329" i="9"/>
  <c r="B324" i="9"/>
  <c r="A319" i="9"/>
  <c r="F329" i="9"/>
  <c r="A329" i="9"/>
  <c r="D324" i="9"/>
  <c r="E108" i="48" s="1"/>
  <c r="J319" i="9"/>
  <c r="K107" i="48" s="1"/>
  <c r="C319" i="9"/>
  <c r="R64" i="96" s="1"/>
  <c r="I314" i="9"/>
  <c r="J106" i="48" s="1"/>
  <c r="B314" i="9"/>
  <c r="C106" i="48" s="1"/>
  <c r="J324" i="9"/>
  <c r="I319" i="9"/>
  <c r="J107" i="48" s="1"/>
  <c r="B319" i="9"/>
  <c r="A314" i="9"/>
  <c r="J329" i="9"/>
  <c r="K109" i="48" s="1"/>
  <c r="I324" i="9"/>
  <c r="J108" i="48" s="1"/>
  <c r="F319" i="9"/>
  <c r="D314" i="9"/>
  <c r="E106" i="48" s="1"/>
  <c r="C127" i="48"/>
  <c r="R73" i="96"/>
  <c r="B2" i="9"/>
  <c r="I226" i="9"/>
  <c r="J52" i="48" s="1"/>
  <c r="A226" i="9"/>
  <c r="C221" i="9"/>
  <c r="I216" i="9"/>
  <c r="J50" i="48" s="1"/>
  <c r="B216" i="9"/>
  <c r="F211" i="9"/>
  <c r="A211" i="9"/>
  <c r="P18" i="90" s="1"/>
  <c r="D206" i="9"/>
  <c r="E48" i="48" s="1"/>
  <c r="J196" i="9"/>
  <c r="C196" i="9"/>
  <c r="R11" i="106" s="1"/>
  <c r="I191" i="9"/>
  <c r="J45" i="48" s="1"/>
  <c r="B191" i="9"/>
  <c r="F186" i="9"/>
  <c r="A186" i="9"/>
  <c r="D181" i="9"/>
  <c r="E43" i="48" s="1"/>
  <c r="J176" i="9"/>
  <c r="K42" i="48" s="1"/>
  <c r="C176" i="9"/>
  <c r="R7" i="105" s="1"/>
  <c r="I171" i="9"/>
  <c r="J41" i="48" s="1"/>
  <c r="B171" i="9"/>
  <c r="C41" i="48" s="1"/>
  <c r="F166" i="9"/>
  <c r="A166" i="9"/>
  <c r="D161" i="9"/>
  <c r="J156" i="9"/>
  <c r="C156" i="9"/>
  <c r="J216" i="9"/>
  <c r="K50" i="48" s="1"/>
  <c r="I211" i="9"/>
  <c r="J49" i="48" s="1"/>
  <c r="A206" i="9"/>
  <c r="C191" i="9"/>
  <c r="F181" i="9"/>
  <c r="J171" i="9"/>
  <c r="K41" i="48" s="1"/>
  <c r="I166" i="9"/>
  <c r="J40" i="48" s="1"/>
  <c r="A161" i="9"/>
  <c r="D221" i="9"/>
  <c r="E51" i="48" s="1"/>
  <c r="BD51" i="48" s="1"/>
  <c r="F226" i="9"/>
  <c r="J221" i="9"/>
  <c r="K51" i="48" s="1"/>
  <c r="B221" i="9"/>
  <c r="C51" i="48" s="1"/>
  <c r="F216" i="9"/>
  <c r="A216" i="9"/>
  <c r="B50" i="48" s="1"/>
  <c r="D211" i="9"/>
  <c r="E49" i="48" s="1"/>
  <c r="J206" i="9"/>
  <c r="K48" i="48" s="1"/>
  <c r="C206" i="9"/>
  <c r="R7" i="86" s="1"/>
  <c r="I196" i="9"/>
  <c r="J46" i="48" s="1"/>
  <c r="B196" i="9"/>
  <c r="Q11" i="105" s="1"/>
  <c r="F191" i="9"/>
  <c r="A191" i="9"/>
  <c r="P10" i="114" s="1"/>
  <c r="D186" i="9"/>
  <c r="E44" i="48" s="1"/>
  <c r="J181" i="9"/>
  <c r="K43" i="48" s="1"/>
  <c r="C181" i="9"/>
  <c r="I176" i="9"/>
  <c r="J42" i="48" s="1"/>
  <c r="B176" i="9"/>
  <c r="Q7" i="115" s="1"/>
  <c r="F171" i="9"/>
  <c r="A171" i="9"/>
  <c r="B41" i="48" s="1"/>
  <c r="D166" i="9"/>
  <c r="E40" i="48" s="1"/>
  <c r="J161" i="9"/>
  <c r="C161" i="9"/>
  <c r="I156" i="9"/>
  <c r="B156" i="9"/>
  <c r="J226" i="9"/>
  <c r="K52" i="48" s="1"/>
  <c r="F221" i="9"/>
  <c r="B211" i="9"/>
  <c r="Q18" i="112" s="1"/>
  <c r="J191" i="9"/>
  <c r="K45" i="48" s="1"/>
  <c r="B186" i="9"/>
  <c r="Q9" i="106" s="1"/>
  <c r="D176" i="9"/>
  <c r="E42" i="48" s="1"/>
  <c r="C171" i="9"/>
  <c r="F161" i="9"/>
  <c r="D226" i="9"/>
  <c r="E52" i="48" s="1"/>
  <c r="BD52" i="48" s="1"/>
  <c r="C226" i="9"/>
  <c r="D52" i="48" s="1"/>
  <c r="I221" i="9"/>
  <c r="J51" i="48" s="1"/>
  <c r="A221" i="9"/>
  <c r="D216" i="9"/>
  <c r="E50" i="48" s="1"/>
  <c r="BD50" i="48" s="1"/>
  <c r="J211" i="9"/>
  <c r="K49" i="48" s="1"/>
  <c r="C211" i="9"/>
  <c r="I206" i="9"/>
  <c r="J48" i="48" s="1"/>
  <c r="B206" i="9"/>
  <c r="F196" i="9"/>
  <c r="A196" i="9"/>
  <c r="P16" i="112" s="1"/>
  <c r="D191" i="9"/>
  <c r="E45" i="48" s="1"/>
  <c r="J186" i="9"/>
  <c r="K44" i="48" s="1"/>
  <c r="C186" i="9"/>
  <c r="R14" i="112" s="1"/>
  <c r="I181" i="9"/>
  <c r="J43" i="48" s="1"/>
  <c r="B181" i="9"/>
  <c r="Q8" i="114" s="1"/>
  <c r="F176" i="9"/>
  <c r="A176" i="9"/>
  <c r="D171" i="9"/>
  <c r="E41" i="48" s="1"/>
  <c r="J166" i="9"/>
  <c r="K40" i="48" s="1"/>
  <c r="C166" i="9"/>
  <c r="R5" i="106" s="1"/>
  <c r="I161" i="9"/>
  <c r="B161" i="9"/>
  <c r="F156" i="9"/>
  <c r="A156" i="9"/>
  <c r="B226" i="9"/>
  <c r="C216" i="9"/>
  <c r="R9" i="86" s="1"/>
  <c r="F206" i="9"/>
  <c r="D196" i="9"/>
  <c r="E46" i="48" s="1"/>
  <c r="I186" i="9"/>
  <c r="J44" i="48" s="1"/>
  <c r="A181" i="9"/>
  <c r="P13" i="112" s="1"/>
  <c r="B166" i="9"/>
  <c r="D156" i="9"/>
  <c r="F16" i="9"/>
  <c r="B56" i="9"/>
  <c r="D46" i="9"/>
  <c r="E18" i="48" s="1"/>
  <c r="F86" i="9"/>
  <c r="F41" i="9"/>
  <c r="D66" i="9"/>
  <c r="E22" i="48" s="1"/>
  <c r="J121" i="9"/>
  <c r="K33" i="48" s="1"/>
  <c r="D16" i="9"/>
  <c r="E12" i="48" s="1"/>
  <c r="B31" i="9"/>
  <c r="J46" i="9"/>
  <c r="K18" i="48" s="1"/>
  <c r="F56" i="9"/>
  <c r="C66" i="9"/>
  <c r="R10" i="81" s="1"/>
  <c r="A81" i="9"/>
  <c r="P5" i="84" s="1"/>
  <c r="I96" i="9"/>
  <c r="J28" i="48" s="1"/>
  <c r="D111" i="9"/>
  <c r="E31" i="48" s="1"/>
  <c r="B121" i="9"/>
  <c r="J136" i="9"/>
  <c r="K36" i="48" s="1"/>
  <c r="F146" i="9"/>
  <c r="B101" i="9"/>
  <c r="I146" i="9"/>
  <c r="J38" i="48" s="1"/>
  <c r="I21" i="9"/>
  <c r="J13" i="48" s="1"/>
  <c r="D36" i="9"/>
  <c r="E16" i="48" s="1"/>
  <c r="B46" i="9"/>
  <c r="Q5" i="110" s="1"/>
  <c r="J61" i="9"/>
  <c r="K21" i="48" s="1"/>
  <c r="F71" i="9"/>
  <c r="C86" i="9"/>
  <c r="A96" i="9"/>
  <c r="I116" i="9"/>
  <c r="J32" i="48" s="1"/>
  <c r="D126" i="9"/>
  <c r="E34" i="48" s="1"/>
  <c r="B136" i="9"/>
  <c r="Q10" i="110" s="1"/>
  <c r="J151" i="9"/>
  <c r="K39" i="48" s="1"/>
  <c r="I101" i="9"/>
  <c r="J29" i="48" s="1"/>
  <c r="F131" i="9"/>
  <c r="B16" i="9"/>
  <c r="J36" i="9"/>
  <c r="K16" i="48" s="1"/>
  <c r="F46" i="9"/>
  <c r="C56" i="9"/>
  <c r="R4" i="112" s="1"/>
  <c r="A66" i="9"/>
  <c r="P6" i="90" s="1"/>
  <c r="I86" i="9"/>
  <c r="J26" i="48" s="1"/>
  <c r="D96" i="9"/>
  <c r="E28" i="48" s="1"/>
  <c r="B111" i="9"/>
  <c r="J126" i="9"/>
  <c r="K34" i="48" s="1"/>
  <c r="F136" i="9"/>
  <c r="C146" i="9"/>
  <c r="R15" i="90" s="1"/>
  <c r="D101" i="9"/>
  <c r="E29" i="48" s="1"/>
  <c r="J131" i="9"/>
  <c r="K35" i="48" s="1"/>
  <c r="C151" i="9"/>
  <c r="C141" i="9"/>
  <c r="R9" i="96" s="1"/>
  <c r="F21" i="9"/>
  <c r="A46" i="9"/>
  <c r="P5" i="110" s="1"/>
  <c r="I61" i="9"/>
  <c r="J21" i="48" s="1"/>
  <c r="B86" i="9"/>
  <c r="J101" i="9"/>
  <c r="K29" i="48" s="1"/>
  <c r="C126" i="9"/>
  <c r="R6" i="96" s="1"/>
  <c r="I151" i="9"/>
  <c r="J39" i="48" s="1"/>
  <c r="B36" i="9"/>
  <c r="C16" i="48" s="1"/>
  <c r="A111" i="9"/>
  <c r="P3" i="95" s="1"/>
  <c r="I31" i="9"/>
  <c r="J15" i="48" s="1"/>
  <c r="J66" i="9"/>
  <c r="K22" i="48" s="1"/>
  <c r="A101" i="9"/>
  <c r="P9" i="84" s="1"/>
  <c r="D131" i="9"/>
  <c r="E35" i="48" s="1"/>
  <c r="J141" i="9"/>
  <c r="K37" i="48" s="1"/>
  <c r="I46" i="9"/>
  <c r="J18" i="48" s="1"/>
  <c r="B66" i="9"/>
  <c r="C111" i="9"/>
  <c r="R3" i="92" s="1"/>
  <c r="D146" i="9"/>
  <c r="E38" i="48" s="1"/>
  <c r="I126" i="9"/>
  <c r="J34" i="48" s="1"/>
  <c r="B41" i="9"/>
  <c r="Q4" i="111" s="1"/>
  <c r="F66" i="9"/>
  <c r="A91" i="9"/>
  <c r="P7" i="84" s="1"/>
  <c r="B131" i="9"/>
  <c r="Q9" i="110" s="1"/>
  <c r="C31" i="9"/>
  <c r="C71" i="9"/>
  <c r="D23" i="48" s="1"/>
  <c r="A61" i="9"/>
  <c r="P9" i="82" s="1"/>
  <c r="A16" i="9"/>
  <c r="P7" i="83" s="1"/>
  <c r="C51" i="9"/>
  <c r="D19" i="48" s="1"/>
  <c r="B81" i="9"/>
  <c r="B126" i="9"/>
  <c r="Q6" i="85" s="1"/>
  <c r="J21" i="9"/>
  <c r="K13" i="48" s="1"/>
  <c r="F36" i="9"/>
  <c r="C46" i="9"/>
  <c r="A56" i="9"/>
  <c r="P4" i="97" s="1"/>
  <c r="I71" i="9"/>
  <c r="J23" i="48" s="1"/>
  <c r="D86" i="9"/>
  <c r="E26" i="48" s="1"/>
  <c r="BD26" i="48" s="1"/>
  <c r="B96" i="9"/>
  <c r="J116" i="9"/>
  <c r="K32" i="48" s="1"/>
  <c r="F126" i="9"/>
  <c r="C136" i="9"/>
  <c r="R8" i="96" s="1"/>
  <c r="A146" i="9"/>
  <c r="P10" i="89" s="1"/>
  <c r="C121" i="9"/>
  <c r="R5" i="113" s="1"/>
  <c r="F151" i="9"/>
  <c r="B21" i="9"/>
  <c r="C13" i="48" s="1"/>
  <c r="J41" i="9"/>
  <c r="K17" i="48" s="1"/>
  <c r="F51" i="9"/>
  <c r="C61" i="9"/>
  <c r="R9" i="93" s="1"/>
  <c r="A71" i="9"/>
  <c r="I91" i="9"/>
  <c r="J27" i="48" s="1"/>
  <c r="B116" i="9"/>
  <c r="Q4" i="95" s="1"/>
  <c r="F141" i="9"/>
  <c r="F111" i="9"/>
  <c r="C36" i="9"/>
  <c r="D71" i="9"/>
  <c r="E23" i="48" s="1"/>
  <c r="F116" i="9"/>
  <c r="A136" i="9"/>
  <c r="B36" i="48" s="1"/>
  <c r="I36" i="9"/>
  <c r="J16" i="48" s="1"/>
  <c r="B51" i="9"/>
  <c r="Q7" i="82" s="1"/>
  <c r="C91" i="9"/>
  <c r="R8" i="90" s="1"/>
  <c r="B141" i="9"/>
  <c r="Q9" i="95" s="1"/>
  <c r="A31" i="9"/>
  <c r="J86" i="9"/>
  <c r="K26" i="48" s="1"/>
  <c r="I136" i="9"/>
  <c r="J36" i="48" s="1"/>
  <c r="I16" i="9"/>
  <c r="J12" i="48" s="1"/>
  <c r="J56" i="9"/>
  <c r="K20" i="48" s="1"/>
  <c r="I111" i="9"/>
  <c r="J31" i="48" s="1"/>
  <c r="J146" i="9"/>
  <c r="K38" i="48" s="1"/>
  <c r="A41" i="9"/>
  <c r="P4" i="111" s="1"/>
  <c r="D21" i="9"/>
  <c r="E13" i="48" s="1"/>
  <c r="J71" i="9"/>
  <c r="K23" i="48" s="1"/>
  <c r="J31" i="9"/>
  <c r="K15" i="48" s="1"/>
  <c r="I56" i="9"/>
  <c r="J20" i="48" s="1"/>
  <c r="C96" i="9"/>
  <c r="R9" i="112" s="1"/>
  <c r="D136" i="9"/>
  <c r="E36" i="48" s="1"/>
  <c r="C21" i="9"/>
  <c r="A36" i="9"/>
  <c r="P4" i="82" s="1"/>
  <c r="I51" i="9"/>
  <c r="J19" i="48" s="1"/>
  <c r="D61" i="9"/>
  <c r="E21" i="48" s="1"/>
  <c r="B71" i="9"/>
  <c r="Q11" i="82" s="1"/>
  <c r="J91" i="9"/>
  <c r="K27" i="48" s="1"/>
  <c r="F101" i="9"/>
  <c r="C116" i="9"/>
  <c r="R4" i="92" s="1"/>
  <c r="A126" i="9"/>
  <c r="P6" i="92" s="1"/>
  <c r="I141" i="9"/>
  <c r="J37" i="48" s="1"/>
  <c r="D151" i="9"/>
  <c r="E39" i="48" s="1"/>
  <c r="A131" i="9"/>
  <c r="J16" i="9"/>
  <c r="K12" i="48" s="1"/>
  <c r="F31" i="9"/>
  <c r="C41" i="9"/>
  <c r="A51" i="9"/>
  <c r="P7" i="81" s="1"/>
  <c r="I66" i="9"/>
  <c r="J22" i="48" s="1"/>
  <c r="D81" i="9"/>
  <c r="E25" i="48" s="1"/>
  <c r="B91" i="9"/>
  <c r="J111" i="9"/>
  <c r="K31" i="48" s="1"/>
  <c r="F121" i="9"/>
  <c r="C131" i="9"/>
  <c r="R7" i="114" s="1"/>
  <c r="A141" i="9"/>
  <c r="P9" i="95" s="1"/>
  <c r="A86" i="9"/>
  <c r="D116" i="9"/>
  <c r="E32" i="48" s="1"/>
  <c r="A151" i="9"/>
  <c r="B39" i="48" s="1"/>
  <c r="A21" i="9"/>
  <c r="I41" i="9"/>
  <c r="J17" i="48" s="1"/>
  <c r="D51" i="9"/>
  <c r="E19" i="48" s="1"/>
  <c r="B61" i="9"/>
  <c r="J81" i="9"/>
  <c r="K25" i="48" s="1"/>
  <c r="F91" i="9"/>
  <c r="C101" i="9"/>
  <c r="R10" i="112" s="1"/>
  <c r="A116" i="9"/>
  <c r="P4" i="87" s="1"/>
  <c r="I131" i="9"/>
  <c r="J35" i="48" s="1"/>
  <c r="D141" i="9"/>
  <c r="E37" i="48" s="1"/>
  <c r="B151" i="9"/>
  <c r="J51" i="9"/>
  <c r="K19" i="48" s="1"/>
  <c r="I81" i="9"/>
  <c r="J25" i="48" s="1"/>
  <c r="F61" i="9"/>
  <c r="B146" i="9"/>
  <c r="Q10" i="95" s="1"/>
  <c r="D41" i="9"/>
  <c r="E17" i="48" s="1"/>
  <c r="F81" i="9"/>
  <c r="I121" i="9"/>
  <c r="J33" i="48" s="1"/>
  <c r="D91" i="9"/>
  <c r="E27" i="48" s="1"/>
  <c r="C16" i="9"/>
  <c r="D56" i="9"/>
  <c r="E20" i="48" s="1"/>
  <c r="F96" i="9"/>
  <c r="A121" i="9"/>
  <c r="P5" i="80" s="1"/>
  <c r="J96" i="9"/>
  <c r="K28" i="48" s="1"/>
  <c r="D31" i="9"/>
  <c r="E15" i="48" s="1"/>
  <c r="C81" i="9"/>
  <c r="D121" i="9"/>
  <c r="E33" i="48" s="1"/>
  <c r="B29" i="12"/>
  <c r="D31" i="75"/>
  <c r="R83" i="111"/>
  <c r="P22" i="105"/>
  <c r="D248" i="48"/>
  <c r="Q37" i="87"/>
  <c r="R16" i="106"/>
  <c r="P14" i="105"/>
  <c r="Q76" i="105"/>
  <c r="Q32" i="82"/>
  <c r="P80" i="115"/>
  <c r="D87" i="48"/>
  <c r="P21" i="84"/>
  <c r="P35" i="81"/>
  <c r="R20" i="111"/>
  <c r="Q27" i="88"/>
  <c r="R52" i="108"/>
  <c r="R16" i="104"/>
  <c r="P13" i="114"/>
  <c r="Q32" i="107"/>
  <c r="R24" i="89"/>
  <c r="Q75" i="106"/>
  <c r="B5" i="16"/>
  <c r="R25" i="90"/>
  <c r="C56" i="48"/>
  <c r="Q37" i="108"/>
  <c r="R28" i="104"/>
  <c r="Q82" i="113"/>
  <c r="Q36" i="108"/>
  <c r="P67" i="104"/>
  <c r="R24" i="93"/>
  <c r="P33" i="84"/>
  <c r="B54" i="48"/>
  <c r="Q76" i="107"/>
  <c r="R71" i="104"/>
  <c r="R16" i="85"/>
  <c r="R16" i="86"/>
  <c r="P13" i="113"/>
  <c r="P14" i="93"/>
  <c r="P14" i="107"/>
  <c r="P14" i="85"/>
  <c r="Q36" i="82"/>
  <c r="Q32" i="81"/>
  <c r="Q30" i="84"/>
  <c r="Q82" i="114"/>
  <c r="Q82" i="109"/>
  <c r="Q83" i="115"/>
  <c r="Q37" i="106"/>
  <c r="R38" i="105"/>
  <c r="R38" i="108"/>
  <c r="R20" i="93"/>
  <c r="P22" i="88"/>
  <c r="R28" i="89"/>
  <c r="P35" i="80"/>
  <c r="R72" i="104"/>
  <c r="Q32" i="93"/>
  <c r="Q30" i="110"/>
  <c r="Q37" i="104"/>
  <c r="P47" i="112"/>
  <c r="Q49" i="112"/>
  <c r="Q76" i="106"/>
  <c r="R24" i="87"/>
  <c r="Q37" i="93"/>
  <c r="R38" i="81"/>
  <c r="R38" i="93"/>
  <c r="B220" i="48"/>
  <c r="P22" i="89"/>
  <c r="R69" i="105"/>
  <c r="P35" i="82"/>
  <c r="P35" i="89"/>
  <c r="D126" i="48"/>
  <c r="P74" i="105"/>
  <c r="R79" i="107"/>
  <c r="Q82" i="115"/>
  <c r="R51" i="112"/>
  <c r="R15" i="84"/>
  <c r="B67" i="48"/>
  <c r="P14" i="104"/>
  <c r="P14" i="89"/>
  <c r="P13" i="96"/>
  <c r="C85" i="48"/>
  <c r="R78" i="107"/>
  <c r="Q36" i="87"/>
  <c r="Q34" i="84"/>
  <c r="Q36" i="81"/>
  <c r="R70" i="80"/>
  <c r="Q32" i="89"/>
  <c r="C81" i="48"/>
  <c r="R38" i="80"/>
  <c r="P80" i="113"/>
  <c r="Q69" i="104"/>
  <c r="Q49" i="108"/>
  <c r="Q37" i="88"/>
  <c r="Q35" i="110"/>
  <c r="R38" i="106"/>
  <c r="P35" i="107"/>
  <c r="R28" i="80"/>
  <c r="P35" i="104"/>
  <c r="P35" i="85"/>
  <c r="B84" i="48"/>
  <c r="R20" i="81"/>
  <c r="R85" i="113"/>
  <c r="C57" i="48"/>
  <c r="R51" i="108"/>
  <c r="R16" i="89"/>
  <c r="P18" i="85"/>
  <c r="P14" i="108"/>
  <c r="P13" i="92"/>
  <c r="P28" i="107"/>
  <c r="R18" i="87"/>
  <c r="R18" i="81"/>
  <c r="R27" i="90"/>
  <c r="R18" i="107"/>
  <c r="R17" i="84"/>
  <c r="Q30" i="85"/>
  <c r="R22" i="86"/>
  <c r="Q71" i="80"/>
  <c r="P20" i="82"/>
  <c r="P20" i="89"/>
  <c r="B69" i="48"/>
  <c r="P20" i="93"/>
  <c r="R31" i="81"/>
  <c r="D80" i="48"/>
  <c r="R31" i="82"/>
  <c r="R31" i="89"/>
  <c r="Q30" i="104"/>
  <c r="Q28" i="111"/>
  <c r="Q30" i="105"/>
  <c r="Q30" i="80"/>
  <c r="AI46" i="48"/>
  <c r="P31" i="84"/>
  <c r="P31" i="110"/>
  <c r="P33" i="88"/>
  <c r="R80" i="114"/>
  <c r="R18" i="82"/>
  <c r="Q12" i="114"/>
  <c r="D129" i="48"/>
  <c r="D128" i="48"/>
  <c r="R72" i="105"/>
  <c r="P24" i="82"/>
  <c r="Q34" i="90"/>
  <c r="P24" i="110"/>
  <c r="P23" i="114"/>
  <c r="P24" i="106"/>
  <c r="P24" i="85"/>
  <c r="P24" i="87"/>
  <c r="Q34" i="86"/>
  <c r="C224" i="48"/>
  <c r="R18" i="86"/>
  <c r="R18" i="110"/>
  <c r="R18" i="105"/>
  <c r="R29" i="83"/>
  <c r="Q71" i="109"/>
  <c r="P20" i="86"/>
  <c r="P20" i="80"/>
  <c r="P20" i="110"/>
  <c r="P19" i="84"/>
  <c r="P20" i="81"/>
  <c r="R29" i="111"/>
  <c r="R31" i="93"/>
  <c r="R31" i="105"/>
  <c r="R29" i="110"/>
  <c r="Q30" i="108"/>
  <c r="Q30" i="107"/>
  <c r="Q28" i="84"/>
  <c r="Q28" i="110"/>
  <c r="Q30" i="86"/>
  <c r="Q37" i="111"/>
  <c r="P33" i="89"/>
  <c r="P33" i="82"/>
  <c r="P31" i="83"/>
  <c r="R80" i="109"/>
  <c r="Q13" i="106"/>
  <c r="P24" i="93"/>
  <c r="P23" i="92"/>
  <c r="Q25" i="89"/>
  <c r="P23" i="97"/>
  <c r="Q25" i="104"/>
  <c r="AI42" i="48"/>
  <c r="B227" i="48"/>
  <c r="C18" i="75"/>
  <c r="D16" i="75"/>
  <c r="D241" i="48"/>
  <c r="D229" i="48"/>
  <c r="D27" i="75"/>
  <c r="Q37" i="105"/>
  <c r="Q37" i="82"/>
  <c r="Q37" i="81"/>
  <c r="Q37" i="86"/>
  <c r="R38" i="104"/>
  <c r="R38" i="86"/>
  <c r="P35" i="106"/>
  <c r="P35" i="86"/>
  <c r="P33" i="111"/>
  <c r="P33" i="110"/>
  <c r="Q27" i="107"/>
  <c r="R20" i="87"/>
  <c r="R79" i="105"/>
  <c r="R52" i="112"/>
  <c r="R84" i="115"/>
  <c r="R84" i="109"/>
  <c r="R16" i="108"/>
  <c r="R16" i="80"/>
  <c r="R16" i="105"/>
  <c r="Q18" i="83"/>
  <c r="P14" i="82"/>
  <c r="P23" i="112"/>
  <c r="P14" i="88"/>
  <c r="P13" i="109"/>
  <c r="P14" i="81"/>
  <c r="P13" i="97"/>
  <c r="Q36" i="86"/>
  <c r="Q37" i="89"/>
  <c r="Q35" i="111"/>
  <c r="Q37" i="107"/>
  <c r="R38" i="85"/>
  <c r="R38" i="89"/>
  <c r="R38" i="87"/>
  <c r="P35" i="93"/>
  <c r="P35" i="105"/>
  <c r="P35" i="87"/>
  <c r="P35" i="108"/>
  <c r="R20" i="80"/>
  <c r="R85" i="115"/>
  <c r="R85" i="114"/>
  <c r="R78" i="106"/>
  <c r="R78" i="105"/>
  <c r="R16" i="88"/>
  <c r="R16" i="110"/>
  <c r="B63" i="48"/>
  <c r="P14" i="80"/>
  <c r="P14" i="86"/>
  <c r="P23" i="90"/>
  <c r="P14" i="106"/>
  <c r="Q36" i="93"/>
  <c r="B129" i="48"/>
  <c r="R38" i="88"/>
  <c r="C218" i="48"/>
  <c r="D231" i="48"/>
  <c r="C209" i="48"/>
  <c r="Q36" i="89"/>
  <c r="B235" i="48"/>
  <c r="Q36" i="104"/>
  <c r="P13" i="115"/>
  <c r="Q36" i="105"/>
  <c r="R38" i="107"/>
  <c r="Q36" i="85"/>
  <c r="C131" i="48"/>
  <c r="Q36" i="106"/>
  <c r="P14" i="87"/>
  <c r="D12" i="16"/>
  <c r="S50" i="112"/>
  <c r="AI57" i="48" s="1"/>
  <c r="S75" i="105"/>
  <c r="U55" i="48" s="1"/>
  <c r="S41" i="89"/>
  <c r="AC109" i="48" s="1"/>
  <c r="Q27" i="111"/>
  <c r="D265" i="48"/>
  <c r="C25" i="16"/>
  <c r="S49" i="108"/>
  <c r="AD56" i="48" s="1"/>
  <c r="S53" i="108"/>
  <c r="AD60" i="48" s="1"/>
  <c r="S79" i="105"/>
  <c r="U59" i="48" s="1"/>
  <c r="R37" i="111"/>
  <c r="S41" i="90"/>
  <c r="S39" i="112"/>
  <c r="S41" i="112"/>
  <c r="B6" i="75"/>
  <c r="C15" i="16"/>
  <c r="Q15" i="114"/>
  <c r="R25" i="106"/>
  <c r="R30" i="81"/>
  <c r="P19" i="105"/>
  <c r="R39" i="89"/>
  <c r="P15" i="82"/>
  <c r="R17" i="80"/>
  <c r="P15" i="81"/>
  <c r="Q38" i="80"/>
  <c r="R39" i="81"/>
  <c r="Q20" i="85"/>
  <c r="R39" i="80"/>
  <c r="Q29" i="80"/>
  <c r="P14" i="109"/>
  <c r="Q38" i="81"/>
  <c r="O18" i="103"/>
  <c r="C125" i="48"/>
  <c r="B265" i="48"/>
  <c r="B30" i="75"/>
  <c r="Q16" i="108"/>
  <c r="R16" i="84"/>
  <c r="Q28" i="104"/>
  <c r="Q69" i="105"/>
  <c r="Q29" i="89"/>
  <c r="R30" i="89"/>
  <c r="Q20" i="110"/>
  <c r="Q38" i="82"/>
  <c r="Q38" i="85"/>
  <c r="R39" i="87"/>
  <c r="R37" i="110"/>
  <c r="R39" i="107"/>
  <c r="Q29" i="106"/>
  <c r="P77" i="114"/>
  <c r="Q16" i="111"/>
  <c r="P32" i="105"/>
  <c r="Q71" i="104"/>
  <c r="K89" i="48"/>
  <c r="Q72" i="106"/>
  <c r="Q69" i="109"/>
  <c r="Q38" i="89"/>
  <c r="Q78" i="96"/>
  <c r="Q38" i="104"/>
  <c r="Q38" i="87"/>
  <c r="R39" i="108"/>
  <c r="R39" i="106"/>
  <c r="R30" i="90"/>
  <c r="C22" i="75"/>
  <c r="R26" i="90"/>
  <c r="Q16" i="93"/>
  <c r="R26" i="112"/>
  <c r="Q33" i="93"/>
  <c r="R30" i="104"/>
  <c r="R30" i="86"/>
  <c r="R16" i="83"/>
  <c r="Q20" i="104"/>
  <c r="Q38" i="106"/>
  <c r="R39" i="82"/>
  <c r="R21" i="86"/>
  <c r="D247" i="48"/>
  <c r="B35" i="16"/>
  <c r="C222" i="48"/>
  <c r="C244" i="48"/>
  <c r="B251" i="48"/>
  <c r="C37" i="16"/>
  <c r="C104" i="48"/>
  <c r="C9" i="16"/>
  <c r="Q63" i="111"/>
  <c r="Q63" i="110"/>
  <c r="Q61" i="115"/>
  <c r="Q61" i="113"/>
  <c r="Q61" i="114"/>
  <c r="Q61" i="97"/>
  <c r="Q61" i="96"/>
  <c r="Q61" i="92"/>
  <c r="Q61" i="95"/>
  <c r="Q61" i="109"/>
  <c r="Q61" i="83"/>
  <c r="Q61" i="104"/>
  <c r="Q61" i="106"/>
  <c r="Q61" i="81"/>
  <c r="Q61" i="80"/>
  <c r="Q61" i="88"/>
  <c r="Q61" i="85"/>
  <c r="Q61" i="84"/>
  <c r="Q61" i="105"/>
  <c r="Q61" i="107"/>
  <c r="Q61" i="82"/>
  <c r="Q61" i="87"/>
  <c r="Q61" i="86"/>
  <c r="B2" i="16"/>
  <c r="P49" i="15"/>
  <c r="D18" i="75"/>
  <c r="S42" i="89"/>
  <c r="AC115" i="48" s="1"/>
  <c r="S38" i="90"/>
  <c r="AH109" i="48" s="1"/>
  <c r="B8" i="75"/>
  <c r="B104" i="48"/>
  <c r="B9" i="16"/>
  <c r="D8" i="16"/>
  <c r="R62" i="97"/>
  <c r="R62" i="114"/>
  <c r="R62" i="92"/>
  <c r="R62" i="95"/>
  <c r="R64" i="111"/>
  <c r="R64" i="110"/>
  <c r="R62" i="115"/>
  <c r="R62" i="113"/>
  <c r="R62" i="96"/>
  <c r="R62" i="109"/>
  <c r="R62" i="83"/>
  <c r="R62" i="82"/>
  <c r="R62" i="84"/>
  <c r="R62" i="85"/>
  <c r="R62" i="104"/>
  <c r="R62" i="80"/>
  <c r="R62" i="105"/>
  <c r="R62" i="87"/>
  <c r="R62" i="106"/>
  <c r="R62" i="88"/>
  <c r="R62" i="107"/>
  <c r="R62" i="86"/>
  <c r="R62" i="81"/>
  <c r="P61" i="96"/>
  <c r="P61" i="92"/>
  <c r="P61" i="97"/>
  <c r="P63" i="111"/>
  <c r="P63" i="110"/>
  <c r="P61" i="115"/>
  <c r="P61" i="113"/>
  <c r="P61" i="114"/>
  <c r="P61" i="95"/>
  <c r="P61" i="80"/>
  <c r="P61" i="88"/>
  <c r="P61" i="82"/>
  <c r="P61" i="104"/>
  <c r="P61" i="109"/>
  <c r="P61" i="83"/>
  <c r="P61" i="84"/>
  <c r="P61" i="105"/>
  <c r="P61" i="107"/>
  <c r="P61" i="81"/>
  <c r="P61" i="85"/>
  <c r="P61" i="87"/>
  <c r="P61" i="86"/>
  <c r="P61" i="106"/>
  <c r="S39" i="90"/>
  <c r="D21" i="75"/>
  <c r="D43" i="106"/>
  <c r="D43" i="88"/>
  <c r="D43" i="86"/>
  <c r="D43" i="80"/>
  <c r="D41" i="81"/>
  <c r="D41" i="82"/>
  <c r="D41" i="84"/>
  <c r="Q64" i="111"/>
  <c r="Q64" i="110"/>
  <c r="Q62" i="115"/>
  <c r="Q62" i="113"/>
  <c r="Q62" i="97"/>
  <c r="Q62" i="96"/>
  <c r="Q62" i="114"/>
  <c r="Q62" i="92"/>
  <c r="Q62" i="95"/>
  <c r="Q62" i="84"/>
  <c r="Q62" i="85"/>
  <c r="Q62" i="104"/>
  <c r="Q62" i="80"/>
  <c r="Q62" i="105"/>
  <c r="Q62" i="87"/>
  <c r="Q62" i="106"/>
  <c r="Q62" i="88"/>
  <c r="Q62" i="107"/>
  <c r="Q62" i="86"/>
  <c r="Q62" i="81"/>
  <c r="Q62" i="82"/>
  <c r="Q62" i="109"/>
  <c r="Q62" i="83"/>
  <c r="L21" i="3"/>
  <c r="N55" i="15"/>
  <c r="D28" i="75"/>
  <c r="D37" i="16"/>
  <c r="S52" i="112"/>
  <c r="AI59" i="48" s="1"/>
  <c r="C32" i="75"/>
  <c r="B25" i="16"/>
  <c r="S37" i="90"/>
  <c r="C243" i="48"/>
  <c r="B16" i="16"/>
  <c r="D9" i="16"/>
  <c r="D104" i="48"/>
  <c r="P62" i="96"/>
  <c r="P64" i="111"/>
  <c r="P64" i="110"/>
  <c r="P62" i="115"/>
  <c r="P62" i="113"/>
  <c r="P62" i="114"/>
  <c r="P62" i="92"/>
  <c r="P62" i="95"/>
  <c r="P62" i="97"/>
  <c r="P62" i="84"/>
  <c r="P62" i="85"/>
  <c r="P62" i="104"/>
  <c r="P62" i="80"/>
  <c r="P62" i="105"/>
  <c r="P62" i="87"/>
  <c r="P62" i="106"/>
  <c r="P62" i="88"/>
  <c r="P62" i="107"/>
  <c r="P62" i="86"/>
  <c r="P62" i="81"/>
  <c r="P62" i="109"/>
  <c r="P62" i="83"/>
  <c r="P62" i="82"/>
  <c r="D7" i="16"/>
  <c r="R61" i="97"/>
  <c r="R61" i="114"/>
  <c r="R61" i="95"/>
  <c r="R63" i="111"/>
  <c r="R63" i="110"/>
  <c r="R61" i="115"/>
  <c r="R61" i="113"/>
  <c r="R61" i="92"/>
  <c r="R61" i="96"/>
  <c r="R61" i="85"/>
  <c r="R61" i="87"/>
  <c r="R61" i="86"/>
  <c r="R61" i="82"/>
  <c r="R61" i="105"/>
  <c r="R61" i="104"/>
  <c r="R61" i="106"/>
  <c r="R61" i="81"/>
  <c r="R61" i="80"/>
  <c r="R61" i="88"/>
  <c r="R61" i="109"/>
  <c r="R61" i="83"/>
  <c r="R61" i="84"/>
  <c r="R61" i="107"/>
  <c r="Y45" i="48"/>
  <c r="S75" i="107"/>
  <c r="Y55" i="48" s="1"/>
  <c r="S62" i="107"/>
  <c r="S62" i="106"/>
  <c r="S62" i="105"/>
  <c r="U103" i="48" s="1"/>
  <c r="S62" i="104"/>
  <c r="Q92" i="48"/>
  <c r="S62" i="84"/>
  <c r="X91" i="48"/>
  <c r="S62" i="88"/>
  <c r="P91" i="48"/>
  <c r="S62" i="81"/>
  <c r="S64" i="111"/>
  <c r="N92" i="48"/>
  <c r="N93" i="48"/>
  <c r="S62" i="83"/>
  <c r="BD248" i="48"/>
  <c r="V92" i="48"/>
  <c r="S62" i="87"/>
  <c r="T31" i="48"/>
  <c r="F31" i="48" s="1"/>
  <c r="L31" i="48" s="1"/>
  <c r="T91" i="48"/>
  <c r="S62" i="80"/>
  <c r="R91" i="48"/>
  <c r="S62" i="85"/>
  <c r="Z92" i="48"/>
  <c r="S62" i="86"/>
  <c r="O91" i="48"/>
  <c r="S62" i="82"/>
  <c r="C213" i="48"/>
  <c r="C16" i="16"/>
  <c r="Q29" i="105"/>
  <c r="C78" i="48"/>
  <c r="Q33" i="88"/>
  <c r="U44" i="48"/>
  <c r="P22" i="97"/>
  <c r="Q29" i="86"/>
  <c r="Q29" i="85"/>
  <c r="Q29" i="108"/>
  <c r="R30" i="105"/>
  <c r="R28" i="84"/>
  <c r="Q20" i="82"/>
  <c r="R17" i="110"/>
  <c r="Q20" i="93"/>
  <c r="Q20" i="89"/>
  <c r="Q20" i="106"/>
  <c r="C69" i="48"/>
  <c r="R30" i="112"/>
  <c r="R21" i="111"/>
  <c r="B5" i="75"/>
  <c r="S42" i="112"/>
  <c r="AI115" i="48" s="1"/>
  <c r="S78" i="106"/>
  <c r="W58" i="48" s="1"/>
  <c r="AD45" i="48"/>
  <c r="S52" i="108"/>
  <c r="AD59" i="48" s="1"/>
  <c r="C16" i="75"/>
  <c r="C235" i="48"/>
  <c r="P33" i="85"/>
  <c r="P33" i="86"/>
  <c r="P33" i="106"/>
  <c r="P33" i="80"/>
  <c r="Q19" i="95"/>
  <c r="Q20" i="107"/>
  <c r="Q20" i="88"/>
  <c r="Q20" i="108"/>
  <c r="Q20" i="86"/>
  <c r="Q29" i="112"/>
  <c r="Q20" i="105"/>
  <c r="S36" i="112"/>
  <c r="AI107" i="48" s="1"/>
  <c r="B4" i="75"/>
  <c r="R17" i="86"/>
  <c r="R17" i="93"/>
  <c r="R17" i="108"/>
  <c r="R17" i="88"/>
  <c r="D74" i="48"/>
  <c r="Q28" i="108"/>
  <c r="R21" i="108"/>
  <c r="R17" i="107"/>
  <c r="D66" i="48"/>
  <c r="R17" i="89"/>
  <c r="R25" i="85"/>
  <c r="Q28" i="82"/>
  <c r="Q31" i="83"/>
  <c r="R21" i="89"/>
  <c r="R17" i="87"/>
  <c r="Q29" i="93"/>
  <c r="Q29" i="82"/>
  <c r="R30" i="87"/>
  <c r="R30" i="82"/>
  <c r="R17" i="82"/>
  <c r="Q19" i="84"/>
  <c r="Q20" i="87"/>
  <c r="R21" i="104"/>
  <c r="R21" i="81"/>
  <c r="S42" i="93"/>
  <c r="AB113" i="48" s="1"/>
  <c r="S41" i="108"/>
  <c r="AD109" i="48" s="1"/>
  <c r="AD44" i="48"/>
  <c r="D40" i="16"/>
  <c r="D269" i="48"/>
  <c r="Q35" i="80"/>
  <c r="Q33" i="84"/>
  <c r="Q35" i="108"/>
  <c r="Q33" i="110"/>
  <c r="P32" i="95"/>
  <c r="P34" i="107"/>
  <c r="P34" i="93"/>
  <c r="P34" i="86"/>
  <c r="P34" i="80"/>
  <c r="P12" i="95"/>
  <c r="P13" i="88"/>
  <c r="P12" i="113"/>
  <c r="P12" i="115"/>
  <c r="P22" i="90"/>
  <c r="P13" i="85"/>
  <c r="P13" i="86"/>
  <c r="P12" i="114"/>
  <c r="R75" i="106"/>
  <c r="R75" i="107"/>
  <c r="R30" i="107"/>
  <c r="R30" i="93"/>
  <c r="R30" i="106"/>
  <c r="R30" i="108"/>
  <c r="D79" i="48"/>
  <c r="R21" i="107"/>
  <c r="R21" i="80"/>
  <c r="R21" i="106"/>
  <c r="R21" i="93"/>
  <c r="D70" i="48"/>
  <c r="R17" i="81"/>
  <c r="R17" i="106"/>
  <c r="R17" i="85"/>
  <c r="R17" i="104"/>
  <c r="R34" i="112"/>
  <c r="Q28" i="89"/>
  <c r="G12" i="101"/>
  <c r="S42" i="90"/>
  <c r="AH115" i="48" s="1"/>
  <c r="Q27" i="110"/>
  <c r="Q29" i="104"/>
  <c r="Q29" i="81"/>
  <c r="R28" i="111"/>
  <c r="R30" i="85"/>
  <c r="R30" i="80"/>
  <c r="Q20" i="81"/>
  <c r="Q29" i="90"/>
  <c r="Q20" i="111"/>
  <c r="R21" i="88"/>
  <c r="R21" i="85"/>
  <c r="Q29" i="88"/>
  <c r="S41" i="93"/>
  <c r="AB107" i="48" s="1"/>
  <c r="AD43" i="48"/>
  <c r="S50" i="108"/>
  <c r="AD57" i="48" s="1"/>
  <c r="AX195" i="48"/>
  <c r="F195" i="48" s="1"/>
  <c r="L195" i="48" s="1"/>
  <c r="G12" i="102"/>
  <c r="Q77" i="95"/>
  <c r="Q78" i="114"/>
  <c r="Q69" i="95"/>
  <c r="Q70" i="114"/>
  <c r="R36" i="95"/>
  <c r="R36" i="110"/>
  <c r="Q19" i="82"/>
  <c r="Q28" i="112"/>
  <c r="R16" i="81"/>
  <c r="R16" i="107"/>
  <c r="R16" i="93"/>
  <c r="R16" i="87"/>
  <c r="R25" i="112"/>
  <c r="R16" i="111"/>
  <c r="J705" i="9"/>
  <c r="K252" i="48" s="1"/>
  <c r="B705" i="9"/>
  <c r="C237" i="48"/>
  <c r="C5" i="75"/>
  <c r="D3" i="75"/>
  <c r="D218" i="48"/>
  <c r="Q75" i="95"/>
  <c r="Q76" i="96"/>
  <c r="Q70" i="87"/>
  <c r="Q72" i="95"/>
  <c r="Q72" i="80"/>
  <c r="C101" i="48"/>
  <c r="C6" i="16"/>
  <c r="R34" i="85"/>
  <c r="R32" i="111"/>
  <c r="R34" i="88"/>
  <c r="P28" i="95"/>
  <c r="P30" i="104"/>
  <c r="P30" i="85"/>
  <c r="Q21" i="95"/>
  <c r="Q22" i="106"/>
  <c r="Q22" i="107"/>
  <c r="Q22" i="81"/>
  <c r="Q22" i="88"/>
  <c r="Q31" i="112"/>
  <c r="Q22" i="89"/>
  <c r="Q22" i="80"/>
  <c r="Q22" i="110"/>
  <c r="C71" i="48"/>
  <c r="Q31" i="90"/>
  <c r="Q22" i="108"/>
  <c r="Q21" i="84"/>
  <c r="R13" i="86"/>
  <c r="D62" i="48"/>
  <c r="R13" i="82"/>
  <c r="R13" i="89"/>
  <c r="D60" i="48"/>
  <c r="R85" i="111"/>
  <c r="P77" i="107"/>
  <c r="P82" i="111"/>
  <c r="P50" i="108"/>
  <c r="P83" i="113"/>
  <c r="P81" i="113"/>
  <c r="B55" i="48"/>
  <c r="P75" i="107"/>
  <c r="P81" i="115"/>
  <c r="C34" i="75"/>
  <c r="R23" i="108"/>
  <c r="R19" i="104"/>
  <c r="P21" i="108"/>
  <c r="D220" i="48"/>
  <c r="P15" i="107"/>
  <c r="Q22" i="85"/>
  <c r="B263" i="48"/>
  <c r="J713" i="9"/>
  <c r="K260" i="48" s="1"/>
  <c r="I705" i="9"/>
  <c r="J252" i="48" s="1"/>
  <c r="D704" i="9"/>
  <c r="E251" i="48" s="1"/>
  <c r="BD251" i="48" s="1"/>
  <c r="B241" i="48"/>
  <c r="B26" i="75"/>
  <c r="B24" i="75"/>
  <c r="B210" i="48"/>
  <c r="P72" i="95"/>
  <c r="P72" i="109"/>
  <c r="P72" i="105"/>
  <c r="B128" i="48"/>
  <c r="P73" i="114"/>
  <c r="B6" i="16"/>
  <c r="B101" i="48"/>
  <c r="B99" i="48"/>
  <c r="B4" i="16"/>
  <c r="R33" i="95"/>
  <c r="D84" i="48"/>
  <c r="R35" i="106"/>
  <c r="Q31" i="110"/>
  <c r="Q33" i="85"/>
  <c r="Q33" i="105"/>
  <c r="Q33" i="89"/>
  <c r="Q31" i="111"/>
  <c r="Q33" i="82"/>
  <c r="Q33" i="86"/>
  <c r="Q33" i="106"/>
  <c r="Q33" i="81"/>
  <c r="P31" i="105"/>
  <c r="P31" i="87"/>
  <c r="P31" i="89"/>
  <c r="P31" i="80"/>
  <c r="R26" i="95"/>
  <c r="R28" i="86"/>
  <c r="R28" i="107"/>
  <c r="R28" i="81"/>
  <c r="R28" i="87"/>
  <c r="R28" i="105"/>
  <c r="D77" i="48"/>
  <c r="R28" i="108"/>
  <c r="P21" i="95"/>
  <c r="P22" i="85"/>
  <c r="B71" i="48"/>
  <c r="P22" i="104"/>
  <c r="P22" i="87"/>
  <c r="P22" i="111"/>
  <c r="P22" i="110"/>
  <c r="P22" i="81"/>
  <c r="P22" i="86"/>
  <c r="P18" i="110"/>
  <c r="P18" i="82"/>
  <c r="P18" i="81"/>
  <c r="P18" i="106"/>
  <c r="P17" i="84"/>
  <c r="P18" i="89"/>
  <c r="P18" i="111"/>
  <c r="P18" i="108"/>
  <c r="Q13" i="108"/>
  <c r="C62" i="48"/>
  <c r="Q13" i="88"/>
  <c r="Q13" i="87"/>
  <c r="Q13" i="104"/>
  <c r="Q13" i="86"/>
  <c r="Q12" i="96"/>
  <c r="Q12" i="113"/>
  <c r="Q13" i="81"/>
  <c r="Q22" i="90"/>
  <c r="Q22" i="112"/>
  <c r="Q80" i="106"/>
  <c r="Q80" i="107"/>
  <c r="Q86" i="115"/>
  <c r="Q80" i="105"/>
  <c r="Q53" i="112"/>
  <c r="P51" i="108"/>
  <c r="P83" i="111"/>
  <c r="P78" i="107"/>
  <c r="P71" i="104"/>
  <c r="P84" i="114"/>
  <c r="P84" i="113"/>
  <c r="B58" i="48"/>
  <c r="D103" i="48"/>
  <c r="C264" i="48"/>
  <c r="Q33" i="104"/>
  <c r="P22" i="108"/>
  <c r="Q22" i="93"/>
  <c r="P18" i="86"/>
  <c r="Q19" i="111"/>
  <c r="P22" i="103"/>
  <c r="B3" i="16"/>
  <c r="Q12" i="97"/>
  <c r="Q12" i="115"/>
  <c r="B222" i="48"/>
  <c r="P19" i="103"/>
  <c r="P14" i="96"/>
  <c r="D219" i="48"/>
  <c r="Q76" i="114"/>
  <c r="C236" i="48"/>
  <c r="C11" i="75"/>
  <c r="R76" i="95"/>
  <c r="R71" i="106"/>
  <c r="P35" i="111"/>
  <c r="P37" i="104"/>
  <c r="P36" i="89"/>
  <c r="P34" i="84"/>
  <c r="P36" i="80"/>
  <c r="R31" i="111"/>
  <c r="R33" i="105"/>
  <c r="R33" i="88"/>
  <c r="R33" i="86"/>
  <c r="Q31" i="105"/>
  <c r="Q29" i="84"/>
  <c r="Q31" i="82"/>
  <c r="Q31" i="80"/>
  <c r="R25" i="95"/>
  <c r="R27" i="88"/>
  <c r="D76" i="48"/>
  <c r="R27" i="81"/>
  <c r="R27" i="107"/>
  <c r="R27" i="104"/>
  <c r="R27" i="82"/>
  <c r="R27" i="87"/>
  <c r="R27" i="80"/>
  <c r="R27" i="106"/>
  <c r="P25" i="86"/>
  <c r="P25" i="89"/>
  <c r="B74" i="48"/>
  <c r="P25" i="104"/>
  <c r="P34" i="112"/>
  <c r="P25" i="110"/>
  <c r="P25" i="85"/>
  <c r="P25" i="106"/>
  <c r="P25" i="88"/>
  <c r="P25" i="111"/>
  <c r="P25" i="105"/>
  <c r="R23" i="85"/>
  <c r="R23" i="88"/>
  <c r="R23" i="93"/>
  <c r="R23" i="110"/>
  <c r="P20" i="95"/>
  <c r="P21" i="93"/>
  <c r="P21" i="107"/>
  <c r="P21" i="89"/>
  <c r="P21" i="87"/>
  <c r="P21" i="111"/>
  <c r="P21" i="106"/>
  <c r="P21" i="81"/>
  <c r="P21" i="80"/>
  <c r="Q17" i="95"/>
  <c r="Q18" i="81"/>
  <c r="Q18" i="93"/>
  <c r="Q18" i="89"/>
  <c r="Q17" i="84"/>
  <c r="C67" i="48"/>
  <c r="Q18" i="80"/>
  <c r="Q18" i="107"/>
  <c r="Q27" i="90"/>
  <c r="Q18" i="105"/>
  <c r="Q18" i="82"/>
  <c r="P17" i="87"/>
  <c r="P26" i="90"/>
  <c r="P17" i="107"/>
  <c r="P17" i="85"/>
  <c r="P17" i="108"/>
  <c r="P17" i="81"/>
  <c r="P17" i="82"/>
  <c r="P26" i="112"/>
  <c r="P17" i="110"/>
  <c r="P17" i="86"/>
  <c r="P17" i="105"/>
  <c r="P17" i="104"/>
  <c r="P17" i="111"/>
  <c r="P17" i="80"/>
  <c r="P15" i="106"/>
  <c r="P14" i="113"/>
  <c r="P15" i="80"/>
  <c r="P15" i="89"/>
  <c r="P15" i="104"/>
  <c r="P15" i="110"/>
  <c r="P15" i="85"/>
  <c r="P15" i="93"/>
  <c r="P24" i="112"/>
  <c r="P14" i="115"/>
  <c r="P24" i="90"/>
  <c r="Q85" i="109"/>
  <c r="Q85" i="115"/>
  <c r="Q79" i="105"/>
  <c r="Q85" i="114"/>
  <c r="C59" i="48"/>
  <c r="Q51" i="112"/>
  <c r="Q84" i="109"/>
  <c r="Q78" i="107"/>
  <c r="Q78" i="106"/>
  <c r="Q84" i="115"/>
  <c r="Q78" i="105"/>
  <c r="Q51" i="108"/>
  <c r="P69" i="104"/>
  <c r="P82" i="113"/>
  <c r="P49" i="108"/>
  <c r="P82" i="114"/>
  <c r="B56" i="48"/>
  <c r="P49" i="112"/>
  <c r="P76" i="106"/>
  <c r="P76" i="105"/>
  <c r="P82" i="115"/>
  <c r="P82" i="109"/>
  <c r="Q75" i="114"/>
  <c r="R23" i="81"/>
  <c r="R32" i="112"/>
  <c r="P30" i="93"/>
  <c r="R34" i="82"/>
  <c r="R22" i="90"/>
  <c r="Q83" i="111"/>
  <c r="Q79" i="107"/>
  <c r="Q79" i="106"/>
  <c r="P21" i="104"/>
  <c r="P25" i="108"/>
  <c r="Q18" i="106"/>
  <c r="Q22" i="82"/>
  <c r="R27" i="93"/>
  <c r="P76" i="107"/>
  <c r="P81" i="111"/>
  <c r="D714" i="9"/>
  <c r="E261" i="48" s="1"/>
  <c r="BD261" i="48" s="1"/>
  <c r="B713" i="9"/>
  <c r="C31" i="16" s="1"/>
  <c r="D712" i="9"/>
  <c r="E259" i="48" s="1"/>
  <c r="BD259" i="48" s="1"/>
  <c r="J711" i="9"/>
  <c r="K258" i="48" s="1"/>
  <c r="A705" i="9"/>
  <c r="B20" i="75"/>
  <c r="B230" i="48"/>
  <c r="D227" i="48"/>
  <c r="D17" i="75"/>
  <c r="P20" i="103"/>
  <c r="C205" i="48"/>
  <c r="R78" i="114"/>
  <c r="R72" i="87"/>
  <c r="Q76" i="95"/>
  <c r="Q71" i="87"/>
  <c r="Q76" i="109"/>
  <c r="Q77" i="114"/>
  <c r="Q77" i="96"/>
  <c r="P75" i="95"/>
  <c r="P70" i="87"/>
  <c r="P74" i="95"/>
  <c r="P69" i="87"/>
  <c r="P75" i="114"/>
  <c r="P75" i="96"/>
  <c r="R70" i="95"/>
  <c r="R71" i="114"/>
  <c r="R71" i="96"/>
  <c r="R69" i="95"/>
  <c r="R70" i="114"/>
  <c r="D125" i="48"/>
  <c r="R69" i="80"/>
  <c r="P37" i="95"/>
  <c r="P39" i="106"/>
  <c r="P39" i="80"/>
  <c r="P39" i="107"/>
  <c r="P39" i="86"/>
  <c r="P39" i="105"/>
  <c r="P37" i="110"/>
  <c r="P39" i="89"/>
  <c r="P39" i="82"/>
  <c r="Q34" i="80"/>
  <c r="Q34" i="87"/>
  <c r="Q34" i="81"/>
  <c r="C83" i="48"/>
  <c r="Q34" i="108"/>
  <c r="Q32" i="110"/>
  <c r="Q34" i="107"/>
  <c r="Q34" i="93"/>
  <c r="Q34" i="89"/>
  <c r="Q34" i="82"/>
  <c r="Q30" i="95"/>
  <c r="Q32" i="86"/>
  <c r="Q30" i="111"/>
  <c r="Q32" i="108"/>
  <c r="Q32" i="106"/>
  <c r="D78" i="48"/>
  <c r="R29" i="81"/>
  <c r="R27" i="111"/>
  <c r="Q25" i="95"/>
  <c r="C76" i="48"/>
  <c r="Q27" i="80"/>
  <c r="Q27" i="108"/>
  <c r="Q27" i="104"/>
  <c r="Q27" i="93"/>
  <c r="Q27" i="106"/>
  <c r="Q27" i="89"/>
  <c r="Q27" i="82"/>
  <c r="R24" i="107"/>
  <c r="R24" i="108"/>
  <c r="D73" i="48"/>
  <c r="R24" i="110"/>
  <c r="R24" i="106"/>
  <c r="R24" i="80"/>
  <c r="R24" i="104"/>
  <c r="R24" i="105"/>
  <c r="R24" i="111"/>
  <c r="R19" i="84"/>
  <c r="R29" i="112"/>
  <c r="R29" i="90"/>
  <c r="R20" i="89"/>
  <c r="D69" i="48"/>
  <c r="R20" i="110"/>
  <c r="R20" i="106"/>
  <c r="R20" i="105"/>
  <c r="R20" i="108"/>
  <c r="R20" i="107"/>
  <c r="R20" i="104"/>
  <c r="Q19" i="106"/>
  <c r="Q19" i="86"/>
  <c r="Q19" i="81"/>
  <c r="Q19" i="87"/>
  <c r="Q19" i="88"/>
  <c r="C68" i="48"/>
  <c r="Q18" i="84"/>
  <c r="Q19" i="105"/>
  <c r="Q19" i="93"/>
  <c r="P84" i="111"/>
  <c r="P85" i="115"/>
  <c r="R67" i="104"/>
  <c r="D54" i="48"/>
  <c r="R74" i="106"/>
  <c r="R80" i="115"/>
  <c r="R79" i="111"/>
  <c r="R74" i="107"/>
  <c r="R47" i="108"/>
  <c r="R80" i="113"/>
  <c r="B14" i="16"/>
  <c r="D72" i="48"/>
  <c r="R23" i="80"/>
  <c r="R23" i="104"/>
  <c r="P30" i="80"/>
  <c r="Q32" i="85"/>
  <c r="Q32" i="105"/>
  <c r="C13" i="16"/>
  <c r="Q31" i="84"/>
  <c r="R24" i="82"/>
  <c r="R33" i="90"/>
  <c r="R24" i="86"/>
  <c r="C82" i="48"/>
  <c r="R34" i="107"/>
  <c r="P22" i="82"/>
  <c r="P22" i="107"/>
  <c r="R28" i="88"/>
  <c r="R35" i="93"/>
  <c r="D221" i="48"/>
  <c r="Q84" i="113"/>
  <c r="Q84" i="111"/>
  <c r="Q85" i="113"/>
  <c r="P30" i="90"/>
  <c r="P21" i="105"/>
  <c r="P30" i="112"/>
  <c r="Q27" i="86"/>
  <c r="D226" i="48"/>
  <c r="P25" i="81"/>
  <c r="P34" i="90"/>
  <c r="P78" i="105"/>
  <c r="P15" i="86"/>
  <c r="R27" i="105"/>
  <c r="P17" i="106"/>
  <c r="Q18" i="87"/>
  <c r="P39" i="87"/>
  <c r="R70" i="109"/>
  <c r="R23" i="82"/>
  <c r="R23" i="107"/>
  <c r="R23" i="86"/>
  <c r="R23" i="87"/>
  <c r="P30" i="82"/>
  <c r="Q32" i="88"/>
  <c r="Q32" i="87"/>
  <c r="Q32" i="80"/>
  <c r="R24" i="88"/>
  <c r="R24" i="81"/>
  <c r="Q29" i="110"/>
  <c r="Q33" i="108"/>
  <c r="Q33" i="80"/>
  <c r="P72" i="80"/>
  <c r="Q72" i="104"/>
  <c r="R20" i="82"/>
  <c r="P31" i="112"/>
  <c r="P31" i="90"/>
  <c r="P22" i="93"/>
  <c r="R28" i="93"/>
  <c r="R28" i="82"/>
  <c r="R35" i="86"/>
  <c r="D25" i="16"/>
  <c r="Q84" i="114"/>
  <c r="Q52" i="112"/>
  <c r="P22" i="106"/>
  <c r="R20" i="88"/>
  <c r="P20" i="84"/>
  <c r="P21" i="82"/>
  <c r="Q27" i="85"/>
  <c r="Q27" i="105"/>
  <c r="P36" i="93"/>
  <c r="P21" i="103"/>
  <c r="P16" i="111"/>
  <c r="P25" i="82"/>
  <c r="B12" i="16"/>
  <c r="P84" i="115"/>
  <c r="Q22" i="104"/>
  <c r="Q18" i="86"/>
  <c r="B66" i="48"/>
  <c r="Q27" i="112"/>
  <c r="Q18" i="88"/>
  <c r="P39" i="81"/>
  <c r="Q34" i="85"/>
  <c r="R74" i="105"/>
  <c r="Q22" i="87"/>
  <c r="Q22" i="86"/>
  <c r="P25" i="80"/>
  <c r="R27" i="85"/>
  <c r="P18" i="107"/>
  <c r="Q19" i="80"/>
  <c r="C130" i="48"/>
  <c r="Q19" i="89"/>
  <c r="Q86" i="114"/>
  <c r="Q13" i="89"/>
  <c r="R33" i="112"/>
  <c r="P69" i="106"/>
  <c r="P75" i="105"/>
  <c r="J714" i="9"/>
  <c r="K261" i="48" s="1"/>
  <c r="C714" i="9"/>
  <c r="D261" i="48" s="1"/>
  <c r="I713" i="9"/>
  <c r="J260" i="48" s="1"/>
  <c r="A713" i="9"/>
  <c r="B31" i="16" s="1"/>
  <c r="C712" i="9"/>
  <c r="D30" i="16" s="1"/>
  <c r="I711" i="9"/>
  <c r="J258" i="48" s="1"/>
  <c r="A711" i="9"/>
  <c r="B258" i="48" s="1"/>
  <c r="D263" i="48"/>
  <c r="I714" i="9"/>
  <c r="J261" i="48" s="1"/>
  <c r="B714" i="9"/>
  <c r="C32" i="16" s="1"/>
  <c r="D713" i="9"/>
  <c r="E260" i="48" s="1"/>
  <c r="BD260" i="48" s="1"/>
  <c r="J712" i="9"/>
  <c r="K259" i="48" s="1"/>
  <c r="B712" i="9"/>
  <c r="C259" i="48" s="1"/>
  <c r="D711" i="9"/>
  <c r="E258" i="48" s="1"/>
  <c r="BD258" i="48" s="1"/>
  <c r="D705" i="9"/>
  <c r="E252" i="48" s="1"/>
  <c r="BD252" i="48" s="1"/>
  <c r="J704" i="9"/>
  <c r="K251" i="48" s="1"/>
  <c r="C704" i="9"/>
  <c r="D23" i="16" s="1"/>
  <c r="C713" i="9"/>
  <c r="D31" i="16" s="1"/>
  <c r="I712" i="9"/>
  <c r="J259" i="48" s="1"/>
  <c r="A712" i="9"/>
  <c r="B259" i="48" s="1"/>
  <c r="C711" i="9"/>
  <c r="D258" i="48" s="1"/>
  <c r="C705" i="9"/>
  <c r="I704" i="9"/>
  <c r="J251" i="48" s="1"/>
  <c r="B704" i="9"/>
  <c r="C251" i="48" s="1"/>
  <c r="B146" i="12"/>
  <c r="L25" i="3" s="1"/>
  <c r="B216" i="12"/>
  <c r="B150" i="12"/>
  <c r="B269" i="12"/>
  <c r="B402" i="11" s="1"/>
  <c r="T6" i="15"/>
  <c r="R17" i="15" s="1"/>
  <c r="B117" i="12"/>
  <c r="B11" i="3" s="1"/>
  <c r="BD226" i="48"/>
  <c r="L89" i="48"/>
  <c r="M89" i="48" s="1"/>
  <c r="BD89" i="48"/>
  <c r="BD247" i="48"/>
  <c r="BD243" i="48"/>
  <c r="BD234" i="48"/>
  <c r="BD214" i="48"/>
  <c r="BD98" i="48"/>
  <c r="BD254" i="48"/>
  <c r="BD224" i="48"/>
  <c r="P29" i="89"/>
  <c r="P29" i="106"/>
  <c r="P27" i="110"/>
  <c r="P29" i="88"/>
  <c r="P27" i="84"/>
  <c r="P27" i="111"/>
  <c r="P29" i="81"/>
  <c r="P29" i="93"/>
  <c r="P29" i="80"/>
  <c r="P29" i="87"/>
  <c r="P29" i="104"/>
  <c r="P29" i="82"/>
  <c r="P29" i="105"/>
  <c r="B78" i="48"/>
  <c r="P29" i="108"/>
  <c r="P29" i="86"/>
  <c r="C88" i="48"/>
  <c r="Q39" i="106"/>
  <c r="Q39" i="104"/>
  <c r="Q39" i="86"/>
  <c r="Q39" i="80"/>
  <c r="P37" i="85"/>
  <c r="P37" i="82"/>
  <c r="P37" i="105"/>
  <c r="P37" i="86"/>
  <c r="R25" i="108"/>
  <c r="R34" i="90"/>
  <c r="P36" i="108"/>
  <c r="C26" i="16"/>
  <c r="P28" i="84"/>
  <c r="P30" i="105"/>
  <c r="R25" i="107"/>
  <c r="R25" i="80"/>
  <c r="Q28" i="105"/>
  <c r="Q28" i="106"/>
  <c r="Q31" i="107"/>
  <c r="R34" i="89"/>
  <c r="B85" i="48"/>
  <c r="P36" i="107"/>
  <c r="R25" i="82"/>
  <c r="R33" i="106"/>
  <c r="P37" i="89"/>
  <c r="P37" i="93"/>
  <c r="Q39" i="87"/>
  <c r="AI44" i="48"/>
  <c r="S51" i="112"/>
  <c r="AI58" i="48" s="1"/>
  <c r="C31" i="75"/>
  <c r="S40" i="90"/>
  <c r="AH113" i="48" s="1"/>
  <c r="B79" i="48"/>
  <c r="P30" i="89"/>
  <c r="P30" i="108"/>
  <c r="P28" i="111"/>
  <c r="D242" i="48"/>
  <c r="D29" i="75"/>
  <c r="R34" i="108"/>
  <c r="P74" i="107"/>
  <c r="P79" i="111"/>
  <c r="R25" i="105"/>
  <c r="R25" i="89"/>
  <c r="R25" i="88"/>
  <c r="P27" i="93"/>
  <c r="Q28" i="87"/>
  <c r="Q28" i="86"/>
  <c r="Q28" i="93"/>
  <c r="Q31" i="87"/>
  <c r="C80" i="48"/>
  <c r="Q31" i="108"/>
  <c r="R34" i="87"/>
  <c r="R34" i="105"/>
  <c r="D83" i="48"/>
  <c r="P34" i="110"/>
  <c r="P36" i="106"/>
  <c r="P36" i="81"/>
  <c r="P34" i="111"/>
  <c r="Q31" i="93"/>
  <c r="Q31" i="104"/>
  <c r="P74" i="106"/>
  <c r="Q24" i="104"/>
  <c r="R25" i="111"/>
  <c r="R31" i="110"/>
  <c r="D82" i="48"/>
  <c r="B86" i="48"/>
  <c r="P37" i="88"/>
  <c r="P37" i="106"/>
  <c r="C25" i="75"/>
  <c r="D211" i="48"/>
  <c r="Q39" i="88"/>
  <c r="S37" i="112"/>
  <c r="P16" i="95"/>
  <c r="P17" i="89"/>
  <c r="P17" i="88"/>
  <c r="P14" i="95"/>
  <c r="P15" i="88"/>
  <c r="P14" i="97"/>
  <c r="P15" i="105"/>
  <c r="P15" i="111"/>
  <c r="P14" i="114"/>
  <c r="P14" i="92"/>
  <c r="P14" i="84"/>
  <c r="P15" i="108"/>
  <c r="P83" i="109"/>
  <c r="P83" i="114"/>
  <c r="B57" i="48"/>
  <c r="C625" i="9"/>
  <c r="D203" i="48" s="1"/>
  <c r="R31" i="95"/>
  <c r="R33" i="85"/>
  <c r="R33" i="93"/>
  <c r="R33" i="87"/>
  <c r="R33" i="104"/>
  <c r="S40" i="112"/>
  <c r="AI113" i="48" s="1"/>
  <c r="P30" i="88"/>
  <c r="P28" i="110"/>
  <c r="R25" i="86"/>
  <c r="P27" i="81"/>
  <c r="Q28" i="88"/>
  <c r="Q31" i="86"/>
  <c r="Q31" i="106"/>
  <c r="R34" i="93"/>
  <c r="R32" i="110"/>
  <c r="P36" i="86"/>
  <c r="P36" i="104"/>
  <c r="Q31" i="85"/>
  <c r="P37" i="87"/>
  <c r="R33" i="108"/>
  <c r="R33" i="107"/>
  <c r="R33" i="80"/>
  <c r="P37" i="80"/>
  <c r="B11" i="75"/>
  <c r="B236" i="48"/>
  <c r="S36" i="90"/>
  <c r="AH107" i="48" s="1"/>
  <c r="P30" i="86"/>
  <c r="P30" i="87"/>
  <c r="P30" i="106"/>
  <c r="P30" i="81"/>
  <c r="P30" i="107"/>
  <c r="R34" i="80"/>
  <c r="P80" i="114"/>
  <c r="P47" i="108"/>
  <c r="R25" i="104"/>
  <c r="R25" i="87"/>
  <c r="R25" i="93"/>
  <c r="B76" i="48"/>
  <c r="Q28" i="107"/>
  <c r="C77" i="48"/>
  <c r="Q28" i="85"/>
  <c r="Q29" i="111"/>
  <c r="Q29" i="83"/>
  <c r="Q31" i="89"/>
  <c r="R32" i="84"/>
  <c r="R34" i="81"/>
  <c r="R34" i="86"/>
  <c r="P36" i="87"/>
  <c r="P36" i="82"/>
  <c r="P36" i="85"/>
  <c r="Q31" i="88"/>
  <c r="D207" i="48"/>
  <c r="S38" i="112"/>
  <c r="AI109" i="48" s="1"/>
  <c r="P27" i="106"/>
  <c r="R25" i="81"/>
  <c r="R31" i="84"/>
  <c r="R33" i="89"/>
  <c r="R31" i="83"/>
  <c r="P37" i="108"/>
  <c r="P35" i="110"/>
  <c r="R34" i="106"/>
  <c r="B21" i="75"/>
  <c r="Q39" i="85"/>
  <c r="Q39" i="105"/>
  <c r="R74" i="95"/>
  <c r="R69" i="106"/>
  <c r="R72" i="95"/>
  <c r="R72" i="109"/>
  <c r="R39" i="105"/>
  <c r="R39" i="85"/>
  <c r="R39" i="104"/>
  <c r="D88" i="48"/>
  <c r="Q36" i="95"/>
  <c r="Q36" i="110"/>
  <c r="Q36" i="111"/>
  <c r="Q38" i="108"/>
  <c r="Q34" i="95"/>
  <c r="Q34" i="110"/>
  <c r="Q36" i="80"/>
  <c r="Q36" i="88"/>
  <c r="Q32" i="112"/>
  <c r="Q22" i="115"/>
  <c r="Q18" i="95"/>
  <c r="Q19" i="104"/>
  <c r="Q28" i="90"/>
  <c r="Q19" i="85"/>
  <c r="Q19" i="107"/>
  <c r="Q19" i="108"/>
  <c r="P18" i="93"/>
  <c r="P27" i="112"/>
  <c r="P18" i="104"/>
  <c r="P18" i="80"/>
  <c r="Q12" i="95"/>
  <c r="Q13" i="80"/>
  <c r="Q13" i="93"/>
  <c r="Q13" i="105"/>
  <c r="Q13" i="85"/>
  <c r="Q13" i="107"/>
  <c r="Q13" i="82"/>
  <c r="Q73" i="104"/>
  <c r="C60" i="48"/>
  <c r="Q85" i="111"/>
  <c r="Q86" i="109"/>
  <c r="S42" i="108"/>
  <c r="AD115" i="48" s="1"/>
  <c r="R81" i="109"/>
  <c r="R48" i="108"/>
  <c r="S77" i="107"/>
  <c r="Y57" i="48" s="1"/>
  <c r="Y43" i="48"/>
  <c r="B625" i="9"/>
  <c r="P18" i="103" s="1"/>
  <c r="D625" i="9"/>
  <c r="E203" i="48" s="1"/>
  <c r="BD203" i="48" s="1"/>
  <c r="BD246" i="48"/>
  <c r="BD245" i="48"/>
  <c r="C233" i="48"/>
  <c r="C13" i="75"/>
  <c r="C5" i="16"/>
  <c r="C100" i="48"/>
  <c r="B13" i="16"/>
  <c r="B211" i="48"/>
  <c r="Q15" i="89"/>
  <c r="Q24" i="90"/>
  <c r="Q15" i="88"/>
  <c r="Q15" i="104"/>
  <c r="Q14" i="97"/>
  <c r="Q24" i="112"/>
  <c r="Q14" i="84"/>
  <c r="C28" i="75"/>
  <c r="C240" i="48"/>
  <c r="B28" i="75"/>
  <c r="B33" i="75"/>
  <c r="C40" i="16"/>
  <c r="C128" i="48"/>
  <c r="Q72" i="105"/>
  <c r="R71" i="87"/>
  <c r="D131" i="48"/>
  <c r="R72" i="106"/>
  <c r="D204" i="48"/>
  <c r="P73" i="96"/>
  <c r="D11" i="75"/>
  <c r="C10" i="75"/>
  <c r="B233" i="48"/>
  <c r="D222" i="48"/>
  <c r="C239" i="48"/>
  <c r="D223" i="48"/>
  <c r="D16" i="16"/>
  <c r="C12" i="75"/>
  <c r="C230" i="48"/>
  <c r="Q72" i="109"/>
  <c r="B26" i="16"/>
  <c r="R77" i="96"/>
  <c r="D239" i="48"/>
  <c r="R73" i="114"/>
  <c r="B34" i="75"/>
  <c r="C98" i="48"/>
  <c r="B34" i="16"/>
  <c r="Q73" i="96"/>
  <c r="R76" i="109"/>
  <c r="C36" i="16"/>
  <c r="C219" i="48"/>
  <c r="BD221" i="48"/>
  <c r="F210" i="48"/>
  <c r="BD210" i="48" s="1"/>
  <c r="BD238" i="48"/>
  <c r="BD236" i="48"/>
  <c r="BD233" i="48"/>
  <c r="BD222" i="48"/>
  <c r="BD207" i="48"/>
  <c r="BD204" i="48"/>
  <c r="L227" i="48"/>
  <c r="BD227" i="48"/>
  <c r="BD235" i="48"/>
  <c r="L146" i="48"/>
  <c r="M146" i="48" s="1"/>
  <c r="BD218" i="48"/>
  <c r="F123" i="48"/>
  <c r="L123" i="48" s="1"/>
  <c r="BD240" i="48"/>
  <c r="F27" i="48"/>
  <c r="L230" i="48"/>
  <c r="BD230" i="48"/>
  <c r="L223" i="48"/>
  <c r="BD223" i="48"/>
  <c r="BD220" i="48"/>
  <c r="BD242" i="48"/>
  <c r="L116" i="48"/>
  <c r="M116" i="48" s="1"/>
  <c r="BD158" i="48"/>
  <c r="L194" i="48"/>
  <c r="M194" i="48" s="1"/>
  <c r="BD244" i="48"/>
  <c r="BD206" i="48"/>
  <c r="BD229" i="48"/>
  <c r="BD133" i="48"/>
  <c r="F78" i="48"/>
  <c r="BD78" i="48" s="1"/>
  <c r="BD270" i="48"/>
  <c r="BD241" i="48"/>
  <c r="BD232" i="48"/>
  <c r="BD228" i="48"/>
  <c r="BD99" i="48"/>
  <c r="L111" i="48"/>
  <c r="M111" i="48" s="1"/>
  <c r="BD239" i="48"/>
  <c r="BD231" i="48"/>
  <c r="BD225" i="48"/>
  <c r="Q16" i="95"/>
  <c r="Q17" i="110"/>
  <c r="Q17" i="106"/>
  <c r="Q17" i="89"/>
  <c r="Q17" i="93"/>
  <c r="Q17" i="108"/>
  <c r="Q17" i="80"/>
  <c r="Q17" i="88"/>
  <c r="Q16" i="84"/>
  <c r="Q26" i="90"/>
  <c r="Q17" i="81"/>
  <c r="C66" i="48"/>
  <c r="Q17" i="82"/>
  <c r="Q17" i="111"/>
  <c r="Q26" i="112"/>
  <c r="Q17" i="87"/>
  <c r="Q17" i="86"/>
  <c r="Q17" i="105"/>
  <c r="Q17" i="107"/>
  <c r="Q17" i="104"/>
  <c r="Q16" i="83"/>
  <c r="Q17" i="85"/>
  <c r="B223" i="48"/>
  <c r="B22" i="75"/>
  <c r="Q20" i="95"/>
  <c r="Q21" i="88"/>
  <c r="Q21" i="81"/>
  <c r="Q21" i="108"/>
  <c r="Q21" i="105"/>
  <c r="Q21" i="106"/>
  <c r="Q21" i="111"/>
  <c r="Q20" i="84"/>
  <c r="Q21" i="87"/>
  <c r="Q21" i="104"/>
  <c r="Q21" i="89"/>
  <c r="Q30" i="112"/>
  <c r="Q21" i="93"/>
  <c r="Q21" i="85"/>
  <c r="Q21" i="80"/>
  <c r="C70" i="48"/>
  <c r="Q21" i="110"/>
  <c r="Q30" i="90"/>
  <c r="Q21" i="107"/>
  <c r="Q21" i="82"/>
  <c r="R71" i="95"/>
  <c r="R71" i="105"/>
  <c r="R72" i="96"/>
  <c r="D127" i="48"/>
  <c r="R71" i="80"/>
  <c r="R27" i="95"/>
  <c r="R27" i="110"/>
  <c r="R29" i="80"/>
  <c r="R29" i="106"/>
  <c r="R29" i="104"/>
  <c r="Q13" i="95"/>
  <c r="Q14" i="93"/>
  <c r="Q23" i="112"/>
  <c r="Q14" i="85"/>
  <c r="Q13" i="92"/>
  <c r="R86" i="114"/>
  <c r="R86" i="109"/>
  <c r="D26" i="16"/>
  <c r="P28" i="81"/>
  <c r="Q16" i="89"/>
  <c r="R13" i="93"/>
  <c r="R35" i="104"/>
  <c r="B130" i="48"/>
  <c r="B19" i="75"/>
  <c r="Q50" i="108"/>
  <c r="P76" i="109"/>
  <c r="Q15" i="108"/>
  <c r="Q15" i="81"/>
  <c r="Q15" i="80"/>
  <c r="C64" i="48"/>
  <c r="Q15" i="82"/>
  <c r="Q15" i="107"/>
  <c r="Q15" i="86"/>
  <c r="Q14" i="82"/>
  <c r="R29" i="87"/>
  <c r="P29" i="83"/>
  <c r="Q13" i="109"/>
  <c r="P31" i="106"/>
  <c r="Q15" i="96"/>
  <c r="R29" i="89"/>
  <c r="R27" i="84"/>
  <c r="Q14" i="89"/>
  <c r="R29" i="88"/>
  <c r="Q15" i="115"/>
  <c r="Q14" i="108"/>
  <c r="P31" i="95"/>
  <c r="P33" i="81"/>
  <c r="Q27" i="95"/>
  <c r="Q29" i="107"/>
  <c r="P81" i="109"/>
  <c r="P48" i="112"/>
  <c r="P48" i="108"/>
  <c r="P75" i="106"/>
  <c r="P81" i="114"/>
  <c r="P80" i="111"/>
  <c r="Q14" i="95"/>
  <c r="Q15" i="110"/>
  <c r="Q14" i="92"/>
  <c r="C99" i="48"/>
  <c r="D262" i="48"/>
  <c r="Q15" i="84"/>
  <c r="Q70" i="104"/>
  <c r="Q16" i="87"/>
  <c r="R13" i="80"/>
  <c r="R13" i="107"/>
  <c r="R33" i="84"/>
  <c r="R73" i="104"/>
  <c r="D6" i="16"/>
  <c r="B266" i="48"/>
  <c r="D15" i="75"/>
  <c r="P28" i="104"/>
  <c r="Q15" i="97"/>
  <c r="C6" i="75"/>
  <c r="R35" i="80"/>
  <c r="D34" i="16"/>
  <c r="B228" i="48"/>
  <c r="B239" i="48"/>
  <c r="Q23" i="90"/>
  <c r="P76" i="114"/>
  <c r="P76" i="96"/>
  <c r="Q77" i="106"/>
  <c r="B131" i="48"/>
  <c r="Q15" i="85"/>
  <c r="Q14" i="96"/>
  <c r="Q15" i="105"/>
  <c r="Q14" i="115"/>
  <c r="Q15" i="93"/>
  <c r="Q14" i="109"/>
  <c r="C17" i="75"/>
  <c r="Q13" i="96"/>
  <c r="R29" i="85"/>
  <c r="P31" i="81"/>
  <c r="B80" i="48"/>
  <c r="R29" i="107"/>
  <c r="D5" i="16"/>
  <c r="R29" i="108"/>
  <c r="R29" i="105"/>
  <c r="Q14" i="81"/>
  <c r="C14" i="75"/>
  <c r="Q13" i="97"/>
  <c r="Q14" i="104"/>
  <c r="R86" i="113"/>
  <c r="R77" i="95"/>
  <c r="D132" i="48"/>
  <c r="Q35" i="95"/>
  <c r="Q37" i="80"/>
  <c r="P29" i="95"/>
  <c r="P31" i="88"/>
  <c r="P29" i="110"/>
  <c r="P31" i="93"/>
  <c r="P31" i="104"/>
  <c r="P31" i="85"/>
  <c r="C129" i="48"/>
  <c r="P28" i="89"/>
  <c r="P28" i="80"/>
  <c r="Q83" i="113"/>
  <c r="Q16" i="106"/>
  <c r="P27" i="105"/>
  <c r="P27" i="104"/>
  <c r="P27" i="80"/>
  <c r="R13" i="81"/>
  <c r="R35" i="108"/>
  <c r="R35" i="81"/>
  <c r="Q69" i="106"/>
  <c r="D14" i="75"/>
  <c r="P28" i="105"/>
  <c r="P28" i="93"/>
  <c r="Q16" i="104"/>
  <c r="Q50" i="112"/>
  <c r="Q77" i="105"/>
  <c r="Q16" i="81"/>
  <c r="Q16" i="85"/>
  <c r="P27" i="88"/>
  <c r="P27" i="107"/>
  <c r="R13" i="88"/>
  <c r="R13" i="87"/>
  <c r="R13" i="108"/>
  <c r="R13" i="106"/>
  <c r="R33" i="111"/>
  <c r="R35" i="82"/>
  <c r="R35" i="105"/>
  <c r="D102" i="48"/>
  <c r="Q74" i="109"/>
  <c r="Q75" i="96"/>
  <c r="R76" i="106"/>
  <c r="P28" i="87"/>
  <c r="P28" i="88"/>
  <c r="P28" i="86"/>
  <c r="Q83" i="109"/>
  <c r="Q82" i="111"/>
  <c r="Q77" i="107"/>
  <c r="Q16" i="107"/>
  <c r="Q16" i="86"/>
  <c r="Q16" i="105"/>
  <c r="P27" i="87"/>
  <c r="P27" i="82"/>
  <c r="R13" i="85"/>
  <c r="R13" i="105"/>
  <c r="R22" i="112"/>
  <c r="R35" i="89"/>
  <c r="R33" i="110"/>
  <c r="R35" i="88"/>
  <c r="R35" i="87"/>
  <c r="C225" i="48"/>
  <c r="Q71" i="114"/>
  <c r="C234" i="48"/>
  <c r="Q14" i="86"/>
  <c r="P27" i="108"/>
  <c r="P70" i="106"/>
  <c r="P71" i="106"/>
  <c r="Q15" i="111"/>
  <c r="Q15" i="87"/>
  <c r="Q15" i="106"/>
  <c r="Q14" i="113"/>
  <c r="Q14" i="114"/>
  <c r="Q14" i="88"/>
  <c r="R29" i="93"/>
  <c r="P29" i="111"/>
  <c r="D3" i="16"/>
  <c r="P29" i="84"/>
  <c r="P69" i="80"/>
  <c r="P31" i="86"/>
  <c r="R29" i="82"/>
  <c r="Q13" i="113"/>
  <c r="Q14" i="106"/>
  <c r="Q14" i="107"/>
  <c r="P31" i="107"/>
  <c r="R86" i="115"/>
  <c r="Q25" i="112"/>
  <c r="C65" i="48"/>
  <c r="R80" i="106"/>
  <c r="P34" i="95"/>
  <c r="P36" i="88"/>
  <c r="R32" i="95"/>
  <c r="R34" i="104"/>
  <c r="Q25" i="107"/>
  <c r="Q25" i="110"/>
  <c r="Q25" i="88"/>
  <c r="C74" i="48"/>
  <c r="P23" i="95"/>
  <c r="P24" i="105"/>
  <c r="P33" i="112"/>
  <c r="P24" i="111"/>
  <c r="P24" i="89"/>
  <c r="P24" i="86"/>
  <c r="P17" i="95"/>
  <c r="P18" i="105"/>
  <c r="P18" i="88"/>
  <c r="BD219" i="48"/>
  <c r="O19" i="103"/>
  <c r="B204" i="48"/>
  <c r="P77" i="95"/>
  <c r="P77" i="109"/>
  <c r="P78" i="96"/>
  <c r="Q80" i="114"/>
  <c r="Q80" i="115"/>
  <c r="Q67" i="104"/>
  <c r="C54" i="48"/>
  <c r="Q74" i="106"/>
  <c r="Q79" i="111"/>
  <c r="B15" i="16"/>
  <c r="P72" i="106"/>
  <c r="B132" i="48"/>
  <c r="R82" i="113"/>
  <c r="R76" i="107"/>
  <c r="P32" i="86"/>
  <c r="R22" i="93"/>
  <c r="Q74" i="105"/>
  <c r="B232" i="48"/>
  <c r="B32" i="75"/>
  <c r="B246" i="48"/>
  <c r="C26" i="75"/>
  <c r="C241" i="48"/>
  <c r="P69" i="95"/>
  <c r="B125" i="48"/>
  <c r="P70" i="114"/>
  <c r="P70" i="96"/>
  <c r="D4" i="16"/>
  <c r="D99" i="48"/>
  <c r="Q59" i="82"/>
  <c r="Q59" i="96"/>
  <c r="Q59" i="92"/>
  <c r="Q59" i="97"/>
  <c r="Q59" i="113"/>
  <c r="Q59" i="115"/>
  <c r="Q59" i="109"/>
  <c r="Q59" i="95"/>
  <c r="Q59" i="114"/>
  <c r="R57" i="82"/>
  <c r="R57" i="114"/>
  <c r="R57" i="113"/>
  <c r="R57" i="115"/>
  <c r="R57" i="96"/>
  <c r="R57" i="92"/>
  <c r="R57" i="97"/>
  <c r="R57" i="109"/>
  <c r="R57" i="95"/>
  <c r="R56" i="82"/>
  <c r="P30" i="95"/>
  <c r="P32" i="88"/>
  <c r="P32" i="93"/>
  <c r="P32" i="80"/>
  <c r="P30" i="111"/>
  <c r="P32" i="87"/>
  <c r="P32" i="106"/>
  <c r="P30" i="84"/>
  <c r="P32" i="104"/>
  <c r="P32" i="89"/>
  <c r="P30" i="110"/>
  <c r="P32" i="81"/>
  <c r="Q23" i="95"/>
  <c r="Q23" i="92"/>
  <c r="Q24" i="81"/>
  <c r="Q24" i="106"/>
  <c r="Q24" i="87"/>
  <c r="Q24" i="88"/>
  <c r="C73" i="48"/>
  <c r="Q23" i="115"/>
  <c r="Q24" i="80"/>
  <c r="Q24" i="82"/>
  <c r="Q24" i="107"/>
  <c r="Q23" i="113"/>
  <c r="Q23" i="96"/>
  <c r="Q24" i="86"/>
  <c r="Q24" i="110"/>
  <c r="Q23" i="114"/>
  <c r="Q24" i="105"/>
  <c r="Q23" i="109"/>
  <c r="Q23" i="97"/>
  <c r="Q33" i="112"/>
  <c r="Q22" i="95"/>
  <c r="Q23" i="106"/>
  <c r="Q22" i="113"/>
  <c r="Q23" i="81"/>
  <c r="Q22" i="114"/>
  <c r="Q22" i="96"/>
  <c r="Q22" i="109"/>
  <c r="Q32" i="90"/>
  <c r="Q23" i="107"/>
  <c r="Q23" i="80"/>
  <c r="Q23" i="108"/>
  <c r="Q23" i="111"/>
  <c r="Q23" i="85"/>
  <c r="Q23" i="89"/>
  <c r="Q23" i="82"/>
  <c r="Q22" i="92"/>
  <c r="Q23" i="87"/>
  <c r="C72" i="48"/>
  <c r="Q23" i="110"/>
  <c r="Q23" i="88"/>
  <c r="R21" i="95"/>
  <c r="R22" i="106"/>
  <c r="R22" i="107"/>
  <c r="R22" i="80"/>
  <c r="R22" i="81"/>
  <c r="R22" i="82"/>
  <c r="R31" i="112"/>
  <c r="R22" i="105"/>
  <c r="R21" i="84"/>
  <c r="D71" i="48"/>
  <c r="R14" i="114"/>
  <c r="R14" i="113"/>
  <c r="R14" i="115"/>
  <c r="R14" i="96"/>
  <c r="R14" i="109"/>
  <c r="R14" i="92"/>
  <c r="R14" i="97"/>
  <c r="R14" i="95"/>
  <c r="R15" i="82"/>
  <c r="R24" i="112"/>
  <c r="R15" i="110"/>
  <c r="R15" i="106"/>
  <c r="R15" i="87"/>
  <c r="R15" i="81"/>
  <c r="R15" i="104"/>
  <c r="R15" i="86"/>
  <c r="R15" i="85"/>
  <c r="R15" i="93"/>
  <c r="R15" i="80"/>
  <c r="R15" i="88"/>
  <c r="R15" i="111"/>
  <c r="R15" i="107"/>
  <c r="R15" i="89"/>
  <c r="P52" i="108"/>
  <c r="P72" i="104"/>
  <c r="P79" i="105"/>
  <c r="B59" i="48"/>
  <c r="P79" i="106"/>
  <c r="P85" i="113"/>
  <c r="R69" i="104"/>
  <c r="R82" i="114"/>
  <c r="R81" i="111"/>
  <c r="C55" i="48"/>
  <c r="Q81" i="114"/>
  <c r="Q48" i="112"/>
  <c r="Q75" i="105"/>
  <c r="Q48" i="108"/>
  <c r="Q81" i="113"/>
  <c r="R49" i="112"/>
  <c r="D56" i="48"/>
  <c r="D237" i="48"/>
  <c r="B81" i="48"/>
  <c r="Q75" i="107"/>
  <c r="P32" i="82"/>
  <c r="P32" i="107"/>
  <c r="R22" i="108"/>
  <c r="R22" i="87"/>
  <c r="Q80" i="113"/>
  <c r="Q47" i="112"/>
  <c r="Q80" i="109"/>
  <c r="R31" i="90"/>
  <c r="P85" i="114"/>
  <c r="P85" i="109"/>
  <c r="Q80" i="111"/>
  <c r="Q24" i="111"/>
  <c r="Q24" i="108"/>
  <c r="P52" i="112"/>
  <c r="R15" i="108"/>
  <c r="R75" i="95"/>
  <c r="R76" i="114"/>
  <c r="R75" i="109"/>
  <c r="D130" i="48"/>
  <c r="R76" i="96"/>
  <c r="P70" i="95"/>
  <c r="P70" i="109"/>
  <c r="P70" i="80"/>
  <c r="B126" i="48"/>
  <c r="P70" i="105"/>
  <c r="D233" i="48"/>
  <c r="P78" i="114"/>
  <c r="R76" i="105"/>
  <c r="R49" i="108"/>
  <c r="Q68" i="104"/>
  <c r="Q81" i="115"/>
  <c r="P32" i="108"/>
  <c r="R22" i="104"/>
  <c r="R22" i="89"/>
  <c r="R22" i="85"/>
  <c r="R22" i="88"/>
  <c r="Q74" i="107"/>
  <c r="P79" i="107"/>
  <c r="Q24" i="93"/>
  <c r="Q33" i="90"/>
  <c r="R24" i="90"/>
  <c r="Q23" i="104"/>
  <c r="Q23" i="105"/>
  <c r="R14" i="84"/>
  <c r="Q23" i="93"/>
  <c r="B23" i="75"/>
  <c r="B226" i="48"/>
  <c r="P71" i="95"/>
  <c r="P71" i="80"/>
  <c r="P71" i="109"/>
  <c r="B127" i="48"/>
  <c r="P71" i="105"/>
  <c r="P59" i="82"/>
  <c r="P59" i="114"/>
  <c r="P59" i="113"/>
  <c r="P59" i="115"/>
  <c r="P59" i="97"/>
  <c r="P59" i="96"/>
  <c r="P59" i="92"/>
  <c r="P59" i="109"/>
  <c r="P59" i="95"/>
  <c r="P58" i="82"/>
  <c r="P58" i="96"/>
  <c r="P58" i="92"/>
  <c r="P58" i="97"/>
  <c r="P58" i="115"/>
  <c r="P58" i="114"/>
  <c r="P58" i="113"/>
  <c r="P58" i="109"/>
  <c r="P58" i="95"/>
  <c r="Q25" i="82"/>
  <c r="Q34" i="112"/>
  <c r="R53" i="108"/>
  <c r="R80" i="107"/>
  <c r="P50" i="112"/>
  <c r="P70" i="104"/>
  <c r="P28" i="106"/>
  <c r="P28" i="108"/>
  <c r="B77" i="48"/>
  <c r="P28" i="85"/>
  <c r="Q15" i="92"/>
  <c r="Q16" i="82"/>
  <c r="Q16" i="80"/>
  <c r="Q25" i="90"/>
  <c r="Q16" i="110"/>
  <c r="P27" i="86"/>
  <c r="P27" i="89"/>
  <c r="P27" i="85"/>
  <c r="Q72" i="114"/>
  <c r="Q70" i="80"/>
  <c r="Q39" i="107"/>
  <c r="Q70" i="96"/>
  <c r="P51" i="112"/>
  <c r="P84" i="109"/>
  <c r="R71" i="109"/>
  <c r="R79" i="106"/>
  <c r="D59" i="48"/>
  <c r="R85" i="109"/>
  <c r="Q38" i="107"/>
  <c r="R84" i="113"/>
  <c r="R84" i="114"/>
  <c r="Q73" i="114"/>
  <c r="P77" i="96"/>
  <c r="Q38" i="86"/>
  <c r="C87" i="48"/>
  <c r="Q38" i="105"/>
  <c r="R72" i="114"/>
  <c r="R21" i="105"/>
  <c r="R21" i="87"/>
  <c r="R21" i="82"/>
  <c r="R21" i="110"/>
  <c r="R77" i="109"/>
  <c r="R75" i="114"/>
  <c r="P77" i="106"/>
  <c r="Q15" i="113"/>
  <c r="Q25" i="111"/>
  <c r="Q25" i="86"/>
  <c r="Q39" i="82"/>
  <c r="Q39" i="108"/>
  <c r="Q25" i="108"/>
  <c r="R74" i="109"/>
  <c r="D210" i="48"/>
  <c r="Q25" i="85"/>
  <c r="R53" i="112"/>
  <c r="R80" i="105"/>
  <c r="P83" i="115"/>
  <c r="P77" i="105"/>
  <c r="Q15" i="109"/>
  <c r="B218" i="48"/>
  <c r="B3" i="75"/>
  <c r="Q35" i="106"/>
  <c r="Q33" i="95"/>
  <c r="Q32" i="95"/>
  <c r="Q34" i="88"/>
  <c r="P29" i="85"/>
  <c r="P27" i="95"/>
  <c r="P29" i="107"/>
  <c r="D35" i="16"/>
  <c r="D264" i="48"/>
  <c r="Q37" i="95"/>
  <c r="Q39" i="81"/>
  <c r="Q31" i="81"/>
  <c r="Q29" i="95"/>
  <c r="R20" i="95"/>
  <c r="R59" i="113"/>
  <c r="R59" i="115"/>
  <c r="R59" i="114"/>
  <c r="R59" i="97"/>
  <c r="R59" i="96"/>
  <c r="R59" i="109"/>
  <c r="R59" i="92"/>
  <c r="R59" i="95"/>
  <c r="Q57" i="92"/>
  <c r="Q57" i="97"/>
  <c r="Q57" i="96"/>
  <c r="Q57" i="109"/>
  <c r="Q57" i="95"/>
  <c r="Q57" i="115"/>
  <c r="Q57" i="114"/>
  <c r="Q57" i="113"/>
  <c r="Q56" i="82"/>
  <c r="P38" i="108"/>
  <c r="P36" i="95"/>
  <c r="R32" i="86"/>
  <c r="R30" i="95"/>
  <c r="P22" i="115"/>
  <c r="P22" i="95"/>
  <c r="R18" i="95"/>
  <c r="P19" i="106"/>
  <c r="P18" i="95"/>
  <c r="R16" i="95"/>
  <c r="P16" i="110"/>
  <c r="P15" i="95"/>
  <c r="R13" i="96"/>
  <c r="R13" i="109"/>
  <c r="R13" i="92"/>
  <c r="R13" i="97"/>
  <c r="R13" i="113"/>
  <c r="R13" i="115"/>
  <c r="R13" i="114"/>
  <c r="R13" i="95"/>
  <c r="BD213" i="48"/>
  <c r="R58" i="92"/>
  <c r="R58" i="97"/>
  <c r="R58" i="96"/>
  <c r="R58" i="114"/>
  <c r="R58" i="109"/>
  <c r="R58" i="95"/>
  <c r="R58" i="113"/>
  <c r="R58" i="115"/>
  <c r="P57" i="113"/>
  <c r="P57" i="114"/>
  <c r="P57" i="97"/>
  <c r="P57" i="96"/>
  <c r="P57" i="109"/>
  <c r="P57" i="92"/>
  <c r="P57" i="115"/>
  <c r="P57" i="95"/>
  <c r="R39" i="86"/>
  <c r="R37" i="95"/>
  <c r="P37" i="81"/>
  <c r="P35" i="95"/>
  <c r="Q33" i="107"/>
  <c r="Q31" i="95"/>
  <c r="Q28" i="80"/>
  <c r="Q26" i="95"/>
  <c r="R23" i="96"/>
  <c r="R23" i="109"/>
  <c r="R23" i="92"/>
  <c r="R23" i="97"/>
  <c r="R23" i="113"/>
  <c r="R23" i="115"/>
  <c r="R23" i="114"/>
  <c r="R23" i="95"/>
  <c r="R19" i="95"/>
  <c r="Q58" i="113"/>
  <c r="Q58" i="115"/>
  <c r="Q58" i="114"/>
  <c r="Q58" i="92"/>
  <c r="Q58" i="109"/>
  <c r="Q58" i="97"/>
  <c r="Q58" i="96"/>
  <c r="Q58" i="95"/>
  <c r="R30" i="88"/>
  <c r="R28" i="95"/>
  <c r="R22" i="113"/>
  <c r="R22" i="115"/>
  <c r="R22" i="114"/>
  <c r="R22" i="96"/>
  <c r="R22" i="109"/>
  <c r="R22" i="92"/>
  <c r="R22" i="97"/>
  <c r="R22" i="95"/>
  <c r="R17" i="95"/>
  <c r="R15" i="92"/>
  <c r="R15" i="97"/>
  <c r="R15" i="96"/>
  <c r="R15" i="109"/>
  <c r="R15" i="95"/>
  <c r="R15" i="114"/>
  <c r="R15" i="113"/>
  <c r="R15" i="115"/>
  <c r="R12" i="113"/>
  <c r="R12" i="115"/>
  <c r="R12" i="114"/>
  <c r="R12" i="92"/>
  <c r="R12" i="97"/>
  <c r="R12" i="96"/>
  <c r="R12" i="109"/>
  <c r="R12" i="95"/>
  <c r="B198" i="48"/>
  <c r="C161" i="48"/>
  <c r="B309" i="12"/>
  <c r="B310" i="12"/>
  <c r="B261" i="12"/>
  <c r="B20" i="12"/>
  <c r="M11" i="117" s="1"/>
  <c r="F6" i="9"/>
  <c r="F639" i="9" s="1"/>
  <c r="B24" i="11"/>
  <c r="E112" i="48"/>
  <c r="P65" i="104"/>
  <c r="J115" i="48"/>
  <c r="E114" i="48"/>
  <c r="K114" i="48"/>
  <c r="K115" i="48"/>
  <c r="K108" i="48"/>
  <c r="D183" i="48"/>
  <c r="E123" i="48"/>
  <c r="D167" i="48"/>
  <c r="E142" i="48"/>
  <c r="BD142" i="48" s="1"/>
  <c r="F28" i="48"/>
  <c r="L28" i="48" s="1"/>
  <c r="S65" i="84"/>
  <c r="Q114" i="48" s="1"/>
  <c r="F114" i="48" s="1"/>
  <c r="L114" i="48" s="1"/>
  <c r="S40" i="48"/>
  <c r="S69" i="80"/>
  <c r="T125" i="48" s="1"/>
  <c r="S65" i="80"/>
  <c r="T118" i="48" s="1"/>
  <c r="U42" i="48"/>
  <c r="U209" i="48" s="1"/>
  <c r="S80" i="105"/>
  <c r="U60" i="48" s="1"/>
  <c r="S67" i="105"/>
  <c r="U120" i="48" s="1"/>
  <c r="S71" i="87"/>
  <c r="V131" i="48" s="1"/>
  <c r="S79" i="106"/>
  <c r="W59" i="48" s="1"/>
  <c r="W43" i="48"/>
  <c r="S70" i="106"/>
  <c r="W130" i="48" s="1"/>
  <c r="S72" i="106"/>
  <c r="W132" i="48" s="1"/>
  <c r="W42" i="48"/>
  <c r="S74" i="106"/>
  <c r="S67" i="106"/>
  <c r="W120" i="48" s="1"/>
  <c r="S65" i="106"/>
  <c r="W118" i="48" s="1"/>
  <c r="Y42" i="48"/>
  <c r="S78" i="107"/>
  <c r="Y58" i="48" s="1"/>
  <c r="Y40" i="48"/>
  <c r="F85" i="48"/>
  <c r="L85" i="48" s="1"/>
  <c r="S66" i="111"/>
  <c r="AF107" i="48" s="1"/>
  <c r="AF19" i="48"/>
  <c r="F88" i="48"/>
  <c r="L88" i="48" s="1"/>
  <c r="L213" i="48"/>
  <c r="F13" i="48"/>
  <c r="L13" i="48" s="1"/>
  <c r="N106" i="48"/>
  <c r="F106" i="48" s="1"/>
  <c r="L106" i="48" s="1"/>
  <c r="F62" i="48"/>
  <c r="P23" i="48"/>
  <c r="F23" i="48" s="1"/>
  <c r="S67" i="81"/>
  <c r="P121" i="48" s="1"/>
  <c r="S64" i="84"/>
  <c r="S70" i="80"/>
  <c r="T126" i="48" s="1"/>
  <c r="S67" i="80"/>
  <c r="T120" i="48" s="1"/>
  <c r="T32" i="48"/>
  <c r="S70" i="105"/>
  <c r="U126" i="48" s="1"/>
  <c r="S65" i="105"/>
  <c r="U118" i="48" s="1"/>
  <c r="S69" i="105"/>
  <c r="U125" i="48" s="1"/>
  <c r="S71" i="105"/>
  <c r="U127" i="48" s="1"/>
  <c r="S64" i="105"/>
  <c r="U109" i="48" s="1"/>
  <c r="S72" i="105"/>
  <c r="U128" i="48" s="1"/>
  <c r="S74" i="105"/>
  <c r="S72" i="87"/>
  <c r="V132" i="48" s="1"/>
  <c r="S67" i="87"/>
  <c r="V120" i="48" s="1"/>
  <c r="S69" i="87"/>
  <c r="V129" i="48" s="1"/>
  <c r="S65" i="87"/>
  <c r="V118" i="48" s="1"/>
  <c r="S70" i="87"/>
  <c r="V130" i="48" s="1"/>
  <c r="F34" i="48"/>
  <c r="L34" i="48" s="1"/>
  <c r="S64" i="106"/>
  <c r="W109" i="48" s="1"/>
  <c r="S71" i="106"/>
  <c r="W131" i="48" s="1"/>
  <c r="S80" i="106"/>
  <c r="W60" i="48" s="1"/>
  <c r="W41" i="48"/>
  <c r="S69" i="106"/>
  <c r="W129" i="48" s="1"/>
  <c r="F33" i="48"/>
  <c r="S68" i="88"/>
  <c r="X122" i="48" s="1"/>
  <c r="S65" i="88"/>
  <c r="X119" i="48" s="1"/>
  <c r="S67" i="107"/>
  <c r="Y121" i="48" s="1"/>
  <c r="S64" i="107"/>
  <c r="Y109" i="48" s="1"/>
  <c r="S68" i="107"/>
  <c r="Y122" i="48" s="1"/>
  <c r="Y46" i="48"/>
  <c r="S65" i="107"/>
  <c r="Y119" i="48" s="1"/>
  <c r="F80" i="48"/>
  <c r="L80" i="48" s="1"/>
  <c r="F84" i="48"/>
  <c r="BD84" i="48" s="1"/>
  <c r="L189" i="48"/>
  <c r="L144" i="48"/>
  <c r="S82" i="111"/>
  <c r="AF57" i="48" s="1"/>
  <c r="S81" i="111"/>
  <c r="AF56" i="48" s="1"/>
  <c r="S69" i="111"/>
  <c r="AF115" i="48" s="1"/>
  <c r="F94" i="48"/>
  <c r="L94" i="48" s="1"/>
  <c r="S66" i="86"/>
  <c r="Z115" i="48" s="1"/>
  <c r="S64" i="86"/>
  <c r="Z110" i="48" s="1"/>
  <c r="F110" i="48" s="1"/>
  <c r="Z49" i="48"/>
  <c r="F49" i="48" s="1"/>
  <c r="L49" i="48" s="1"/>
  <c r="S65" i="86"/>
  <c r="BD75" i="48"/>
  <c r="S43" i="48"/>
  <c r="S69" i="104"/>
  <c r="S56" i="48" s="1"/>
  <c r="S72" i="104"/>
  <c r="S59" i="48" s="1"/>
  <c r="S71" i="104"/>
  <c r="S58" i="48" s="1"/>
  <c r="F82" i="48"/>
  <c r="L82" i="48" s="1"/>
  <c r="S64" i="104"/>
  <c r="S109" i="48" s="1"/>
  <c r="S68" i="104"/>
  <c r="S55" i="48" s="1"/>
  <c r="S73" i="104"/>
  <c r="S60" i="48" s="1"/>
  <c r="S65" i="104"/>
  <c r="S115" i="48" s="1"/>
  <c r="S65" i="85"/>
  <c r="R115" i="48" s="1"/>
  <c r="S64" i="85"/>
  <c r="R109" i="48" s="1"/>
  <c r="S65" i="97"/>
  <c r="AQ109" i="48" s="1"/>
  <c r="S64" i="114"/>
  <c r="AP107" i="48" s="1"/>
  <c r="S64" i="97"/>
  <c r="AQ107" i="48" s="1"/>
  <c r="AO35" i="48"/>
  <c r="F35" i="48" s="1"/>
  <c r="AL42" i="48"/>
  <c r="AL209" i="48" s="1"/>
  <c r="S64" i="115"/>
  <c r="AR107" i="48" s="1"/>
  <c r="AO109" i="48"/>
  <c r="S66" i="114"/>
  <c r="AP118" i="48" s="1"/>
  <c r="S67" i="97"/>
  <c r="AQ117" i="48" s="1"/>
  <c r="S66" i="115"/>
  <c r="AR119" i="48" s="1"/>
  <c r="S65" i="114"/>
  <c r="AP109" i="48" s="1"/>
  <c r="S65" i="82"/>
  <c r="O18" i="48"/>
  <c r="O209" i="48" s="1"/>
  <c r="D30" i="75"/>
  <c r="D244" i="48"/>
  <c r="B29" i="75"/>
  <c r="B243" i="48"/>
  <c r="C221" i="48"/>
  <c r="C8" i="75"/>
  <c r="D15" i="16"/>
  <c r="D212" i="48"/>
  <c r="D209" i="48"/>
  <c r="D14" i="16"/>
  <c r="R28" i="90"/>
  <c r="R19" i="111"/>
  <c r="D68" i="48"/>
  <c r="R19" i="88"/>
  <c r="R18" i="84"/>
  <c r="R28" i="112"/>
  <c r="R19" i="86"/>
  <c r="R19" i="85"/>
  <c r="R19" i="93"/>
  <c r="R18" i="83"/>
  <c r="R19" i="89"/>
  <c r="R19" i="107"/>
  <c r="R19" i="105"/>
  <c r="R19" i="87"/>
  <c r="R19" i="81"/>
  <c r="R19" i="80"/>
  <c r="P15" i="113"/>
  <c r="Q20" i="103"/>
  <c r="R19" i="110"/>
  <c r="B261" i="48"/>
  <c r="B32" i="16"/>
  <c r="B245" i="48"/>
  <c r="B31" i="75"/>
  <c r="B234" i="48"/>
  <c r="B15" i="75"/>
  <c r="C12" i="16"/>
  <c r="C210" i="48"/>
  <c r="C24" i="75"/>
  <c r="Q21" i="103"/>
  <c r="D206" i="48"/>
  <c r="P38" i="105"/>
  <c r="P38" i="81"/>
  <c r="P38" i="93"/>
  <c r="P38" i="106"/>
  <c r="P36" i="110"/>
  <c r="P36" i="111"/>
  <c r="P38" i="87"/>
  <c r="P38" i="88"/>
  <c r="P38" i="80"/>
  <c r="P38" i="85"/>
  <c r="P38" i="86"/>
  <c r="P38" i="89"/>
  <c r="P38" i="104"/>
  <c r="R32" i="105"/>
  <c r="R32" i="87"/>
  <c r="R32" i="108"/>
  <c r="R32" i="82"/>
  <c r="D81" i="48"/>
  <c r="R30" i="84"/>
  <c r="R32" i="106"/>
  <c r="R30" i="111"/>
  <c r="R32" i="93"/>
  <c r="R32" i="107"/>
  <c r="R32" i="89"/>
  <c r="R32" i="104"/>
  <c r="R32" i="80"/>
  <c r="R32" i="85"/>
  <c r="R30" i="110"/>
  <c r="R32" i="88"/>
  <c r="R32" i="81"/>
  <c r="P23" i="81"/>
  <c r="P23" i="107"/>
  <c r="P23" i="93"/>
  <c r="P23" i="82"/>
  <c r="P23" i="87"/>
  <c r="P23" i="105"/>
  <c r="P22" i="114"/>
  <c r="P23" i="80"/>
  <c r="P23" i="89"/>
  <c r="P23" i="111"/>
  <c r="P32" i="90"/>
  <c r="P23" i="86"/>
  <c r="P22" i="96"/>
  <c r="P22" i="92"/>
  <c r="P32" i="112"/>
  <c r="P22" i="113"/>
  <c r="B72" i="48"/>
  <c r="P23" i="108"/>
  <c r="P23" i="88"/>
  <c r="P23" i="110"/>
  <c r="P22" i="109"/>
  <c r="P19" i="88"/>
  <c r="P19" i="108"/>
  <c r="P19" i="93"/>
  <c r="P19" i="82"/>
  <c r="P19" i="87"/>
  <c r="P18" i="83"/>
  <c r="P19" i="85"/>
  <c r="P28" i="90"/>
  <c r="P19" i="111"/>
  <c r="P19" i="107"/>
  <c r="P19" i="110"/>
  <c r="P28" i="112"/>
  <c r="P19" i="81"/>
  <c r="B68" i="48"/>
  <c r="P19" i="86"/>
  <c r="P18" i="84"/>
  <c r="P19" i="104"/>
  <c r="P19" i="80"/>
  <c r="P15" i="92"/>
  <c r="P25" i="90"/>
  <c r="P16" i="104"/>
  <c r="P25" i="112"/>
  <c r="P16" i="89"/>
  <c r="P16" i="80"/>
  <c r="P15" i="115"/>
  <c r="P16" i="108"/>
  <c r="P15" i="97"/>
  <c r="P16" i="107"/>
  <c r="P16" i="82"/>
  <c r="P16" i="87"/>
  <c r="P16" i="93"/>
  <c r="P15" i="109"/>
  <c r="P15" i="114"/>
  <c r="P15" i="84"/>
  <c r="P16" i="106"/>
  <c r="P16" i="88"/>
  <c r="P16" i="86"/>
  <c r="P16" i="81"/>
  <c r="P16" i="105"/>
  <c r="R14" i="86"/>
  <c r="R14" i="107"/>
  <c r="R14" i="81"/>
  <c r="R23" i="90"/>
  <c r="D63" i="48"/>
  <c r="R14" i="104"/>
  <c r="R14" i="82"/>
  <c r="R14" i="89"/>
  <c r="R14" i="93"/>
  <c r="R14" i="88"/>
  <c r="R14" i="85"/>
  <c r="R14" i="106"/>
  <c r="R14" i="108"/>
  <c r="R14" i="80"/>
  <c r="R14" i="87"/>
  <c r="P15" i="96"/>
  <c r="B65" i="48"/>
  <c r="P23" i="104"/>
  <c r="R19" i="82"/>
  <c r="P19" i="89"/>
  <c r="B12" i="75"/>
  <c r="B87" i="48"/>
  <c r="R14" i="105"/>
  <c r="C262" i="48"/>
  <c r="C33" i="16"/>
  <c r="C29" i="16"/>
  <c r="C258" i="48"/>
  <c r="D246" i="48"/>
  <c r="D32" i="75"/>
  <c r="C23" i="75"/>
  <c r="C226" i="48"/>
  <c r="Q70" i="105"/>
  <c r="Q71" i="96"/>
  <c r="C126" i="48"/>
  <c r="Q70" i="109"/>
  <c r="B225" i="48"/>
  <c r="B27" i="75"/>
  <c r="C132" i="48"/>
  <c r="Q77" i="109"/>
  <c r="B242" i="48"/>
  <c r="B25" i="75"/>
  <c r="BD237" i="48"/>
  <c r="R70" i="106"/>
  <c r="R69" i="87"/>
  <c r="R70" i="96"/>
  <c r="Q12" i="109"/>
  <c r="P69" i="109"/>
  <c r="P71" i="114"/>
  <c r="P22" i="80"/>
  <c r="Q24" i="85"/>
  <c r="R15" i="105"/>
  <c r="P18" i="87"/>
  <c r="F77" i="48"/>
  <c r="L77" i="48" s="1"/>
  <c r="F29" i="48"/>
  <c r="F76" i="48"/>
  <c r="L186" i="48"/>
  <c r="L205" i="48"/>
  <c r="BD205" i="48"/>
  <c r="F86" i="48"/>
  <c r="B262" i="48"/>
  <c r="B33" i="16"/>
  <c r="D238" i="48"/>
  <c r="D6" i="75"/>
  <c r="F87" i="48"/>
  <c r="F83" i="48"/>
  <c r="L83" i="48" s="1"/>
  <c r="F65" i="48"/>
  <c r="F22" i="48"/>
  <c r="R81" i="48"/>
  <c r="F81" i="48" s="1"/>
  <c r="L81" i="48" s="1"/>
  <c r="X79" i="48"/>
  <c r="F79" i="48" s="1"/>
  <c r="L79" i="48" s="1"/>
  <c r="BD184" i="48"/>
  <c r="R59" i="111"/>
  <c r="R59" i="104"/>
  <c r="R59" i="110"/>
  <c r="R59" i="86"/>
  <c r="R59" i="85"/>
  <c r="R59" i="87"/>
  <c r="R59" i="106"/>
  <c r="R59" i="88"/>
  <c r="R59" i="105"/>
  <c r="R59" i="81"/>
  <c r="D94" i="48"/>
  <c r="R59" i="107"/>
  <c r="R59" i="80"/>
  <c r="R59" i="84"/>
  <c r="R59" i="82"/>
  <c r="Q58" i="110"/>
  <c r="Q58" i="111"/>
  <c r="Q58" i="86"/>
  <c r="Q58" i="85"/>
  <c r="Q58" i="104"/>
  <c r="Q58" i="105"/>
  <c r="Q58" i="106"/>
  <c r="Q58" i="88"/>
  <c r="Q58" i="87"/>
  <c r="Q58" i="107"/>
  <c r="Q58" i="80"/>
  <c r="Q58" i="84"/>
  <c r="Q58" i="81"/>
  <c r="Q58" i="83"/>
  <c r="C93" i="48"/>
  <c r="Q58" i="82"/>
  <c r="Q57" i="110"/>
  <c r="Q57" i="111"/>
  <c r="Q57" i="104"/>
  <c r="Q57" i="86"/>
  <c r="Q57" i="85"/>
  <c r="Q57" i="87"/>
  <c r="Q57" i="105"/>
  <c r="Q57" i="106"/>
  <c r="Q57" i="88"/>
  <c r="Q57" i="84"/>
  <c r="Q57" i="83"/>
  <c r="Q57" i="81"/>
  <c r="Q57" i="107"/>
  <c r="C92" i="48"/>
  <c r="Q57" i="80"/>
  <c r="Q57" i="82"/>
  <c r="Q53" i="110"/>
  <c r="Q53" i="111"/>
  <c r="P52" i="111"/>
  <c r="P52" i="110"/>
  <c r="Q43" i="110"/>
  <c r="Q43" i="111"/>
  <c r="F64" i="48"/>
  <c r="L64" i="48" s="1"/>
  <c r="BD217" i="48"/>
  <c r="P57" i="110"/>
  <c r="P57" i="85"/>
  <c r="P57" i="111"/>
  <c r="P57" i="104"/>
  <c r="P57" i="105"/>
  <c r="P57" i="86"/>
  <c r="P57" i="106"/>
  <c r="P57" i="88"/>
  <c r="P57" i="87"/>
  <c r="P57" i="107"/>
  <c r="P57" i="80"/>
  <c r="P57" i="84"/>
  <c r="P57" i="81"/>
  <c r="B92" i="48"/>
  <c r="P57" i="83"/>
  <c r="P57" i="82"/>
  <c r="P56" i="110"/>
  <c r="P56" i="104"/>
  <c r="P56" i="86"/>
  <c r="P56" i="85"/>
  <c r="P56" i="111"/>
  <c r="P56" i="105"/>
  <c r="P56" i="87"/>
  <c r="P56" i="106"/>
  <c r="P56" i="88"/>
  <c r="P56" i="107"/>
  <c r="P56" i="80"/>
  <c r="B91" i="48"/>
  <c r="P56" i="81"/>
  <c r="P56" i="82"/>
  <c r="P53" i="111"/>
  <c r="P53" i="110"/>
  <c r="Q46" i="110"/>
  <c r="Q46" i="111"/>
  <c r="F63" i="48"/>
  <c r="L63" i="48" s="1"/>
  <c r="P75" i="109"/>
  <c r="P72" i="96"/>
  <c r="R50" i="111"/>
  <c r="R50" i="110"/>
  <c r="Q49" i="110"/>
  <c r="Q49" i="111"/>
  <c r="AQ67" i="48"/>
  <c r="R58" i="111"/>
  <c r="R58" i="110"/>
  <c r="R58" i="85"/>
  <c r="R58" i="104"/>
  <c r="R58" i="105"/>
  <c r="R58" i="86"/>
  <c r="R58" i="106"/>
  <c r="R58" i="88"/>
  <c r="R58" i="87"/>
  <c r="R58" i="107"/>
  <c r="R58" i="80"/>
  <c r="R58" i="84"/>
  <c r="R58" i="81"/>
  <c r="R58" i="83"/>
  <c r="D93" i="48"/>
  <c r="R58" i="82"/>
  <c r="R51" i="111"/>
  <c r="R51" i="110"/>
  <c r="C17" i="16"/>
  <c r="C214" i="48"/>
  <c r="B102" i="48"/>
  <c r="B7" i="16"/>
  <c r="Q51" i="111"/>
  <c r="Q51" i="110"/>
  <c r="P47" i="110"/>
  <c r="P47" i="111"/>
  <c r="P44" i="110"/>
  <c r="R42" i="110"/>
  <c r="R42" i="111"/>
  <c r="P42" i="111"/>
  <c r="P42" i="110"/>
  <c r="R41" i="110"/>
  <c r="R41" i="111"/>
  <c r="R38" i="82"/>
  <c r="C86" i="48"/>
  <c r="R33" i="81"/>
  <c r="P33" i="108"/>
  <c r="R29" i="84"/>
  <c r="P31" i="108"/>
  <c r="R29" i="86"/>
  <c r="R16" i="82"/>
  <c r="B17" i="16"/>
  <c r="B214" i="48"/>
  <c r="P71" i="87"/>
  <c r="Q75" i="109"/>
  <c r="Q69" i="87"/>
  <c r="C8" i="16"/>
  <c r="C103" i="48"/>
  <c r="Q52" i="111"/>
  <c r="Q52" i="110"/>
  <c r="P50" i="110"/>
  <c r="P50" i="111"/>
  <c r="R48" i="110"/>
  <c r="R48" i="111"/>
  <c r="R45" i="110"/>
  <c r="R45" i="111"/>
  <c r="P39" i="108"/>
  <c r="R36" i="88"/>
  <c r="R35" i="85"/>
  <c r="P35" i="88"/>
  <c r="Q27" i="84"/>
  <c r="Q23" i="86"/>
  <c r="R17" i="105"/>
  <c r="Q16" i="88"/>
  <c r="B8" i="16"/>
  <c r="B103" i="48"/>
  <c r="P59" i="110"/>
  <c r="P59" i="111"/>
  <c r="P59" i="85"/>
  <c r="P59" i="104"/>
  <c r="P59" i="105"/>
  <c r="P59" i="86"/>
  <c r="P59" i="106"/>
  <c r="P59" i="88"/>
  <c r="P59" i="87"/>
  <c r="P59" i="107"/>
  <c r="P59" i="80"/>
  <c r="P59" i="84"/>
  <c r="P59" i="81"/>
  <c r="B94" i="48"/>
  <c r="R57" i="111"/>
  <c r="R57" i="104"/>
  <c r="R57" i="86"/>
  <c r="R57" i="110"/>
  <c r="R57" i="85"/>
  <c r="R57" i="87"/>
  <c r="R57" i="105"/>
  <c r="R57" i="106"/>
  <c r="R57" i="88"/>
  <c r="R57" i="107"/>
  <c r="R57" i="83"/>
  <c r="R57" i="80"/>
  <c r="R57" i="81"/>
  <c r="R57" i="84"/>
  <c r="D92" i="48"/>
  <c r="Q56" i="110"/>
  <c r="Q56" i="111"/>
  <c r="Q56" i="85"/>
  <c r="Q56" i="105"/>
  <c r="Q56" i="104"/>
  <c r="Q56" i="86"/>
  <c r="Q56" i="106"/>
  <c r="Q56" i="88"/>
  <c r="Q56" i="107"/>
  <c r="Q56" i="87"/>
  <c r="Q56" i="80"/>
  <c r="Q56" i="81"/>
  <c r="C91" i="48"/>
  <c r="R53" i="110"/>
  <c r="R53" i="111"/>
  <c r="P51" i="110"/>
  <c r="P51" i="111"/>
  <c r="Q50" i="110"/>
  <c r="Q50" i="111"/>
  <c r="R49" i="110"/>
  <c r="R49" i="111"/>
  <c r="P48" i="111"/>
  <c r="P48" i="110"/>
  <c r="Q47" i="111"/>
  <c r="Q47" i="110"/>
  <c r="R46" i="111"/>
  <c r="R46" i="110"/>
  <c r="P45" i="111"/>
  <c r="P45" i="110"/>
  <c r="Q44" i="110"/>
  <c r="R43" i="110"/>
  <c r="R43" i="111"/>
  <c r="Q42" i="110"/>
  <c r="Q42" i="111"/>
  <c r="Q38" i="88"/>
  <c r="Q34" i="111"/>
  <c r="Q32" i="84"/>
  <c r="Q30" i="82"/>
  <c r="R28" i="85"/>
  <c r="Q27" i="81"/>
  <c r="P23" i="106"/>
  <c r="R20" i="85"/>
  <c r="Q18" i="104"/>
  <c r="B64" i="48"/>
  <c r="D17" i="16"/>
  <c r="D214" i="48"/>
  <c r="C7" i="16"/>
  <c r="C102" i="48"/>
  <c r="Q59" i="111"/>
  <c r="Q59" i="104"/>
  <c r="Q59" i="110"/>
  <c r="Q59" i="86"/>
  <c r="Q59" i="85"/>
  <c r="Q59" i="105"/>
  <c r="Q59" i="87"/>
  <c r="Q59" i="106"/>
  <c r="Q59" i="88"/>
  <c r="Q59" i="84"/>
  <c r="Q59" i="80"/>
  <c r="C94" i="48"/>
  <c r="Q59" i="107"/>
  <c r="Q59" i="81"/>
  <c r="P58" i="110"/>
  <c r="P58" i="104"/>
  <c r="P58" i="86"/>
  <c r="P58" i="85"/>
  <c r="P58" i="111"/>
  <c r="P58" i="87"/>
  <c r="P58" i="106"/>
  <c r="P58" i="88"/>
  <c r="P58" i="84"/>
  <c r="P58" i="105"/>
  <c r="P58" i="83"/>
  <c r="B93" i="48"/>
  <c r="P58" i="107"/>
  <c r="P58" i="80"/>
  <c r="P58" i="81"/>
  <c r="R56" i="111"/>
  <c r="R56" i="110"/>
  <c r="R56" i="85"/>
  <c r="R56" i="104"/>
  <c r="R56" i="86"/>
  <c r="R56" i="88"/>
  <c r="R56" i="105"/>
  <c r="R56" i="87"/>
  <c r="R56" i="80"/>
  <c r="R56" i="106"/>
  <c r="R56" i="107"/>
  <c r="D91" i="48"/>
  <c r="R56" i="81"/>
  <c r="R52" i="110"/>
  <c r="R52" i="111"/>
  <c r="P49" i="111"/>
  <c r="P49" i="110"/>
  <c r="Q48" i="111"/>
  <c r="Q48" i="110"/>
  <c r="R47" i="111"/>
  <c r="R47" i="110"/>
  <c r="P46" i="110"/>
  <c r="P46" i="111"/>
  <c r="Q45" i="110"/>
  <c r="Q45" i="111"/>
  <c r="R44" i="110"/>
  <c r="P43" i="111"/>
  <c r="P43" i="110"/>
  <c r="Q37" i="110"/>
  <c r="P38" i="82"/>
  <c r="R35" i="110"/>
  <c r="Q22" i="105"/>
  <c r="C63" i="48"/>
  <c r="P41" i="111"/>
  <c r="P41" i="110"/>
  <c r="B73" i="48"/>
  <c r="Q21" i="86"/>
  <c r="Q19" i="110"/>
  <c r="R23" i="112"/>
  <c r="P13" i="80"/>
  <c r="Q41" i="110"/>
  <c r="Q41" i="111"/>
  <c r="AT138" i="48"/>
  <c r="F138" i="48" s="1"/>
  <c r="L138" i="48" s="1"/>
  <c r="S64" i="81"/>
  <c r="AT151" i="48"/>
  <c r="F151" i="48" s="1"/>
  <c r="L151" i="48" s="1"/>
  <c r="S64" i="82"/>
  <c r="O107" i="48" s="1"/>
  <c r="P15" i="48"/>
  <c r="P209" i="48" s="1"/>
  <c r="S65" i="81"/>
  <c r="S64" i="80"/>
  <c r="S64" i="87"/>
  <c r="S72" i="80"/>
  <c r="S71" i="80"/>
  <c r="S67" i="88"/>
  <c r="S64" i="88"/>
  <c r="F38" i="48"/>
  <c r="F39" i="48"/>
  <c r="AK69" i="48"/>
  <c r="AK71" i="48"/>
  <c r="B144" i="12"/>
  <c r="B13" i="12"/>
  <c r="M3" i="117" s="1"/>
  <c r="B67" i="12"/>
  <c r="B251" i="12"/>
  <c r="H6" i="48" s="1"/>
  <c r="B173" i="12"/>
  <c r="B66" i="12"/>
  <c r="B164" i="12"/>
  <c r="B47" i="88" s="1"/>
  <c r="B313" i="12"/>
  <c r="B306" i="12"/>
  <c r="B317" i="12"/>
  <c r="P85" i="82" s="1"/>
  <c r="B93" i="12"/>
  <c r="B420" i="11" s="1"/>
  <c r="B163" i="12"/>
  <c r="B18" i="12"/>
  <c r="M10" i="117" s="1"/>
  <c r="B255" i="12"/>
  <c r="B247" i="12"/>
  <c r="C105" i="11" s="1"/>
  <c r="B24" i="12"/>
  <c r="L2" i="11" s="1"/>
  <c r="B206" i="12"/>
  <c r="B312" i="12"/>
  <c r="D35" i="85" s="1"/>
  <c r="B307" i="12"/>
  <c r="B308" i="12"/>
  <c r="P104" i="95" s="1"/>
  <c r="B113" i="12"/>
  <c r="H2" i="8" s="1"/>
  <c r="B153" i="12"/>
  <c r="B162" i="12"/>
  <c r="B46" i="88" s="1"/>
  <c r="B12" i="12"/>
  <c r="M9" i="117" s="1"/>
  <c r="B60" i="12"/>
  <c r="B19" i="15" s="1"/>
  <c r="B230" i="12"/>
  <c r="B278" i="12"/>
  <c r="B315" i="12"/>
  <c r="G106" i="111" s="1"/>
  <c r="B305" i="12"/>
  <c r="P8" i="3"/>
  <c r="B38" i="12"/>
  <c r="O11" i="11" s="1"/>
  <c r="B53" i="12"/>
  <c r="B194" i="12"/>
  <c r="B134" i="12"/>
  <c r="B256" i="12"/>
  <c r="I23" i="11" s="1"/>
  <c r="B94" i="12"/>
  <c r="B249" i="12"/>
  <c r="C113" i="11" s="1"/>
  <c r="B147" i="12"/>
  <c r="B177" i="12"/>
  <c r="B289" i="12"/>
  <c r="B240" i="12"/>
  <c r="B37" i="12"/>
  <c r="B91" i="12"/>
  <c r="O27" i="11" s="1"/>
  <c r="B213" i="12"/>
  <c r="B193" i="12"/>
  <c r="B224" i="12"/>
  <c r="B130" i="12"/>
  <c r="B288" i="12"/>
  <c r="B63" i="12"/>
  <c r="B112" i="12"/>
  <c r="N111" i="83" s="1"/>
  <c r="B226" i="12"/>
  <c r="B292" i="12"/>
  <c r="B231" i="12"/>
  <c r="B236" i="12"/>
  <c r="B210" i="12"/>
  <c r="B19" i="100" s="1"/>
  <c r="B59" i="12"/>
  <c r="B7" i="15" s="1"/>
  <c r="B179" i="12"/>
  <c r="B239" i="12"/>
  <c r="B76" i="12"/>
  <c r="B92" i="12"/>
  <c r="F150" i="11" s="1"/>
  <c r="B295" i="12"/>
  <c r="B71" i="12"/>
  <c r="B218" i="12"/>
  <c r="B284" i="12"/>
  <c r="B414" i="11" s="1"/>
  <c r="B88" i="12"/>
  <c r="B23" i="11" s="1"/>
  <c r="B252" i="12"/>
  <c r="H8" i="48" s="1"/>
  <c r="B101" i="12"/>
  <c r="B16" i="12"/>
  <c r="B85" i="12"/>
  <c r="B303" i="12"/>
  <c r="N32" i="111" s="1"/>
  <c r="B304" i="12"/>
  <c r="P103" i="95" s="1"/>
  <c r="B28" i="12"/>
  <c r="B79" i="12"/>
  <c r="K33" i="10" s="1"/>
  <c r="B139" i="12"/>
  <c r="B4" i="12"/>
  <c r="M4" i="117" s="1"/>
  <c r="B55" i="12"/>
  <c r="B98" i="12"/>
  <c r="A10" i="8" s="1"/>
  <c r="L10" i="9" s="1"/>
  <c r="A10" i="9" s="1"/>
  <c r="B10" i="48" s="1"/>
  <c r="B135" i="12"/>
  <c r="B24" i="103" s="1"/>
  <c r="B189" i="12"/>
  <c r="B234" i="12"/>
  <c r="B275" i="12"/>
  <c r="B417" i="11" s="1"/>
  <c r="B293" i="12"/>
  <c r="B41" i="12"/>
  <c r="B127" i="12"/>
  <c r="B176" i="12"/>
  <c r="D47" i="104" s="1"/>
  <c r="B228" i="12"/>
  <c r="B297" i="12"/>
  <c r="B303" i="48" s="1"/>
  <c r="B110" i="12"/>
  <c r="B201" i="12"/>
  <c r="P19" i="3" s="1"/>
  <c r="B324" i="12"/>
  <c r="B321" i="12"/>
  <c r="J105" i="111" s="1"/>
  <c r="B14" i="12"/>
  <c r="B254" i="12"/>
  <c r="I17" i="11" s="1"/>
  <c r="B174" i="12"/>
  <c r="B171" i="12"/>
  <c r="B291" i="12"/>
  <c r="B227" i="12"/>
  <c r="B211" i="12"/>
  <c r="B285" i="12"/>
  <c r="B229" i="12"/>
  <c r="B270" i="12"/>
  <c r="B68" i="12"/>
  <c r="B166" i="12"/>
  <c r="B253" i="12"/>
  <c r="B190" i="12"/>
  <c r="B70" i="12"/>
  <c r="B3" i="12"/>
  <c r="L3" i="11" s="1"/>
  <c r="B48" i="12"/>
  <c r="B192" i="12"/>
  <c r="B75" i="12"/>
  <c r="B115" i="12"/>
  <c r="B136" i="12"/>
  <c r="B25" i="12"/>
  <c r="B116" i="12"/>
  <c r="B258" i="12"/>
  <c r="E121" i="11" s="1"/>
  <c r="B246" i="12"/>
  <c r="B1" i="48" s="1"/>
  <c r="B217" i="12"/>
  <c r="B120" i="12"/>
  <c r="B264" i="12"/>
  <c r="A742" i="8" s="1"/>
  <c r="L742" i="9" s="1"/>
  <c r="B15" i="12"/>
  <c r="B248" i="12"/>
  <c r="B36" i="12"/>
  <c r="I7" i="95" s="1"/>
  <c r="B222" i="12"/>
  <c r="B108" i="12"/>
  <c r="S10" i="9" s="1"/>
  <c r="H10" i="9" s="1"/>
  <c r="I10" i="48" s="1"/>
  <c r="B107" i="12"/>
  <c r="R10" i="9" s="1"/>
  <c r="G10" i="9" s="1"/>
  <c r="H10" i="48" s="1"/>
  <c r="B204" i="12"/>
  <c r="P25" i="3" s="1"/>
  <c r="B105" i="12"/>
  <c r="B21" i="12"/>
  <c r="C60" i="15" s="1"/>
  <c r="B57" i="12"/>
  <c r="B123" i="12"/>
  <c r="B17" i="12"/>
  <c r="B89" i="12"/>
  <c r="O25" i="11" s="1"/>
  <c r="B103" i="12"/>
  <c r="B142" i="12"/>
  <c r="B17" i="103" s="1"/>
  <c r="B214" i="12"/>
  <c r="B266" i="12"/>
  <c r="B301" i="12"/>
  <c r="I307" i="48" s="1"/>
  <c r="B84" i="12"/>
  <c r="E94" i="10" s="1"/>
  <c r="B151" i="12"/>
  <c r="B242" i="12"/>
  <c r="B69" i="12"/>
  <c r="B180" i="12"/>
  <c r="B257" i="12"/>
  <c r="B114" i="12"/>
  <c r="B277" i="12"/>
  <c r="B421" i="11" s="1"/>
  <c r="B318" i="12"/>
  <c r="P86" i="105" s="1"/>
  <c r="I37" i="105" s="1"/>
  <c r="B319" i="12"/>
  <c r="P87" i="104" s="1"/>
  <c r="B51" i="12"/>
  <c r="B238" i="12"/>
  <c r="B119" i="12"/>
  <c r="K2" i="117" s="1"/>
  <c r="B47" i="12"/>
  <c r="B23" i="12"/>
  <c r="B132" i="12"/>
  <c r="B122" i="12"/>
  <c r="B124" i="12"/>
  <c r="B64" i="12"/>
  <c r="L2" i="95" s="1"/>
  <c r="B99" i="12"/>
  <c r="H106" i="111" s="1"/>
  <c r="B263" i="12"/>
  <c r="B183" i="12"/>
  <c r="B42" i="12"/>
  <c r="B133" i="12"/>
  <c r="B259" i="12"/>
  <c r="B300" i="11" s="1"/>
  <c r="B181" i="12"/>
  <c r="B280" i="12"/>
  <c r="B33" i="12"/>
  <c r="R3" i="11" s="1"/>
  <c r="B100" i="12"/>
  <c r="C10" i="8" s="1"/>
  <c r="N10" i="9" s="1"/>
  <c r="C10" i="9" s="1"/>
  <c r="D10" i="48" s="1"/>
  <c r="B299" i="12"/>
  <c r="B7" i="12"/>
  <c r="B30" i="12"/>
  <c r="B196" i="12"/>
  <c r="B208" i="12"/>
  <c r="B143" i="12"/>
  <c r="B46" i="12"/>
  <c r="B170" i="12"/>
  <c r="B268" i="12"/>
  <c r="B50" i="12"/>
  <c r="B220" i="12"/>
  <c r="B95" i="12"/>
  <c r="B32" i="12"/>
  <c r="P7" i="11" s="1"/>
  <c r="B90" i="12"/>
  <c r="O26" i="11" s="1"/>
  <c r="B169" i="12"/>
  <c r="B172" i="12"/>
  <c r="B46" i="111" s="1"/>
  <c r="B244" i="12"/>
  <c r="B286" i="12"/>
  <c r="B186" i="10" s="1"/>
  <c r="B26" i="12"/>
  <c r="B140" i="12"/>
  <c r="B21" i="103" s="1"/>
  <c r="B273" i="12"/>
  <c r="B126" i="12"/>
  <c r="B219" i="12"/>
  <c r="B294" i="12"/>
  <c r="B175" i="12"/>
  <c r="B323" i="12"/>
  <c r="B272" i="12"/>
  <c r="B97" i="12"/>
  <c r="B148" i="12"/>
  <c r="B109" i="12"/>
  <c r="F292" i="48" s="1"/>
  <c r="B199" i="12"/>
  <c r="P15" i="3" s="1"/>
  <c r="B168" i="12"/>
  <c r="B167" i="12"/>
  <c r="B54" i="12"/>
  <c r="B141" i="12"/>
  <c r="B131" i="12"/>
  <c r="B138" i="12"/>
  <c r="B10" i="12"/>
  <c r="B225" i="12"/>
  <c r="B19" i="12"/>
  <c r="P2" i="15" s="1"/>
  <c r="B161" i="12"/>
  <c r="B276" i="12"/>
  <c r="B418" i="11" s="1"/>
  <c r="B52" i="12"/>
  <c r="B49" i="12"/>
  <c r="B209" i="12"/>
  <c r="B106" i="12"/>
  <c r="F10" i="8" s="1"/>
  <c r="Q10" i="9" s="1"/>
  <c r="F10" i="9" s="1"/>
  <c r="G10" i="48" s="1"/>
  <c r="B121" i="12"/>
  <c r="B152" i="12"/>
  <c r="B243" i="12"/>
  <c r="B265" i="12"/>
  <c r="B207" i="12"/>
  <c r="B9" i="12"/>
  <c r="B200" i="12"/>
  <c r="P17" i="3" s="1"/>
  <c r="B235" i="12"/>
  <c r="B40" i="12"/>
  <c r="B11" i="12"/>
  <c r="B44" i="12"/>
  <c r="H7" i="116" s="1"/>
  <c r="B102" i="12"/>
  <c r="B197" i="12"/>
  <c r="B72" i="12"/>
  <c r="B125" i="12"/>
  <c r="B198" i="12"/>
  <c r="B250" i="12"/>
  <c r="B62" i="12"/>
  <c r="B215" i="12"/>
  <c r="B22" i="12"/>
  <c r="O2" i="117" s="1"/>
  <c r="B149" i="12"/>
  <c r="H13" i="81" s="1"/>
  <c r="B241" i="12"/>
  <c r="B58" i="12"/>
  <c r="B233" i="12"/>
  <c r="P65" i="15" s="1"/>
  <c r="B274" i="12"/>
  <c r="B203" i="12"/>
  <c r="P23" i="3" s="1"/>
  <c r="B223" i="12"/>
  <c r="B34" i="12"/>
  <c r="R4" i="11" s="1"/>
  <c r="B129" i="12"/>
  <c r="B262" i="12"/>
  <c r="B296" i="48" s="1"/>
  <c r="B77" i="12"/>
  <c r="B45" i="12"/>
  <c r="B27" i="12"/>
  <c r="B35" i="12"/>
  <c r="R5" i="11" s="1"/>
  <c r="B212" i="12"/>
  <c r="I3" i="100"/>
  <c r="I3" i="75"/>
  <c r="E16" i="3"/>
  <c r="B316" i="12"/>
  <c r="B290" i="12"/>
  <c r="B137" i="12"/>
  <c r="B14" i="103" s="1"/>
  <c r="B5" i="12"/>
  <c r="B118" i="12"/>
  <c r="D106" i="111" s="1"/>
  <c r="B221" i="12"/>
  <c r="B271" i="12"/>
  <c r="B191" i="12"/>
  <c r="B267" i="12"/>
  <c r="B245" i="12"/>
  <c r="C102" i="11" s="1"/>
  <c r="B111" i="12"/>
  <c r="B237" i="12"/>
  <c r="B61" i="12"/>
  <c r="B195" i="12"/>
  <c r="B80" i="12"/>
  <c r="I4" i="95" s="1"/>
  <c r="B202" i="12"/>
  <c r="P21" i="3" s="1"/>
  <c r="B8" i="12"/>
  <c r="B43" i="12"/>
  <c r="H6" i="116" s="1"/>
  <c r="B104" i="12"/>
  <c r="D10" i="8" s="1"/>
  <c r="O10" i="9" s="1"/>
  <c r="D10" i="9" s="1"/>
  <c r="E10" i="48" s="1"/>
  <c r="B188" i="12"/>
  <c r="B320" i="12"/>
  <c r="D105" i="111" s="1"/>
  <c r="B165" i="12"/>
  <c r="B322" i="12"/>
  <c r="H112" i="111" s="1"/>
  <c r="AK67" i="48"/>
  <c r="AL69" i="48"/>
  <c r="AP69" i="48"/>
  <c r="F37" i="48"/>
  <c r="AL120" i="48"/>
  <c r="AM69" i="48"/>
  <c r="AP19" i="48"/>
  <c r="S67" i="114"/>
  <c r="S84" i="114"/>
  <c r="AP58" i="48" s="1"/>
  <c r="AP44" i="48"/>
  <c r="AL129" i="48"/>
  <c r="AL66" i="48"/>
  <c r="S64" i="109"/>
  <c r="S65" i="109"/>
  <c r="AO19" i="48"/>
  <c r="AO209" i="48" s="1"/>
  <c r="AO107" i="48"/>
  <c r="S67" i="96"/>
  <c r="AQ69" i="48"/>
  <c r="AN70" i="48"/>
  <c r="F70" i="48" s="1"/>
  <c r="L70" i="48" s="1"/>
  <c r="AN121" i="48"/>
  <c r="AO71" i="48"/>
  <c r="AQ122" i="48"/>
  <c r="AN122" i="48"/>
  <c r="S83" i="113"/>
  <c r="AN43" i="48"/>
  <c r="AN209" i="48" s="1"/>
  <c r="S64" i="113"/>
  <c r="AM36" i="48"/>
  <c r="AM209" i="48" s="1"/>
  <c r="S67" i="115"/>
  <c r="S84" i="115"/>
  <c r="S65" i="113"/>
  <c r="AL56" i="48"/>
  <c r="AK66" i="48"/>
  <c r="AL125" i="48"/>
  <c r="S83" i="109"/>
  <c r="AN66" i="48"/>
  <c r="AN56" i="48"/>
  <c r="AP43" i="48"/>
  <c r="S83" i="115"/>
  <c r="AR57" i="48" s="1"/>
  <c r="S65" i="115"/>
  <c r="AR109" i="48" s="1"/>
  <c r="T4" i="15"/>
  <c r="R16" i="15" s="1"/>
  <c r="F21" i="48"/>
  <c r="S66" i="110"/>
  <c r="AE107" i="48" s="1"/>
  <c r="AE16" i="48"/>
  <c r="AF58" i="48"/>
  <c r="S85" i="111"/>
  <c r="AF60" i="48" s="1"/>
  <c r="S67" i="111"/>
  <c r="AF109" i="48" s="1"/>
  <c r="S84" i="111"/>
  <c r="AF59" i="48" s="1"/>
  <c r="AF44" i="48"/>
  <c r="AF209" i="48" s="1"/>
  <c r="F72" i="48"/>
  <c r="AF16" i="48"/>
  <c r="S68" i="111"/>
  <c r="S69" i="110"/>
  <c r="F68" i="48"/>
  <c r="S68" i="110"/>
  <c r="F74" i="48"/>
  <c r="S67" i="110"/>
  <c r="F73" i="48"/>
  <c r="F20" i="48"/>
  <c r="T3" i="15"/>
  <c r="R15" i="15" s="1"/>
  <c r="F17" i="48"/>
  <c r="BD262" i="48"/>
  <c r="L262" i="48"/>
  <c r="L260" i="48"/>
  <c r="L263" i="48"/>
  <c r="BD263" i="48"/>
  <c r="L268" i="48"/>
  <c r="L258" i="48"/>
  <c r="BD212" i="48"/>
  <c r="L212" i="48"/>
  <c r="BD101" i="48"/>
  <c r="L101" i="48"/>
  <c r="L98" i="48"/>
  <c r="L251" i="48"/>
  <c r="BD211" i="48"/>
  <c r="L211" i="48"/>
  <c r="L100" i="48"/>
  <c r="BD100" i="48"/>
  <c r="BD269" i="48"/>
  <c r="L269" i="48"/>
  <c r="L267" i="48"/>
  <c r="BD253" i="48"/>
  <c r="L266" i="48"/>
  <c r="BD266" i="48"/>
  <c r="BD265" i="48"/>
  <c r="L265" i="48"/>
  <c r="L261" i="48"/>
  <c r="L259" i="48"/>
  <c r="BD264" i="48"/>
  <c r="H9" i="82" l="1"/>
  <c r="H9" i="81"/>
  <c r="H9" i="84"/>
  <c r="H9" i="83"/>
  <c r="I9" i="113"/>
  <c r="I9" i="114"/>
  <c r="I9" i="115"/>
  <c r="S98" i="115"/>
  <c r="S98" i="92"/>
  <c r="S98" i="96"/>
  <c r="S98" i="97"/>
  <c r="S98" i="109"/>
  <c r="I9" i="92"/>
  <c r="I9" i="96"/>
  <c r="I9" i="97"/>
  <c r="I9" i="109"/>
  <c r="S98" i="113"/>
  <c r="S98" i="114"/>
  <c r="J7" i="112"/>
  <c r="O15" i="11"/>
  <c r="AD209" i="48"/>
  <c r="D40" i="107"/>
  <c r="D40" i="106"/>
  <c r="D40" i="105"/>
  <c r="D40" i="104"/>
  <c r="D38" i="84"/>
  <c r="E115" i="86"/>
  <c r="E115" i="88"/>
  <c r="E116" i="87"/>
  <c r="E116" i="80"/>
  <c r="E115" i="85"/>
  <c r="E115" i="81"/>
  <c r="D115" i="82"/>
  <c r="D40" i="88"/>
  <c r="D40" i="87"/>
  <c r="D40" i="80"/>
  <c r="D40" i="85"/>
  <c r="D38" i="81"/>
  <c r="E115" i="107"/>
  <c r="E116" i="106"/>
  <c r="E116" i="105"/>
  <c r="E115" i="84"/>
  <c r="E115" i="104"/>
  <c r="D38" i="82"/>
  <c r="D40" i="86"/>
  <c r="D40" i="111"/>
  <c r="D39" i="107"/>
  <c r="D39" i="106"/>
  <c r="D39" i="105"/>
  <c r="D39" i="104"/>
  <c r="D37" i="84"/>
  <c r="E114" i="86"/>
  <c r="E114" i="88"/>
  <c r="E115" i="87"/>
  <c r="E115" i="80"/>
  <c r="E114" i="85"/>
  <c r="E114" i="81"/>
  <c r="D114" i="82"/>
  <c r="E115" i="110"/>
  <c r="D39" i="88"/>
  <c r="D39" i="87"/>
  <c r="D39" i="80"/>
  <c r="D37" i="81"/>
  <c r="E115" i="106"/>
  <c r="E115" i="105"/>
  <c r="E114" i="84"/>
  <c r="D37" i="82"/>
  <c r="D40" i="110"/>
  <c r="D39" i="86"/>
  <c r="D39" i="85"/>
  <c r="E114" i="107"/>
  <c r="E114" i="104"/>
  <c r="E115" i="111"/>
  <c r="N3" i="105"/>
  <c r="H7" i="110"/>
  <c r="H18" i="11"/>
  <c r="J17" i="95"/>
  <c r="J17" i="115"/>
  <c r="J17" i="113"/>
  <c r="J17" i="97"/>
  <c r="J17" i="92"/>
  <c r="J17" i="114"/>
  <c r="J17" i="109"/>
  <c r="J17" i="96"/>
  <c r="AI209" i="48"/>
  <c r="E20" i="11"/>
  <c r="B400" i="11"/>
  <c r="Y209" i="48"/>
  <c r="H8" i="112"/>
  <c r="H8" i="83"/>
  <c r="H8" i="104"/>
  <c r="H8" i="108"/>
  <c r="H8" i="85"/>
  <c r="H8" i="90"/>
  <c r="H8" i="82"/>
  <c r="H8" i="86"/>
  <c r="H8" i="89"/>
  <c r="H8" i="111"/>
  <c r="H8" i="84"/>
  <c r="H8" i="93"/>
  <c r="H8" i="110"/>
  <c r="G215" i="48"/>
  <c r="M215" i="48" s="1"/>
  <c r="H215" i="48" s="1"/>
  <c r="F18" i="16"/>
  <c r="G18" i="16" s="1"/>
  <c r="F708" i="9"/>
  <c r="F709" i="9"/>
  <c r="F640" i="9"/>
  <c r="BD25" i="48"/>
  <c r="AP209" i="48"/>
  <c r="W209" i="48"/>
  <c r="S209" i="48"/>
  <c r="T209" i="48"/>
  <c r="Z209" i="48"/>
  <c r="B24" i="16"/>
  <c r="P90" i="92"/>
  <c r="P90" i="96"/>
  <c r="P90" i="97"/>
  <c r="P90" i="109"/>
  <c r="P90" i="113"/>
  <c r="P90" i="114"/>
  <c r="P90" i="115"/>
  <c r="Q90" i="92"/>
  <c r="Q90" i="96"/>
  <c r="Q90" i="97"/>
  <c r="Q90" i="109"/>
  <c r="Q90" i="113"/>
  <c r="Q90" i="114"/>
  <c r="Q90" i="115"/>
  <c r="R90" i="109"/>
  <c r="R90" i="113"/>
  <c r="R90" i="114"/>
  <c r="R90" i="115"/>
  <c r="R90" i="92"/>
  <c r="R90" i="96"/>
  <c r="R90" i="97"/>
  <c r="H17" i="106"/>
  <c r="H17" i="87"/>
  <c r="H17" i="105"/>
  <c r="H17" i="80"/>
  <c r="BD48" i="48"/>
  <c r="P96" i="95"/>
  <c r="P96" i="113"/>
  <c r="P96" i="114"/>
  <c r="P96" i="115"/>
  <c r="P96" i="92"/>
  <c r="P96" i="96"/>
  <c r="P96" i="97"/>
  <c r="P96" i="109"/>
  <c r="R96" i="95"/>
  <c r="R96" i="92"/>
  <c r="R96" i="96"/>
  <c r="R96" i="97"/>
  <c r="R96" i="109"/>
  <c r="R96" i="113"/>
  <c r="R96" i="114"/>
  <c r="R96" i="115"/>
  <c r="T96" i="95"/>
  <c r="U96" i="95" s="1"/>
  <c r="T96" i="113"/>
  <c r="U96" i="113" s="1"/>
  <c r="T96" i="114"/>
  <c r="U96" i="114" s="1"/>
  <c r="T96" i="115"/>
  <c r="U96" i="115" s="1"/>
  <c r="T96" i="92"/>
  <c r="U96" i="92" s="1"/>
  <c r="T96" i="96"/>
  <c r="U96" i="96" s="1"/>
  <c r="T96" i="97"/>
  <c r="U96" i="97" s="1"/>
  <c r="T96" i="109"/>
  <c r="U96" i="109" s="1"/>
  <c r="Q96" i="95"/>
  <c r="Q96" i="92"/>
  <c r="Q96" i="97"/>
  <c r="Q96" i="109"/>
  <c r="Q96" i="113"/>
  <c r="Q96" i="114"/>
  <c r="Q96" i="115"/>
  <c r="Q96" i="96"/>
  <c r="F12" i="48"/>
  <c r="L12" i="48" s="1"/>
  <c r="D252" i="48"/>
  <c r="C252" i="48"/>
  <c r="J7" i="104"/>
  <c r="J7" i="111"/>
  <c r="J7" i="85"/>
  <c r="D42" i="110"/>
  <c r="D42" i="111"/>
  <c r="J7" i="93"/>
  <c r="E18" i="11"/>
  <c r="R18" i="11"/>
  <c r="R15" i="11"/>
  <c r="J7" i="84"/>
  <c r="J7" i="83"/>
  <c r="J7" i="86"/>
  <c r="J7" i="89"/>
  <c r="J7" i="82"/>
  <c r="J7" i="90"/>
  <c r="J7" i="110"/>
  <c r="R19" i="11"/>
  <c r="S14" i="11" s="1"/>
  <c r="R16" i="11"/>
  <c r="J7" i="108"/>
  <c r="F287" i="9"/>
  <c r="T55" i="84" s="1"/>
  <c r="U55" i="84" s="1"/>
  <c r="F293" i="9"/>
  <c r="F292" i="9"/>
  <c r="P6" i="11"/>
  <c r="E6" i="3"/>
  <c r="T5" i="10"/>
  <c r="I3" i="116"/>
  <c r="L16" i="3"/>
  <c r="I3" i="103"/>
  <c r="I3" i="101"/>
  <c r="I3" i="99"/>
  <c r="E25" i="3"/>
  <c r="I3" i="102"/>
  <c r="B412" i="11"/>
  <c r="B413" i="11"/>
  <c r="B410" i="11"/>
  <c r="I6" i="95"/>
  <c r="I6" i="97"/>
  <c r="I6" i="113"/>
  <c r="I6" i="109"/>
  <c r="H6" i="112"/>
  <c r="H6" i="89"/>
  <c r="H6" i="107"/>
  <c r="H6" i="106"/>
  <c r="H6" i="87"/>
  <c r="K19" i="10"/>
  <c r="E34" i="10"/>
  <c r="K42" i="10"/>
  <c r="K57" i="10"/>
  <c r="K92" i="10"/>
  <c r="K74" i="10"/>
  <c r="I6" i="92"/>
  <c r="H6" i="90"/>
  <c r="H6" i="105"/>
  <c r="H6" i="80"/>
  <c r="H6" i="104"/>
  <c r="H6" i="85"/>
  <c r="E26" i="10"/>
  <c r="K34" i="10"/>
  <c r="E49" i="10"/>
  <c r="E83" i="10"/>
  <c r="E65" i="10"/>
  <c r="I6" i="114"/>
  <c r="H6" i="108"/>
  <c r="H6" i="88"/>
  <c r="K26" i="10"/>
  <c r="Q34" i="10"/>
  <c r="K49" i="10"/>
  <c r="K83" i="10"/>
  <c r="K65" i="10"/>
  <c r="I6" i="115"/>
  <c r="I6" i="96"/>
  <c r="H6" i="111"/>
  <c r="H6" i="110"/>
  <c r="E19" i="10"/>
  <c r="Q26" i="10"/>
  <c r="E42" i="10"/>
  <c r="E57" i="10"/>
  <c r="E92" i="10"/>
  <c r="E74" i="10"/>
  <c r="N10" i="109"/>
  <c r="N6" i="82"/>
  <c r="U6" i="11"/>
  <c r="X3" i="11"/>
  <c r="X2" i="11" s="1"/>
  <c r="K7" i="116" s="1"/>
  <c r="U4" i="11"/>
  <c r="X4" i="11"/>
  <c r="R2" i="11"/>
  <c r="B42" i="96"/>
  <c r="B42" i="95"/>
  <c r="B42" i="114"/>
  <c r="B42" i="92"/>
  <c r="B42" i="113"/>
  <c r="B42" i="109"/>
  <c r="B42" i="97"/>
  <c r="B42" i="115"/>
  <c r="G23" i="15"/>
  <c r="C23" i="15"/>
  <c r="G17" i="15"/>
  <c r="C17" i="15"/>
  <c r="J131" i="75"/>
  <c r="X7" i="11"/>
  <c r="X5" i="11"/>
  <c r="N9" i="100"/>
  <c r="K85" i="10"/>
  <c r="N31" i="86"/>
  <c r="P86" i="107"/>
  <c r="I37" i="107" s="1"/>
  <c r="N31" i="106"/>
  <c r="P88" i="83"/>
  <c r="P89" i="84"/>
  <c r="B54" i="15"/>
  <c r="D44" i="104"/>
  <c r="D35" i="83"/>
  <c r="D43" i="87"/>
  <c r="D43" i="107"/>
  <c r="R10" i="15"/>
  <c r="D43" i="105"/>
  <c r="D43" i="85"/>
  <c r="D43" i="111"/>
  <c r="B1" i="10"/>
  <c r="B2" i="15"/>
  <c r="P4" i="11"/>
  <c r="T6" i="86"/>
  <c r="U6" i="86" s="1"/>
  <c r="G47" i="48"/>
  <c r="M47" i="48" s="1"/>
  <c r="H47" i="48" s="1"/>
  <c r="D47" i="48"/>
  <c r="R6" i="86"/>
  <c r="C47" i="48"/>
  <c r="Q6" i="86"/>
  <c r="P6" i="86"/>
  <c r="B47" i="48"/>
  <c r="D11" i="48"/>
  <c r="R6" i="83"/>
  <c r="P4" i="84"/>
  <c r="B24" i="48"/>
  <c r="T4" i="84"/>
  <c r="U4" i="84" s="1"/>
  <c r="G24" i="48"/>
  <c r="M24" i="48" s="1"/>
  <c r="H24" i="48" s="1"/>
  <c r="Q10" i="84"/>
  <c r="C30" i="48"/>
  <c r="T6" i="83"/>
  <c r="U6" i="83" s="1"/>
  <c r="G11" i="48"/>
  <c r="M11" i="48" s="1"/>
  <c r="C14" i="48"/>
  <c r="Q9" i="83"/>
  <c r="Q4" i="84"/>
  <c r="C24" i="48"/>
  <c r="D30" i="48"/>
  <c r="R10" i="84"/>
  <c r="T10" i="84"/>
  <c r="U10" i="84" s="1"/>
  <c r="G30" i="48"/>
  <c r="M30" i="48" s="1"/>
  <c r="H30" i="48" s="1"/>
  <c r="P6" i="83"/>
  <c r="B11" i="48"/>
  <c r="P9" i="83"/>
  <c r="B14" i="48"/>
  <c r="D14" i="48"/>
  <c r="R9" i="83"/>
  <c r="D24" i="48"/>
  <c r="R4" i="84"/>
  <c r="C11" i="48"/>
  <c r="Q6" i="83"/>
  <c r="T9" i="83"/>
  <c r="U9" i="83" s="1"/>
  <c r="G14" i="48"/>
  <c r="M14" i="48" s="1"/>
  <c r="H14" i="48" s="1"/>
  <c r="P10" i="84"/>
  <c r="B30" i="48"/>
  <c r="D112" i="48"/>
  <c r="C30" i="16"/>
  <c r="D24" i="16"/>
  <c r="F45" i="48"/>
  <c r="L45" i="48" s="1"/>
  <c r="B181" i="48"/>
  <c r="N10" i="93"/>
  <c r="N10" i="84"/>
  <c r="M10" i="116"/>
  <c r="K6" i="100"/>
  <c r="C156" i="48"/>
  <c r="F659" i="9"/>
  <c r="G226" i="48" s="1"/>
  <c r="M226" i="48" s="1"/>
  <c r="H226" i="48" s="1"/>
  <c r="T18" i="99"/>
  <c r="U18" i="99" s="1"/>
  <c r="F679" i="9"/>
  <c r="G246" i="48" s="1"/>
  <c r="M246" i="48" s="1"/>
  <c r="H246" i="48" s="1"/>
  <c r="R19" i="100"/>
  <c r="G114" i="48"/>
  <c r="M114" i="48" s="1"/>
  <c r="H114" i="48" s="1"/>
  <c r="G21" i="48"/>
  <c r="F307" i="9"/>
  <c r="T62" i="115" s="1"/>
  <c r="U62" i="115" s="1"/>
  <c r="T17" i="90"/>
  <c r="U17" i="90" s="1"/>
  <c r="F654" i="9"/>
  <c r="G221" i="48" s="1"/>
  <c r="M221" i="48" s="1"/>
  <c r="H221" i="48" s="1"/>
  <c r="F235" i="9"/>
  <c r="T70" i="104" s="1"/>
  <c r="U70" i="104" s="1"/>
  <c r="F403" i="9"/>
  <c r="T69" i="95" s="1"/>
  <c r="U69" i="95" s="1"/>
  <c r="T11" i="105"/>
  <c r="U11" i="105" s="1"/>
  <c r="F93" i="48"/>
  <c r="L93" i="48" s="1"/>
  <c r="Q18" i="103"/>
  <c r="R7" i="84"/>
  <c r="Q8" i="97"/>
  <c r="Q6" i="89"/>
  <c r="P6" i="81"/>
  <c r="D251" i="48"/>
  <c r="B260" i="48"/>
  <c r="B138" i="48"/>
  <c r="R10" i="93"/>
  <c r="B197" i="48"/>
  <c r="B162" i="48"/>
  <c r="D105" i="86"/>
  <c r="D105" i="88"/>
  <c r="D106" i="87"/>
  <c r="D106" i="80"/>
  <c r="D105" i="85"/>
  <c r="D105" i="81"/>
  <c r="D105" i="104"/>
  <c r="D106" i="110"/>
  <c r="D105" i="107"/>
  <c r="D106" i="106"/>
  <c r="D105" i="84"/>
  <c r="D106" i="105"/>
  <c r="D105" i="83"/>
  <c r="B48" i="109"/>
  <c r="D46" i="104"/>
  <c r="D40" i="82"/>
  <c r="D42" i="107"/>
  <c r="D42" i="106"/>
  <c r="D42" i="86"/>
  <c r="D42" i="88"/>
  <c r="D42" i="87"/>
  <c r="D34" i="83"/>
  <c r="D42" i="80"/>
  <c r="D42" i="85"/>
  <c r="D43" i="104"/>
  <c r="D40" i="81"/>
  <c r="D42" i="105"/>
  <c r="D40" i="84"/>
  <c r="P66" i="115"/>
  <c r="P65" i="92"/>
  <c r="Q36" i="90"/>
  <c r="Q64" i="96"/>
  <c r="G90" i="48"/>
  <c r="M90" i="48" s="1"/>
  <c r="H90" i="48" s="1"/>
  <c r="T55" i="88"/>
  <c r="U55" i="88" s="1"/>
  <c r="T55" i="81"/>
  <c r="U55" i="81" s="1"/>
  <c r="T55" i="107"/>
  <c r="U55" i="107" s="1"/>
  <c r="T55" i="82"/>
  <c r="U55" i="82" s="1"/>
  <c r="T55" i="106"/>
  <c r="U55" i="106" s="1"/>
  <c r="T55" i="86"/>
  <c r="U55" i="86" s="1"/>
  <c r="L6" i="3"/>
  <c r="F308" i="9"/>
  <c r="K14" i="10"/>
  <c r="R3" i="15"/>
  <c r="B10" i="8"/>
  <c r="M10" i="9" s="1"/>
  <c r="B10" i="9" s="1"/>
  <c r="C10" i="48" s="1"/>
  <c r="H106" i="110"/>
  <c r="H105" i="107"/>
  <c r="H106" i="106"/>
  <c r="H106" i="105"/>
  <c r="H105" i="104"/>
  <c r="H105" i="84"/>
  <c r="H105" i="83"/>
  <c r="H105" i="82"/>
  <c r="H105" i="86"/>
  <c r="H106" i="80"/>
  <c r="H105" i="85"/>
  <c r="H105" i="88"/>
  <c r="H106" i="87"/>
  <c r="H105" i="81"/>
  <c r="B100" i="83"/>
  <c r="B100" i="82"/>
  <c r="N10" i="108"/>
  <c r="B55" i="80"/>
  <c r="B55" i="87"/>
  <c r="Q66" i="114"/>
  <c r="Q66" i="96"/>
  <c r="B252" i="48"/>
  <c r="Q64" i="106"/>
  <c r="Q65" i="96"/>
  <c r="Q64" i="92"/>
  <c r="R65" i="96"/>
  <c r="R64" i="92"/>
  <c r="P66" i="110"/>
  <c r="P64" i="96"/>
  <c r="O103" i="48"/>
  <c r="H111" i="86"/>
  <c r="H111" i="88"/>
  <c r="H112" i="87"/>
  <c r="H112" i="80"/>
  <c r="H111" i="85"/>
  <c r="H111" i="81"/>
  <c r="H112" i="110"/>
  <c r="H111" i="107"/>
  <c r="H112" i="106"/>
  <c r="H112" i="105"/>
  <c r="H111" i="104"/>
  <c r="H111" i="84"/>
  <c r="H111" i="83"/>
  <c r="H111" i="82"/>
  <c r="D105" i="110"/>
  <c r="D104" i="107"/>
  <c r="D105" i="106"/>
  <c r="D105" i="105"/>
  <c r="D104" i="104"/>
  <c r="D104" i="84"/>
  <c r="D104" i="83"/>
  <c r="D104" i="88"/>
  <c r="D105" i="87"/>
  <c r="D104" i="81"/>
  <c r="D104" i="82"/>
  <c r="D104" i="86"/>
  <c r="D105" i="80"/>
  <c r="D104" i="85"/>
  <c r="H7" i="111"/>
  <c r="B57" i="80"/>
  <c r="D45" i="81"/>
  <c r="B54" i="87"/>
  <c r="B54" i="80"/>
  <c r="B41" i="115"/>
  <c r="B41" i="97"/>
  <c r="B41" i="109"/>
  <c r="B41" i="95"/>
  <c r="B41" i="96"/>
  <c r="B41" i="113"/>
  <c r="B41" i="114"/>
  <c r="B41" i="92"/>
  <c r="J104" i="82"/>
  <c r="J104" i="86"/>
  <c r="J104" i="88"/>
  <c r="J105" i="87"/>
  <c r="J105" i="80"/>
  <c r="J104" i="85"/>
  <c r="J104" i="81"/>
  <c r="J105" i="110"/>
  <c r="J104" i="107"/>
  <c r="J105" i="106"/>
  <c r="J105" i="105"/>
  <c r="J104" i="104"/>
  <c r="J104" i="84"/>
  <c r="J104" i="83"/>
  <c r="N10" i="87"/>
  <c r="G106" i="110"/>
  <c r="G105" i="107"/>
  <c r="G106" i="106"/>
  <c r="G106" i="105"/>
  <c r="G105" i="104"/>
  <c r="G105" i="84"/>
  <c r="G105" i="83"/>
  <c r="G105" i="82"/>
  <c r="G105" i="86"/>
  <c r="G105" i="88"/>
  <c r="G106" i="87"/>
  <c r="G106" i="80"/>
  <c r="G105" i="85"/>
  <c r="G105" i="81"/>
  <c r="D35" i="80"/>
  <c r="D103" i="82"/>
  <c r="D33" i="82"/>
  <c r="F131" i="48"/>
  <c r="BD131" i="48" s="1"/>
  <c r="P19" i="90"/>
  <c r="R65" i="105"/>
  <c r="R66" i="96"/>
  <c r="P64" i="113"/>
  <c r="P64" i="92"/>
  <c r="P65" i="96"/>
  <c r="T8" i="84"/>
  <c r="U8" i="84" s="1"/>
  <c r="P66" i="114"/>
  <c r="P66" i="96"/>
  <c r="I3" i="117"/>
  <c r="D29" i="16"/>
  <c r="N103" i="48"/>
  <c r="F55" i="48"/>
  <c r="L55" i="48" s="1"/>
  <c r="Z103" i="48"/>
  <c r="Y103" i="48"/>
  <c r="W103" i="48"/>
  <c r="F130" i="48"/>
  <c r="BD130" i="48" s="1"/>
  <c r="T103" i="48"/>
  <c r="S103" i="48"/>
  <c r="Q103" i="48"/>
  <c r="F91" i="48"/>
  <c r="L91" i="48" s="1"/>
  <c r="X103" i="48"/>
  <c r="V103" i="48"/>
  <c r="R103" i="48"/>
  <c r="P103" i="48"/>
  <c r="AF103" i="48"/>
  <c r="AE103" i="48"/>
  <c r="BD195" i="48"/>
  <c r="F92" i="48"/>
  <c r="L92" i="48" s="1"/>
  <c r="O4" i="117"/>
  <c r="B201" i="48"/>
  <c r="O3" i="117"/>
  <c r="B200" i="48"/>
  <c r="D200" i="48"/>
  <c r="Q3" i="117"/>
  <c r="R7" i="108"/>
  <c r="D260" i="48"/>
  <c r="P3" i="117"/>
  <c r="C200" i="48"/>
  <c r="Q4" i="117"/>
  <c r="D201" i="48"/>
  <c r="P4" i="117"/>
  <c r="C201" i="48"/>
  <c r="R68" i="88"/>
  <c r="R69" i="97"/>
  <c r="Q67" i="96"/>
  <c r="D268" i="48"/>
  <c r="B159" i="48"/>
  <c r="R19" i="112"/>
  <c r="C23" i="16"/>
  <c r="D32" i="16"/>
  <c r="C24" i="16"/>
  <c r="B30" i="16"/>
  <c r="C261" i="48"/>
  <c r="C260" i="48"/>
  <c r="R19" i="99"/>
  <c r="R90" i="95"/>
  <c r="Q90" i="95"/>
  <c r="R67" i="92"/>
  <c r="R9" i="113"/>
  <c r="P23" i="99"/>
  <c r="B29" i="16"/>
  <c r="D259" i="48"/>
  <c r="P90" i="95"/>
  <c r="K3" i="117"/>
  <c r="M25" i="3"/>
  <c r="D35" i="86"/>
  <c r="E41" i="10"/>
  <c r="N50" i="15"/>
  <c r="E30" i="3"/>
  <c r="B14" i="117"/>
  <c r="J55" i="15"/>
  <c r="E21" i="3"/>
  <c r="E35" i="3"/>
  <c r="L26" i="3"/>
  <c r="O51" i="15"/>
  <c r="O56" i="15"/>
  <c r="C15" i="117"/>
  <c r="C16" i="117"/>
  <c r="N6" i="107"/>
  <c r="S98" i="95"/>
  <c r="N9" i="99"/>
  <c r="N10" i="113"/>
  <c r="P87" i="110"/>
  <c r="F234" i="9"/>
  <c r="T49" i="112" s="1"/>
  <c r="U49" i="112" s="1"/>
  <c r="F704" i="9"/>
  <c r="F705" i="9"/>
  <c r="F711" i="9"/>
  <c r="G258" i="48" s="1"/>
  <c r="M258" i="48" s="1"/>
  <c r="H258" i="48" s="1"/>
  <c r="F712" i="9"/>
  <c r="F30" i="16" s="1"/>
  <c r="G30" i="16" s="1"/>
  <c r="F713" i="9"/>
  <c r="F714" i="9"/>
  <c r="F32" i="16" s="1"/>
  <c r="G32" i="16" s="1"/>
  <c r="T11" i="100"/>
  <c r="U11" i="100" s="1"/>
  <c r="T8" i="115"/>
  <c r="U8" i="115" s="1"/>
  <c r="F750" i="9"/>
  <c r="G278" i="48" s="1"/>
  <c r="F651" i="9"/>
  <c r="F3" i="75" s="1"/>
  <c r="G3" i="75" s="1"/>
  <c r="F663" i="9"/>
  <c r="G230" i="48" s="1"/>
  <c r="M230" i="48" s="1"/>
  <c r="H230" i="48" s="1"/>
  <c r="F636" i="9"/>
  <c r="G212" i="48" s="1"/>
  <c r="M212" i="48" s="1"/>
  <c r="H212" i="48" s="1"/>
  <c r="G20" i="48"/>
  <c r="G12" i="48"/>
  <c r="M12" i="48" s="1"/>
  <c r="H12" i="48" s="1"/>
  <c r="G160" i="48"/>
  <c r="M160" i="48" s="1"/>
  <c r="H160" i="48" s="1"/>
  <c r="T3" i="82"/>
  <c r="U3" i="82" s="1"/>
  <c r="T22" i="99"/>
  <c r="U22" i="99" s="1"/>
  <c r="F404" i="9"/>
  <c r="T70" i="95" s="1"/>
  <c r="U70" i="95" s="1"/>
  <c r="G190" i="48"/>
  <c r="M190" i="48" s="1"/>
  <c r="H190" i="48" s="1"/>
  <c r="T64" i="83"/>
  <c r="U64" i="83" s="1"/>
  <c r="G174" i="48"/>
  <c r="M174" i="48" s="1"/>
  <c r="H174" i="48" s="1"/>
  <c r="F244" i="9"/>
  <c r="G165" i="48"/>
  <c r="M165" i="48" s="1"/>
  <c r="H165" i="48" s="1"/>
  <c r="G110" i="48"/>
  <c r="F283" i="9"/>
  <c r="G178" i="48"/>
  <c r="M178" i="48" s="1"/>
  <c r="H178" i="48" s="1"/>
  <c r="F635" i="9"/>
  <c r="F13" i="16" s="1"/>
  <c r="G13" i="16" s="1"/>
  <c r="T7" i="107"/>
  <c r="U7" i="107" s="1"/>
  <c r="T20" i="112"/>
  <c r="U20" i="112" s="1"/>
  <c r="BD37" i="48"/>
  <c r="BD33" i="48"/>
  <c r="BD77" i="48"/>
  <c r="F717" i="9"/>
  <c r="G264" i="48" s="1"/>
  <c r="M264" i="48" s="1"/>
  <c r="H264" i="48" s="1"/>
  <c r="G141" i="48"/>
  <c r="M141" i="48" s="1"/>
  <c r="H141" i="48" s="1"/>
  <c r="T16" i="99"/>
  <c r="U16" i="99" s="1"/>
  <c r="G188" i="48"/>
  <c r="M188" i="48" s="1"/>
  <c r="H188" i="48" s="1"/>
  <c r="F274" i="9"/>
  <c r="T15" i="100"/>
  <c r="U15" i="100" s="1"/>
  <c r="G197" i="48"/>
  <c r="M197" i="48" s="1"/>
  <c r="H197" i="48" s="1"/>
  <c r="F728" i="9"/>
  <c r="G49" i="48"/>
  <c r="M49" i="48" s="1"/>
  <c r="H49" i="48" s="1"/>
  <c r="G176" i="48"/>
  <c r="M176" i="48" s="1"/>
  <c r="H176" i="48" s="1"/>
  <c r="G26" i="48"/>
  <c r="M26" i="48" s="1"/>
  <c r="H26" i="48" s="1"/>
  <c r="G196" i="48"/>
  <c r="M196" i="48" s="1"/>
  <c r="H196" i="48" s="1"/>
  <c r="T65" i="92"/>
  <c r="U65" i="92" s="1"/>
  <c r="G140" i="48"/>
  <c r="M140" i="48" s="1"/>
  <c r="H140" i="48" s="1"/>
  <c r="T21" i="99"/>
  <c r="U21" i="99" s="1"/>
  <c r="T13" i="100"/>
  <c r="U13" i="100" s="1"/>
  <c r="F285" i="9"/>
  <c r="G142" i="48"/>
  <c r="M142" i="48" s="1"/>
  <c r="H142" i="48" s="1"/>
  <c r="T3" i="85"/>
  <c r="U3" i="85" s="1"/>
  <c r="G195" i="48"/>
  <c r="M195" i="48" s="1"/>
  <c r="H195" i="48" s="1"/>
  <c r="T66" i="86"/>
  <c r="U66" i="86" s="1"/>
  <c r="F681" i="9"/>
  <c r="F34" i="75" s="1"/>
  <c r="G34" i="75" s="1"/>
  <c r="F706" i="9"/>
  <c r="T6" i="95"/>
  <c r="U6" i="95" s="1"/>
  <c r="T68" i="107"/>
  <c r="U68" i="107" s="1"/>
  <c r="G156" i="48"/>
  <c r="M156" i="48" s="1"/>
  <c r="H156" i="48" s="1"/>
  <c r="F245" i="9"/>
  <c r="G198" i="48"/>
  <c r="M198" i="48" s="1"/>
  <c r="H198" i="48" s="1"/>
  <c r="T67" i="95"/>
  <c r="U67" i="95" s="1"/>
  <c r="G152" i="48"/>
  <c r="M152" i="48" s="1"/>
  <c r="H152" i="48" s="1"/>
  <c r="F279" i="9"/>
  <c r="T64" i="106"/>
  <c r="U64" i="106" s="1"/>
  <c r="T16" i="90"/>
  <c r="U16" i="90" s="1"/>
  <c r="T5" i="93"/>
  <c r="U5" i="93" s="1"/>
  <c r="G163" i="48"/>
  <c r="M163" i="48" s="1"/>
  <c r="H163" i="48" s="1"/>
  <c r="T8" i="92"/>
  <c r="U8" i="92" s="1"/>
  <c r="G145" i="48"/>
  <c r="M145" i="48" s="1"/>
  <c r="H145" i="48" s="1"/>
  <c r="G268" i="48"/>
  <c r="M268" i="48" s="1"/>
  <c r="H268" i="48" s="1"/>
  <c r="T5" i="105"/>
  <c r="U5" i="105" s="1"/>
  <c r="G169" i="48"/>
  <c r="M169" i="48" s="1"/>
  <c r="H169" i="48" s="1"/>
  <c r="F629" i="9"/>
  <c r="S22" i="103" s="1"/>
  <c r="T22" i="103" s="1"/>
  <c r="F298" i="9"/>
  <c r="G99" i="48" s="1"/>
  <c r="M99" i="48" s="1"/>
  <c r="H99" i="48" s="1"/>
  <c r="F289" i="9"/>
  <c r="T57" i="82" s="1"/>
  <c r="U57" i="82" s="1"/>
  <c r="F247" i="9"/>
  <c r="F683" i="9"/>
  <c r="P9" i="116"/>
  <c r="C168" i="48"/>
  <c r="O9" i="116"/>
  <c r="B168" i="48"/>
  <c r="Q9" i="116"/>
  <c r="D168" i="48"/>
  <c r="N2" i="95"/>
  <c r="M2" i="117"/>
  <c r="H8" i="117"/>
  <c r="R42" i="117"/>
  <c r="P87" i="81"/>
  <c r="C36" i="81" s="1"/>
  <c r="I5" i="95"/>
  <c r="H6" i="117"/>
  <c r="N6" i="104"/>
  <c r="N6" i="88"/>
  <c r="N6" i="92"/>
  <c r="N6" i="80"/>
  <c r="N6" i="85"/>
  <c r="D103" i="83"/>
  <c r="G8" i="8"/>
  <c r="J5" i="48"/>
  <c r="N7" i="95"/>
  <c r="M5" i="117"/>
  <c r="I6" i="16"/>
  <c r="M11" i="103"/>
  <c r="N11" i="104"/>
  <c r="C128" i="11"/>
  <c r="N4" i="89"/>
  <c r="M9" i="116"/>
  <c r="N9" i="95"/>
  <c r="M7" i="117"/>
  <c r="B14" i="101"/>
  <c r="N11" i="86"/>
  <c r="M6" i="90"/>
  <c r="N6" i="86"/>
  <c r="N6" i="105"/>
  <c r="I7" i="75"/>
  <c r="N11" i="109"/>
  <c r="N11" i="82"/>
  <c r="BD38" i="48"/>
  <c r="BD94" i="48"/>
  <c r="D27" i="48"/>
  <c r="R9" i="85"/>
  <c r="R9" i="104"/>
  <c r="B18" i="48"/>
  <c r="R22" i="99"/>
  <c r="C32" i="48"/>
  <c r="P3" i="116"/>
  <c r="BD39" i="48"/>
  <c r="T7" i="84"/>
  <c r="U7" i="84" s="1"/>
  <c r="G33" i="48"/>
  <c r="F746" i="9"/>
  <c r="G274" i="48" s="1"/>
  <c r="H274" i="48" s="1"/>
  <c r="F264" i="9"/>
  <c r="T34" i="88" s="1"/>
  <c r="U34" i="88" s="1"/>
  <c r="BD31" i="48"/>
  <c r="F625" i="9"/>
  <c r="C203" i="48"/>
  <c r="P66" i="111"/>
  <c r="R9" i="92"/>
  <c r="Q68" i="107"/>
  <c r="R14" i="90"/>
  <c r="BD34" i="48"/>
  <c r="R64" i="84"/>
  <c r="BD23" i="48"/>
  <c r="BD49" i="48"/>
  <c r="C34" i="48"/>
  <c r="Q11" i="81"/>
  <c r="R9" i="87"/>
  <c r="P10" i="85"/>
  <c r="Q68" i="92"/>
  <c r="BD35" i="48"/>
  <c r="BD88" i="48"/>
  <c r="BD28" i="48"/>
  <c r="R10" i="95"/>
  <c r="Q9" i="104"/>
  <c r="R23" i="99"/>
  <c r="C112" i="48"/>
  <c r="R10" i="97"/>
  <c r="Q3" i="97"/>
  <c r="C144" i="48"/>
  <c r="R7" i="100"/>
  <c r="R7" i="92"/>
  <c r="P17" i="100"/>
  <c r="D160" i="48"/>
  <c r="L27" i="48"/>
  <c r="BD27" i="48"/>
  <c r="L29" i="48"/>
  <c r="BD29" i="48"/>
  <c r="F40" i="48"/>
  <c r="BD40" i="48" s="1"/>
  <c r="L210" i="48"/>
  <c r="BD85" i="48"/>
  <c r="BD123" i="48"/>
  <c r="F32" i="48"/>
  <c r="L32" i="48" s="1"/>
  <c r="L78" i="48"/>
  <c r="F126" i="48"/>
  <c r="BD126" i="48" s="1"/>
  <c r="BD114" i="48"/>
  <c r="L133" i="48"/>
  <c r="M133" i="48" s="1"/>
  <c r="R13" i="100"/>
  <c r="BD13" i="48"/>
  <c r="R4" i="114"/>
  <c r="R10" i="109"/>
  <c r="R10" i="92"/>
  <c r="Q6" i="110"/>
  <c r="Q3" i="96"/>
  <c r="Q7" i="81"/>
  <c r="D38" i="48"/>
  <c r="R8" i="85"/>
  <c r="R10" i="96"/>
  <c r="Q3" i="90"/>
  <c r="R10" i="87"/>
  <c r="Q3" i="112"/>
  <c r="R10" i="115"/>
  <c r="R10" i="89"/>
  <c r="R4" i="85"/>
  <c r="B189" i="48"/>
  <c r="D35" i="48"/>
  <c r="P10" i="92"/>
  <c r="Q14" i="90"/>
  <c r="D122" i="48"/>
  <c r="P3" i="96"/>
  <c r="R7" i="111"/>
  <c r="Q11" i="111"/>
  <c r="R8" i="109"/>
  <c r="Q16" i="112"/>
  <c r="B164" i="48"/>
  <c r="R65" i="95"/>
  <c r="Q3" i="116"/>
  <c r="R7" i="85"/>
  <c r="C185" i="48"/>
  <c r="P22" i="99"/>
  <c r="R19" i="90"/>
  <c r="R68" i="107"/>
  <c r="Q10" i="99"/>
  <c r="Q9" i="89"/>
  <c r="R69" i="115"/>
  <c r="R3" i="95"/>
  <c r="D136" i="48"/>
  <c r="R5" i="89"/>
  <c r="C172" i="48"/>
  <c r="D32" i="48"/>
  <c r="B22" i="48"/>
  <c r="D50" i="48"/>
  <c r="R68" i="92"/>
  <c r="R7" i="115"/>
  <c r="R4" i="95"/>
  <c r="Q13" i="112"/>
  <c r="Q9" i="115"/>
  <c r="R65" i="80"/>
  <c r="C43" i="48"/>
  <c r="R5" i="115"/>
  <c r="R5" i="88"/>
  <c r="R3" i="89"/>
  <c r="P10" i="81"/>
  <c r="O3" i="102"/>
  <c r="D36" i="110"/>
  <c r="D30" i="83"/>
  <c r="D33" i="84"/>
  <c r="D35" i="88"/>
  <c r="P87" i="111"/>
  <c r="P85" i="81"/>
  <c r="P85" i="105"/>
  <c r="N3" i="93"/>
  <c r="N3" i="88"/>
  <c r="M3" i="112"/>
  <c r="N3" i="85"/>
  <c r="N3" i="110"/>
  <c r="I3" i="16"/>
  <c r="N3" i="92"/>
  <c r="P3" i="3"/>
  <c r="C48" i="48"/>
  <c r="Q17" i="90"/>
  <c r="R5" i="82"/>
  <c r="R4" i="111"/>
  <c r="P7" i="104"/>
  <c r="P9" i="111"/>
  <c r="P3" i="102"/>
  <c r="C195" i="48"/>
  <c r="D148" i="48"/>
  <c r="R16" i="99"/>
  <c r="R64" i="86"/>
  <c r="D110" i="48"/>
  <c r="N11" i="80"/>
  <c r="N11" i="107"/>
  <c r="N11" i="93"/>
  <c r="K1" i="48"/>
  <c r="M11" i="112"/>
  <c r="M11" i="116"/>
  <c r="N11" i="92"/>
  <c r="N11" i="113"/>
  <c r="N11" i="100"/>
  <c r="I10" i="16"/>
  <c r="N11" i="97"/>
  <c r="N11" i="115"/>
  <c r="Q8" i="85"/>
  <c r="Q8" i="80"/>
  <c r="Q8" i="89"/>
  <c r="Q8" i="95"/>
  <c r="Q8" i="88"/>
  <c r="Q13" i="90"/>
  <c r="C36" i="48"/>
  <c r="Q10" i="86"/>
  <c r="Q20" i="90"/>
  <c r="P18" i="100"/>
  <c r="B188" i="48"/>
  <c r="C18" i="48"/>
  <c r="Q5" i="111"/>
  <c r="Q6" i="82"/>
  <c r="Q6" i="93"/>
  <c r="Q12" i="90"/>
  <c r="Q7" i="96"/>
  <c r="Q7" i="85"/>
  <c r="Q7" i="95"/>
  <c r="Q7" i="97"/>
  <c r="Q7" i="92"/>
  <c r="C35" i="48"/>
  <c r="B172" i="48"/>
  <c r="P3" i="100"/>
  <c r="Q6" i="113"/>
  <c r="Q6" i="105"/>
  <c r="Q6" i="106"/>
  <c r="Q6" i="109"/>
  <c r="P20" i="112"/>
  <c r="B51" i="48"/>
  <c r="P10" i="86"/>
  <c r="D35" i="107"/>
  <c r="D36" i="111"/>
  <c r="N3" i="106"/>
  <c r="N3" i="115"/>
  <c r="M3" i="101"/>
  <c r="N3" i="97"/>
  <c r="P85" i="106"/>
  <c r="N11" i="106"/>
  <c r="N3" i="80"/>
  <c r="M11" i="90"/>
  <c r="N11" i="87"/>
  <c r="N10" i="111"/>
  <c r="N10" i="106"/>
  <c r="N10" i="82"/>
  <c r="N10" i="99"/>
  <c r="M10" i="102"/>
  <c r="N10" i="81"/>
  <c r="N10" i="97"/>
  <c r="N11" i="85"/>
  <c r="P10" i="3"/>
  <c r="N11" i="111"/>
  <c r="P13" i="99"/>
  <c r="D173" i="48"/>
  <c r="Q8" i="96"/>
  <c r="Q8" i="87"/>
  <c r="Q7" i="89"/>
  <c r="P9" i="90"/>
  <c r="P9" i="112"/>
  <c r="P9" i="88"/>
  <c r="P9" i="97"/>
  <c r="R21" i="100"/>
  <c r="D192" i="48"/>
  <c r="P18" i="112"/>
  <c r="P20" i="90"/>
  <c r="Q7" i="80"/>
  <c r="P6" i="93"/>
  <c r="P5" i="111"/>
  <c r="P6" i="82"/>
  <c r="P9" i="86"/>
  <c r="P19" i="112"/>
  <c r="R18" i="100"/>
  <c r="D188" i="48"/>
  <c r="Q8" i="115"/>
  <c r="Q8" i="106"/>
  <c r="Q8" i="108"/>
  <c r="Q8" i="105"/>
  <c r="Q8" i="113"/>
  <c r="P6" i="87"/>
  <c r="P6" i="95"/>
  <c r="B34" i="48"/>
  <c r="P6" i="85"/>
  <c r="P6" i="88"/>
  <c r="P6" i="89"/>
  <c r="P12" i="110"/>
  <c r="P10" i="80"/>
  <c r="P10" i="96"/>
  <c r="B38" i="48"/>
  <c r="P10" i="88"/>
  <c r="P15" i="90"/>
  <c r="P10" i="87"/>
  <c r="D35" i="104"/>
  <c r="D33" i="81"/>
  <c r="N3" i="113"/>
  <c r="N3" i="108"/>
  <c r="N3" i="86"/>
  <c r="P85" i="83"/>
  <c r="P85" i="80"/>
  <c r="N10" i="96"/>
  <c r="M11" i="101"/>
  <c r="P9" i="3"/>
  <c r="M10" i="103"/>
  <c r="M10" i="112"/>
  <c r="N10" i="105"/>
  <c r="N10" i="107"/>
  <c r="N6" i="95"/>
  <c r="N6" i="83"/>
  <c r="N6" i="89"/>
  <c r="R9" i="15"/>
  <c r="M6" i="112"/>
  <c r="N6" i="106"/>
  <c r="N6" i="81"/>
  <c r="N11" i="99"/>
  <c r="N11" i="114"/>
  <c r="N11" i="89"/>
  <c r="N11" i="83"/>
  <c r="N11" i="110"/>
  <c r="N11" i="81"/>
  <c r="Q6" i="81"/>
  <c r="O4" i="101"/>
  <c r="Q8" i="107"/>
  <c r="P10" i="97"/>
  <c r="P10" i="95"/>
  <c r="Q11" i="99"/>
  <c r="B49" i="48"/>
  <c r="Q6" i="104"/>
  <c r="Q7" i="87"/>
  <c r="Q10" i="111"/>
  <c r="N31" i="107"/>
  <c r="D35" i="87"/>
  <c r="D35" i="105"/>
  <c r="P85" i="85"/>
  <c r="N3" i="82"/>
  <c r="M3" i="102"/>
  <c r="P85" i="87"/>
  <c r="P85" i="86"/>
  <c r="N6" i="84"/>
  <c r="M9" i="102"/>
  <c r="L6" i="11"/>
  <c r="N10" i="92"/>
  <c r="N6" i="115"/>
  <c r="N10" i="86"/>
  <c r="M9" i="101"/>
  <c r="M10" i="101"/>
  <c r="N6" i="111"/>
  <c r="N3" i="111"/>
  <c r="N11" i="88"/>
  <c r="M11" i="102"/>
  <c r="N11" i="96"/>
  <c r="I10" i="75"/>
  <c r="N11" i="108"/>
  <c r="C164" i="48"/>
  <c r="P7" i="107"/>
  <c r="Q8" i="109"/>
  <c r="Q20" i="112"/>
  <c r="P6" i="80"/>
  <c r="Q8" i="104"/>
  <c r="Q8" i="92"/>
  <c r="B37" i="48"/>
  <c r="R8" i="113"/>
  <c r="R8" i="92"/>
  <c r="P64" i="83"/>
  <c r="B106" i="48"/>
  <c r="C159" i="48"/>
  <c r="P3" i="101"/>
  <c r="P8" i="86"/>
  <c r="B15" i="48"/>
  <c r="P3" i="81"/>
  <c r="Q3" i="101"/>
  <c r="D159" i="48"/>
  <c r="Q6" i="107"/>
  <c r="Q7" i="88"/>
  <c r="B112" i="48"/>
  <c r="P65" i="83"/>
  <c r="Q3" i="114"/>
  <c r="Q3" i="115"/>
  <c r="R10" i="80"/>
  <c r="R12" i="110"/>
  <c r="F638" i="9"/>
  <c r="F17" i="16" s="1"/>
  <c r="G17" i="16" s="1"/>
  <c r="F669" i="9"/>
  <c r="F11" i="75" s="1"/>
  <c r="G11" i="75" s="1"/>
  <c r="T4" i="95"/>
  <c r="U4" i="95" s="1"/>
  <c r="G144" i="48"/>
  <c r="M144" i="48" s="1"/>
  <c r="H144" i="48" s="1"/>
  <c r="T4" i="99"/>
  <c r="U4" i="99" s="1"/>
  <c r="F263" i="9"/>
  <c r="T31" i="95" s="1"/>
  <c r="U31" i="95" s="1"/>
  <c r="F664" i="9"/>
  <c r="G231" i="48" s="1"/>
  <c r="M231" i="48" s="1"/>
  <c r="H231" i="48" s="1"/>
  <c r="T15" i="99"/>
  <c r="U15" i="99" s="1"/>
  <c r="F627" i="9"/>
  <c r="G205" i="48" s="1"/>
  <c r="M205" i="48" s="1"/>
  <c r="H205" i="48" s="1"/>
  <c r="F258" i="9"/>
  <c r="F268" i="9"/>
  <c r="R7" i="99"/>
  <c r="R10" i="88"/>
  <c r="Q9" i="88"/>
  <c r="T3" i="99"/>
  <c r="U3" i="99" s="1"/>
  <c r="T10" i="106"/>
  <c r="U10" i="106" s="1"/>
  <c r="G29" i="48"/>
  <c r="Q6" i="111"/>
  <c r="R4" i="96"/>
  <c r="R10" i="114"/>
  <c r="R10" i="113"/>
  <c r="R10" i="90"/>
  <c r="R10" i="85"/>
  <c r="R68" i="115"/>
  <c r="F38" i="16"/>
  <c r="G38" i="16" s="1"/>
  <c r="G161" i="48"/>
  <c r="M161" i="48" s="1"/>
  <c r="H161" i="48" s="1"/>
  <c r="T11" i="110"/>
  <c r="U11" i="110" s="1"/>
  <c r="T9" i="108"/>
  <c r="U9" i="108" s="1"/>
  <c r="S10" i="101"/>
  <c r="T10" i="101" s="1"/>
  <c r="G183" i="48"/>
  <c r="M183" i="48" s="1"/>
  <c r="H183" i="48" s="1"/>
  <c r="T3" i="110"/>
  <c r="U3" i="110" s="1"/>
  <c r="G175" i="48"/>
  <c r="M175" i="48" s="1"/>
  <c r="H175" i="48" s="1"/>
  <c r="C19" i="48"/>
  <c r="Q7" i="93"/>
  <c r="G181" i="48"/>
  <c r="M181" i="48" s="1"/>
  <c r="H181" i="48" s="1"/>
  <c r="F265" i="9"/>
  <c r="F662" i="9"/>
  <c r="F246" i="9"/>
  <c r="S3" i="101"/>
  <c r="T3" i="101" s="1"/>
  <c r="C163" i="48"/>
  <c r="P9" i="101"/>
  <c r="P2" i="95"/>
  <c r="P2" i="112"/>
  <c r="C34" i="114"/>
  <c r="C26" i="114"/>
  <c r="I34" i="96"/>
  <c r="I26" i="96"/>
  <c r="C34" i="109"/>
  <c r="C26" i="109"/>
  <c r="I34" i="95"/>
  <c r="I34" i="115"/>
  <c r="I26" i="115"/>
  <c r="C34" i="96"/>
  <c r="C26" i="96"/>
  <c r="I34" i="113"/>
  <c r="I26" i="113"/>
  <c r="C34" i="95"/>
  <c r="I26" i="95"/>
  <c r="C34" i="115"/>
  <c r="C26" i="115"/>
  <c r="I34" i="97"/>
  <c r="I26" i="97"/>
  <c r="C34" i="113"/>
  <c r="C26" i="113"/>
  <c r="I34" i="92"/>
  <c r="I26" i="92"/>
  <c r="C26" i="95"/>
  <c r="C34" i="97"/>
  <c r="C26" i="97"/>
  <c r="I34" i="114"/>
  <c r="I26" i="114"/>
  <c r="C34" i="92"/>
  <c r="C26" i="92"/>
  <c r="I34" i="109"/>
  <c r="I26" i="109"/>
  <c r="C29" i="48"/>
  <c r="Q10" i="90"/>
  <c r="R68" i="96"/>
  <c r="R67" i="95"/>
  <c r="Q11" i="87"/>
  <c r="Q11" i="85"/>
  <c r="Q6" i="97"/>
  <c r="Q6" i="90"/>
  <c r="R12" i="111"/>
  <c r="R15" i="112"/>
  <c r="C33" i="115"/>
  <c r="C25" i="115"/>
  <c r="I33" i="97"/>
  <c r="I25" i="97"/>
  <c r="C33" i="113"/>
  <c r="C25" i="113"/>
  <c r="I33" i="92"/>
  <c r="I25" i="92"/>
  <c r="C33" i="97"/>
  <c r="C25" i="97"/>
  <c r="I33" i="114"/>
  <c r="I25" i="114"/>
  <c r="C33" i="92"/>
  <c r="C25" i="92"/>
  <c r="I33" i="109"/>
  <c r="I25" i="109"/>
  <c r="C33" i="114"/>
  <c r="C25" i="114"/>
  <c r="I33" i="96"/>
  <c r="I25" i="96"/>
  <c r="C33" i="109"/>
  <c r="C25" i="109"/>
  <c r="I33" i="95"/>
  <c r="I25" i="95"/>
  <c r="I33" i="115"/>
  <c r="I25" i="115"/>
  <c r="C33" i="96"/>
  <c r="C25" i="96"/>
  <c r="I33" i="113"/>
  <c r="I25" i="113"/>
  <c r="C33" i="95"/>
  <c r="C25" i="95"/>
  <c r="H7" i="84"/>
  <c r="B19" i="102"/>
  <c r="B23" i="114"/>
  <c r="H23" i="96"/>
  <c r="B23" i="109"/>
  <c r="B23" i="95"/>
  <c r="H23" i="115"/>
  <c r="B23" i="96"/>
  <c r="H23" i="113"/>
  <c r="B23" i="115"/>
  <c r="H23" i="97"/>
  <c r="B23" i="113"/>
  <c r="H23" i="92"/>
  <c r="B23" i="97"/>
  <c r="H23" i="114"/>
  <c r="B23" i="92"/>
  <c r="H23" i="109"/>
  <c r="H23" i="95"/>
  <c r="N4" i="95"/>
  <c r="N4" i="80"/>
  <c r="B46" i="107"/>
  <c r="B55" i="105"/>
  <c r="T3" i="10"/>
  <c r="N10" i="95"/>
  <c r="I9" i="16"/>
  <c r="M10" i="90"/>
  <c r="N10" i="85"/>
  <c r="N10" i="100"/>
  <c r="T9" i="10"/>
  <c r="BG7" i="48"/>
  <c r="N10" i="114"/>
  <c r="N10" i="89"/>
  <c r="N10" i="115"/>
  <c r="B43" i="115"/>
  <c r="B43" i="114"/>
  <c r="B43" i="113"/>
  <c r="B43" i="109"/>
  <c r="B43" i="97"/>
  <c r="B43" i="96"/>
  <c r="B43" i="92"/>
  <c r="B43" i="95"/>
  <c r="Q5" i="81"/>
  <c r="D48" i="48"/>
  <c r="R6" i="109"/>
  <c r="R6" i="97"/>
  <c r="B40" i="97"/>
  <c r="B40" i="96"/>
  <c r="B40" i="92"/>
  <c r="B40" i="115"/>
  <c r="B40" i="114"/>
  <c r="B40" i="113"/>
  <c r="B40" i="109"/>
  <c r="B40" i="95"/>
  <c r="B35" i="115"/>
  <c r="B27" i="115"/>
  <c r="H35" i="97"/>
  <c r="H27" i="97"/>
  <c r="B35" i="113"/>
  <c r="B27" i="113"/>
  <c r="H35" i="92"/>
  <c r="H27" i="92"/>
  <c r="H27" i="95"/>
  <c r="B35" i="97"/>
  <c r="B27" i="97"/>
  <c r="H35" i="114"/>
  <c r="H27" i="114"/>
  <c r="B35" i="92"/>
  <c r="B27" i="92"/>
  <c r="H35" i="109"/>
  <c r="H27" i="109"/>
  <c r="B27" i="95"/>
  <c r="B35" i="114"/>
  <c r="B27" i="114"/>
  <c r="H35" i="96"/>
  <c r="H27" i="96"/>
  <c r="B35" i="109"/>
  <c r="B27" i="109"/>
  <c r="H35" i="95"/>
  <c r="H35" i="115"/>
  <c r="H27" i="115"/>
  <c r="B35" i="96"/>
  <c r="B27" i="96"/>
  <c r="H35" i="113"/>
  <c r="H27" i="113"/>
  <c r="B35" i="95"/>
  <c r="I13" i="95"/>
  <c r="I13" i="115"/>
  <c r="L3" i="95"/>
  <c r="B100" i="86"/>
  <c r="B101" i="87"/>
  <c r="B100" i="85"/>
  <c r="B101" i="110"/>
  <c r="B101" i="106"/>
  <c r="B100" i="104"/>
  <c r="B101" i="111"/>
  <c r="B100" i="88"/>
  <c r="B101" i="80"/>
  <c r="B100" i="81"/>
  <c r="B100" i="107"/>
  <c r="B101" i="105"/>
  <c r="B100" i="84"/>
  <c r="B404" i="11"/>
  <c r="B46" i="114"/>
  <c r="B46" i="113"/>
  <c r="B46" i="109"/>
  <c r="B46" i="97"/>
  <c r="B46" i="96"/>
  <c r="B46" i="92"/>
  <c r="B46" i="95"/>
  <c r="B19" i="96"/>
  <c r="B19" i="115"/>
  <c r="B19" i="113"/>
  <c r="B19" i="97"/>
  <c r="B19" i="92"/>
  <c r="B19" i="95"/>
  <c r="B19" i="114"/>
  <c r="B19" i="109"/>
  <c r="F154" i="11"/>
  <c r="F203" i="10"/>
  <c r="B21" i="97"/>
  <c r="B21" i="92"/>
  <c r="B21" i="95"/>
  <c r="B21" i="114"/>
  <c r="B21" i="109"/>
  <c r="B21" i="96"/>
  <c r="B21" i="115"/>
  <c r="B21" i="113"/>
  <c r="P85" i="104"/>
  <c r="P85" i="88"/>
  <c r="P86" i="84"/>
  <c r="P85" i="107"/>
  <c r="N3" i="95"/>
  <c r="N3" i="99"/>
  <c r="N3" i="109"/>
  <c r="N3" i="100"/>
  <c r="M3" i="116"/>
  <c r="N3" i="89"/>
  <c r="N3" i="81"/>
  <c r="P42" i="112"/>
  <c r="P69" i="110"/>
  <c r="B115" i="48"/>
  <c r="P65" i="84"/>
  <c r="B114" i="48"/>
  <c r="P41" i="112"/>
  <c r="T68" i="111"/>
  <c r="U68" i="111" s="1"/>
  <c r="G112" i="48"/>
  <c r="F412" i="9"/>
  <c r="T70" i="106" s="1"/>
  <c r="U70" i="106" s="1"/>
  <c r="F276" i="9"/>
  <c r="T44" i="111" s="1"/>
  <c r="U44" i="111" s="1"/>
  <c r="F243" i="9"/>
  <c r="T15" i="106" s="1"/>
  <c r="U15" i="106" s="1"/>
  <c r="F668" i="9"/>
  <c r="G235" i="48" s="1"/>
  <c r="M235" i="48" s="1"/>
  <c r="H235" i="48" s="1"/>
  <c r="F405" i="9"/>
  <c r="T72" i="114" s="1"/>
  <c r="U72" i="114" s="1"/>
  <c r="F260" i="9"/>
  <c r="F676" i="9"/>
  <c r="F29" i="75" s="1"/>
  <c r="G29" i="75" s="1"/>
  <c r="F278" i="9"/>
  <c r="B20" i="115"/>
  <c r="B20" i="113"/>
  <c r="B20" i="97"/>
  <c r="B20" i="92"/>
  <c r="B20" i="95"/>
  <c r="B20" i="114"/>
  <c r="B20" i="109"/>
  <c r="B20" i="96"/>
  <c r="I9" i="95"/>
  <c r="B45" i="97"/>
  <c r="B45" i="96"/>
  <c r="B45" i="92"/>
  <c r="B45" i="114"/>
  <c r="B45" i="113"/>
  <c r="B45" i="109"/>
  <c r="B45" i="95"/>
  <c r="J217" i="16"/>
  <c r="N112" i="111"/>
  <c r="N111" i="88"/>
  <c r="N112" i="80"/>
  <c r="N111" i="81"/>
  <c r="N111" i="107"/>
  <c r="N112" i="105"/>
  <c r="N112" i="84"/>
  <c r="N111" i="86"/>
  <c r="N112" i="87"/>
  <c r="N111" i="85"/>
  <c r="N112" i="110"/>
  <c r="N112" i="106"/>
  <c r="N111" i="104"/>
  <c r="D104" i="110"/>
  <c r="D104" i="106"/>
  <c r="D103" i="104"/>
  <c r="D104" i="111"/>
  <c r="D103" i="88"/>
  <c r="D104" i="80"/>
  <c r="D103" i="81"/>
  <c r="D103" i="107"/>
  <c r="D104" i="105"/>
  <c r="D103" i="84"/>
  <c r="D103" i="86"/>
  <c r="D104" i="87"/>
  <c r="D103" i="85"/>
  <c r="B44" i="97"/>
  <c r="B44" i="96"/>
  <c r="B44" i="92"/>
  <c r="B44" i="114"/>
  <c r="B44" i="113"/>
  <c r="B44" i="109"/>
  <c r="B44" i="95"/>
  <c r="F675" i="9"/>
  <c r="G242" i="48" s="1"/>
  <c r="M242" i="48" s="1"/>
  <c r="H242" i="48" s="1"/>
  <c r="G13" i="48"/>
  <c r="M13" i="48" s="1"/>
  <c r="G52" i="48"/>
  <c r="T12" i="99"/>
  <c r="U12" i="99" s="1"/>
  <c r="T5" i="111"/>
  <c r="U5" i="111" s="1"/>
  <c r="S6" i="116"/>
  <c r="T6" i="116" s="1"/>
  <c r="F306" i="9"/>
  <c r="F259" i="9"/>
  <c r="T27" i="95" s="1"/>
  <c r="U27" i="95" s="1"/>
  <c r="F233" i="9"/>
  <c r="T75" i="105" s="1"/>
  <c r="U75" i="105" s="1"/>
  <c r="F680" i="9"/>
  <c r="G247" i="48" s="1"/>
  <c r="M247" i="48" s="1"/>
  <c r="H247" i="48" s="1"/>
  <c r="F652" i="9"/>
  <c r="G219" i="48" s="1"/>
  <c r="M219" i="48" s="1"/>
  <c r="H219" i="48" s="1"/>
  <c r="G117" i="48"/>
  <c r="G193" i="48"/>
  <c r="M193" i="48" s="1"/>
  <c r="H193" i="48" s="1"/>
  <c r="F752" i="9"/>
  <c r="G280" i="48" s="1"/>
  <c r="F249" i="9"/>
  <c r="F682" i="9"/>
  <c r="D144" i="48"/>
  <c r="Q19" i="100"/>
  <c r="Q13" i="100"/>
  <c r="C162" i="48"/>
  <c r="R8" i="89"/>
  <c r="Q9" i="87"/>
  <c r="P5" i="92"/>
  <c r="BD110" i="48"/>
  <c r="G151" i="48"/>
  <c r="M151" i="48" s="1"/>
  <c r="H151" i="48" s="1"/>
  <c r="G137" i="48"/>
  <c r="M137" i="48" s="1"/>
  <c r="H137" i="48" s="1"/>
  <c r="G50" i="48"/>
  <c r="M50" i="48" s="1"/>
  <c r="H50" i="48" s="1"/>
  <c r="G41" i="48"/>
  <c r="G25" i="48"/>
  <c r="M25" i="48" s="1"/>
  <c r="H25" i="48" s="1"/>
  <c r="Q65" i="114"/>
  <c r="Q11" i="107"/>
  <c r="P64" i="84"/>
  <c r="C137" i="48"/>
  <c r="R67" i="107"/>
  <c r="P6" i="114"/>
  <c r="B141" i="48"/>
  <c r="B173" i="48"/>
  <c r="T19" i="100"/>
  <c r="U19" i="100" s="1"/>
  <c r="T17" i="100"/>
  <c r="U17" i="100" s="1"/>
  <c r="G157" i="48"/>
  <c r="M157" i="48" s="1"/>
  <c r="H157" i="48" s="1"/>
  <c r="T10" i="81"/>
  <c r="U10" i="81" s="1"/>
  <c r="G179" i="48"/>
  <c r="M179" i="48" s="1"/>
  <c r="H179" i="48" s="1"/>
  <c r="T4" i="100"/>
  <c r="U4" i="100" s="1"/>
  <c r="T7" i="96"/>
  <c r="U7" i="96" s="1"/>
  <c r="G192" i="48"/>
  <c r="M192" i="48" s="1"/>
  <c r="H192" i="48" s="1"/>
  <c r="T3" i="100"/>
  <c r="U3" i="100" s="1"/>
  <c r="T11" i="81"/>
  <c r="U11" i="81" s="1"/>
  <c r="T67" i="107"/>
  <c r="U67" i="107" s="1"/>
  <c r="F290" i="9"/>
  <c r="T58" i="87" s="1"/>
  <c r="U58" i="87" s="1"/>
  <c r="F261" i="9"/>
  <c r="T29" i="84" s="1"/>
  <c r="U29" i="84" s="1"/>
  <c r="F653" i="9"/>
  <c r="G220" i="48" s="1"/>
  <c r="M220" i="48" s="1"/>
  <c r="H220" i="48" s="1"/>
  <c r="F275" i="9"/>
  <c r="F242" i="9"/>
  <c r="F301" i="9"/>
  <c r="N11" i="95"/>
  <c r="N11" i="105"/>
  <c r="N11" i="84"/>
  <c r="BD106" i="48"/>
  <c r="F745" i="9"/>
  <c r="G273" i="48" s="1"/>
  <c r="H273" i="48" s="1"/>
  <c r="F667" i="9"/>
  <c r="F406" i="9"/>
  <c r="F281" i="9"/>
  <c r="F251" i="9"/>
  <c r="T22" i="84" s="1"/>
  <c r="U22" i="84" s="1"/>
  <c r="F727" i="9"/>
  <c r="F674" i="9"/>
  <c r="F634" i="9"/>
  <c r="F284" i="9"/>
  <c r="F250" i="9"/>
  <c r="F655" i="9"/>
  <c r="F288" i="9"/>
  <c r="T56" i="84" s="1"/>
  <c r="U56" i="84" s="1"/>
  <c r="F297" i="9"/>
  <c r="F666" i="9"/>
  <c r="F248" i="9"/>
  <c r="F262" i="9"/>
  <c r="F282" i="9"/>
  <c r="F716" i="9"/>
  <c r="F236" i="9"/>
  <c r="F660" i="9"/>
  <c r="F707" i="9"/>
  <c r="F747" i="9"/>
  <c r="G275" i="48" s="1"/>
  <c r="F657" i="9"/>
  <c r="F710" i="9"/>
  <c r="F291" i="9"/>
  <c r="F302" i="9"/>
  <c r="F411" i="9"/>
  <c r="F628" i="9"/>
  <c r="F232" i="9"/>
  <c r="F267" i="9"/>
  <c r="T35" i="84" s="1"/>
  <c r="U35" i="84" s="1"/>
  <c r="F672" i="9"/>
  <c r="F637" i="9"/>
  <c r="F677" i="9"/>
  <c r="F673" i="9"/>
  <c r="F743" i="9"/>
  <c r="G271" i="48" s="1"/>
  <c r="H271" i="48" s="1"/>
  <c r="F751" i="9"/>
  <c r="G279" i="48" s="1"/>
  <c r="F252" i="9"/>
  <c r="T23" i="84" s="1"/>
  <c r="U23" i="84" s="1"/>
  <c r="F273" i="9"/>
  <c r="F658" i="9"/>
  <c r="F266" i="9"/>
  <c r="F237" i="9"/>
  <c r="F656" i="9"/>
  <c r="F626" i="9"/>
  <c r="F678" i="9"/>
  <c r="F748" i="9"/>
  <c r="G276" i="48" s="1"/>
  <c r="F414" i="9"/>
  <c r="F277" i="9"/>
  <c r="F744" i="9"/>
  <c r="G272" i="48" s="1"/>
  <c r="H272" i="48" s="1"/>
  <c r="F719" i="9"/>
  <c r="F720" i="9"/>
  <c r="F257" i="9"/>
  <c r="F253" i="9"/>
  <c r="F665" i="9"/>
  <c r="F633" i="9"/>
  <c r="F241" i="9"/>
  <c r="F238" i="9"/>
  <c r="F413" i="9"/>
  <c r="F749" i="9"/>
  <c r="G277" i="48" s="1"/>
  <c r="F670" i="9"/>
  <c r="F661" i="9"/>
  <c r="F280" i="9"/>
  <c r="F715" i="9"/>
  <c r="F671" i="9"/>
  <c r="F269" i="9"/>
  <c r="F718" i="9"/>
  <c r="P42" i="108"/>
  <c r="P41" i="90"/>
  <c r="P65" i="85"/>
  <c r="Q41" i="90"/>
  <c r="C114" i="48"/>
  <c r="Q41" i="112"/>
  <c r="Q65" i="84"/>
  <c r="R68" i="111"/>
  <c r="R40" i="90"/>
  <c r="R65" i="82"/>
  <c r="R42" i="93"/>
  <c r="D113" i="48"/>
  <c r="R40" i="112"/>
  <c r="R65" i="86"/>
  <c r="R68" i="110"/>
  <c r="BD112" i="48"/>
  <c r="P40" i="112"/>
  <c r="P40" i="90"/>
  <c r="P68" i="111"/>
  <c r="B113" i="48"/>
  <c r="P68" i="110"/>
  <c r="P65" i="86"/>
  <c r="P65" i="82"/>
  <c r="P42" i="93"/>
  <c r="Q65" i="82"/>
  <c r="Q68" i="111"/>
  <c r="Q40" i="112"/>
  <c r="Q42" i="93"/>
  <c r="Q65" i="86"/>
  <c r="C113" i="48"/>
  <c r="Q40" i="90"/>
  <c r="Q68" i="110"/>
  <c r="R65" i="85"/>
  <c r="R42" i="112"/>
  <c r="R66" i="86"/>
  <c r="R42" i="108"/>
  <c r="R69" i="110"/>
  <c r="R65" i="104"/>
  <c r="R69" i="111"/>
  <c r="D115" i="48"/>
  <c r="R42" i="89"/>
  <c r="R42" i="90"/>
  <c r="Q42" i="108"/>
  <c r="Q66" i="86"/>
  <c r="Q42" i="89"/>
  <c r="Q65" i="85"/>
  <c r="C115" i="48"/>
  <c r="Q42" i="112"/>
  <c r="Q69" i="111"/>
  <c r="Q65" i="104"/>
  <c r="Q69" i="110"/>
  <c r="Q42" i="90"/>
  <c r="D114" i="48"/>
  <c r="R41" i="90"/>
  <c r="R65" i="84"/>
  <c r="R41" i="112"/>
  <c r="P42" i="89"/>
  <c r="P66" i="86"/>
  <c r="P42" i="90"/>
  <c r="P69" i="111"/>
  <c r="Q18" i="90"/>
  <c r="P64" i="104"/>
  <c r="R3" i="87"/>
  <c r="R3" i="85"/>
  <c r="R3" i="114"/>
  <c r="R3" i="115"/>
  <c r="R67" i="88"/>
  <c r="R67" i="81"/>
  <c r="R67" i="113"/>
  <c r="R68" i="97"/>
  <c r="R9" i="80"/>
  <c r="R9" i="109"/>
  <c r="R9" i="97"/>
  <c r="D37" i="48"/>
  <c r="Q12" i="112"/>
  <c r="Q7" i="113"/>
  <c r="Q7" i="104"/>
  <c r="Q7" i="105"/>
  <c r="Q7" i="108"/>
  <c r="R7" i="89"/>
  <c r="R7" i="96"/>
  <c r="R7" i="97"/>
  <c r="Q11" i="109"/>
  <c r="C46" i="48"/>
  <c r="R5" i="95"/>
  <c r="R5" i="109"/>
  <c r="R4" i="88"/>
  <c r="R4" i="113"/>
  <c r="R4" i="109"/>
  <c r="C37" i="48"/>
  <c r="Q9" i="92"/>
  <c r="Q9" i="85"/>
  <c r="D31" i="48"/>
  <c r="R9" i="88"/>
  <c r="D33" i="48"/>
  <c r="P13" i="100"/>
  <c r="Q11" i="110"/>
  <c r="Q9" i="97"/>
  <c r="R10" i="82"/>
  <c r="R7" i="113"/>
  <c r="R7" i="109"/>
  <c r="R3" i="113"/>
  <c r="R3" i="109"/>
  <c r="R4" i="115"/>
  <c r="Q65" i="109"/>
  <c r="C42" i="48"/>
  <c r="R11" i="110"/>
  <c r="R9" i="95"/>
  <c r="B28" i="48"/>
  <c r="C10" i="16"/>
  <c r="Q9" i="107"/>
  <c r="R5" i="85"/>
  <c r="Q7" i="106"/>
  <c r="D36" i="48"/>
  <c r="P6" i="109"/>
  <c r="Q11" i="106"/>
  <c r="Q11" i="113"/>
  <c r="Q7" i="109"/>
  <c r="R5" i="114"/>
  <c r="R5" i="97"/>
  <c r="P5" i="100"/>
  <c r="B174" i="48"/>
  <c r="C118" i="48"/>
  <c r="R3" i="80"/>
  <c r="Q67" i="114"/>
  <c r="Q6" i="116"/>
  <c r="R4" i="87"/>
  <c r="B108" i="48"/>
  <c r="R4" i="89"/>
  <c r="R21" i="99"/>
  <c r="P10" i="82"/>
  <c r="P6" i="97"/>
  <c r="R9" i="89"/>
  <c r="C135" i="48"/>
  <c r="R12" i="99"/>
  <c r="Q7" i="114"/>
  <c r="P9" i="96"/>
  <c r="P11" i="80"/>
  <c r="P13" i="110"/>
  <c r="R15" i="99"/>
  <c r="D147" i="48"/>
  <c r="R15" i="100"/>
  <c r="D185" i="48"/>
  <c r="R6" i="81"/>
  <c r="R5" i="111"/>
  <c r="P3" i="114"/>
  <c r="B19" i="48"/>
  <c r="Q4" i="80"/>
  <c r="Q4" i="85"/>
  <c r="Q5" i="97"/>
  <c r="Q5" i="90"/>
  <c r="P64" i="81"/>
  <c r="B107" i="48"/>
  <c r="B29" i="48"/>
  <c r="P10" i="112"/>
  <c r="C138" i="48"/>
  <c r="Q7" i="99"/>
  <c r="R64" i="105"/>
  <c r="D109" i="48"/>
  <c r="R8" i="87"/>
  <c r="R8" i="115"/>
  <c r="R8" i="95"/>
  <c r="R8" i="80"/>
  <c r="R13" i="90"/>
  <c r="R8" i="88"/>
  <c r="R66" i="114"/>
  <c r="P4" i="93"/>
  <c r="P3" i="111"/>
  <c r="R4" i="80"/>
  <c r="B25" i="48"/>
  <c r="R10" i="110"/>
  <c r="Q9" i="80"/>
  <c r="Q9" i="96"/>
  <c r="R7" i="95"/>
  <c r="R3" i="97"/>
  <c r="R3" i="96"/>
  <c r="R4" i="97"/>
  <c r="Q65" i="95"/>
  <c r="C268" i="48"/>
  <c r="R9" i="115"/>
  <c r="R9" i="114"/>
  <c r="P8" i="84"/>
  <c r="P6" i="107"/>
  <c r="Q9" i="111"/>
  <c r="Q7" i="112"/>
  <c r="R8" i="114"/>
  <c r="R8" i="97"/>
  <c r="Q11" i="104"/>
  <c r="C140" i="48"/>
  <c r="D118" i="48"/>
  <c r="R5" i="96"/>
  <c r="R5" i="92"/>
  <c r="R69" i="114"/>
  <c r="P37" i="90"/>
  <c r="R3" i="88"/>
  <c r="R69" i="96"/>
  <c r="P3" i="110"/>
  <c r="P6" i="112"/>
  <c r="P9" i="99"/>
  <c r="Q7" i="107"/>
  <c r="P11" i="110"/>
  <c r="R9" i="82"/>
  <c r="P10" i="109"/>
  <c r="P68" i="115"/>
  <c r="R6" i="92"/>
  <c r="R6" i="115"/>
  <c r="R11" i="99"/>
  <c r="B39" i="16"/>
  <c r="P5" i="90"/>
  <c r="Q5" i="82"/>
  <c r="B176" i="48"/>
  <c r="Q68" i="114"/>
  <c r="P11" i="104"/>
  <c r="Q10" i="82"/>
  <c r="P9" i="93"/>
  <c r="Q66" i="111"/>
  <c r="Q64" i="83"/>
  <c r="R5" i="90"/>
  <c r="P3" i="89"/>
  <c r="R67" i="87"/>
  <c r="D180" i="48"/>
  <c r="Q3" i="111"/>
  <c r="P11" i="109"/>
  <c r="Q4" i="110"/>
  <c r="P6" i="99"/>
  <c r="P10" i="115"/>
  <c r="Q17" i="99"/>
  <c r="P67" i="81"/>
  <c r="R6" i="87"/>
  <c r="R6" i="114"/>
  <c r="R17" i="112"/>
  <c r="C17" i="48"/>
  <c r="P67" i="88"/>
  <c r="Q6" i="114"/>
  <c r="Q6" i="115"/>
  <c r="Q8" i="102"/>
  <c r="Q4" i="93"/>
  <c r="Q11" i="80"/>
  <c r="P12" i="111"/>
  <c r="Q11" i="88"/>
  <c r="P21" i="99"/>
  <c r="P3" i="85"/>
  <c r="R67" i="106"/>
  <c r="P11" i="106"/>
  <c r="Q6" i="112"/>
  <c r="R5" i="112"/>
  <c r="P3" i="87"/>
  <c r="R10" i="106"/>
  <c r="R67" i="105"/>
  <c r="Q5" i="93"/>
  <c r="D163" i="48"/>
  <c r="C39" i="48"/>
  <c r="R6" i="89"/>
  <c r="D141" i="48"/>
  <c r="R17" i="90"/>
  <c r="R64" i="114"/>
  <c r="Q4" i="112"/>
  <c r="Q8" i="93"/>
  <c r="Q10" i="85"/>
  <c r="Q10" i="97"/>
  <c r="R64" i="106"/>
  <c r="P8" i="96"/>
  <c r="R65" i="97"/>
  <c r="R66" i="111"/>
  <c r="R66" i="97"/>
  <c r="R65" i="113"/>
  <c r="R64" i="85"/>
  <c r="B17" i="48"/>
  <c r="R66" i="115"/>
  <c r="P8" i="109"/>
  <c r="P7" i="111"/>
  <c r="Q7" i="111"/>
  <c r="Q5" i="99"/>
  <c r="P64" i="109"/>
  <c r="P64" i="105"/>
  <c r="Q67" i="109"/>
  <c r="P64" i="88"/>
  <c r="Q65" i="107"/>
  <c r="D169" i="48"/>
  <c r="Q12" i="116"/>
  <c r="P5" i="96"/>
  <c r="P9" i="81"/>
  <c r="P15" i="112"/>
  <c r="P10" i="105"/>
  <c r="C169" i="48"/>
  <c r="P12" i="116"/>
  <c r="R6" i="113"/>
  <c r="R6" i="95"/>
  <c r="R6" i="88"/>
  <c r="P69" i="114"/>
  <c r="P67" i="113"/>
  <c r="P67" i="107"/>
  <c r="Q10" i="81"/>
  <c r="Q6" i="96"/>
  <c r="C22" i="48"/>
  <c r="Q10" i="93"/>
  <c r="Q12" i="100"/>
  <c r="C181" i="48"/>
  <c r="R7" i="90"/>
  <c r="R11" i="93"/>
  <c r="C267" i="48"/>
  <c r="C38" i="16"/>
  <c r="R64" i="83"/>
  <c r="D106" i="48"/>
  <c r="P5" i="87"/>
  <c r="B33" i="48"/>
  <c r="Q38" i="90"/>
  <c r="Q8" i="86"/>
  <c r="C49" i="48"/>
  <c r="Q7" i="100"/>
  <c r="R66" i="110"/>
  <c r="Q64" i="95"/>
  <c r="Q9" i="100"/>
  <c r="P64" i="85"/>
  <c r="Q8" i="83"/>
  <c r="P8" i="95"/>
  <c r="R64" i="95"/>
  <c r="R11" i="86"/>
  <c r="Q64" i="105"/>
  <c r="P8" i="89"/>
  <c r="B119" i="48"/>
  <c r="P65" i="113"/>
  <c r="R65" i="115"/>
  <c r="P5" i="97"/>
  <c r="Q4" i="115"/>
  <c r="Q8" i="101"/>
  <c r="D162" i="48"/>
  <c r="R5" i="93"/>
  <c r="D17" i="48"/>
  <c r="P16" i="90"/>
  <c r="P11" i="85"/>
  <c r="P7" i="108"/>
  <c r="P7" i="109"/>
  <c r="C122" i="48"/>
  <c r="Q6" i="88"/>
  <c r="P36" i="112"/>
  <c r="Q5" i="115"/>
  <c r="B12" i="48"/>
  <c r="Q69" i="115"/>
  <c r="D51" i="48"/>
  <c r="R10" i="86"/>
  <c r="R20" i="90"/>
  <c r="R20" i="112"/>
  <c r="Q64" i="84"/>
  <c r="Q37" i="90"/>
  <c r="C108" i="48"/>
  <c r="Q37" i="112"/>
  <c r="Q69" i="114"/>
  <c r="Q67" i="113"/>
  <c r="Q67" i="92"/>
  <c r="Q68" i="97"/>
  <c r="Q69" i="96"/>
  <c r="Q68" i="115"/>
  <c r="Q67" i="88"/>
  <c r="C121" i="48"/>
  <c r="B150" i="48"/>
  <c r="P18" i="99"/>
  <c r="B175" i="48"/>
  <c r="P6" i="100"/>
  <c r="B13" i="48"/>
  <c r="P8" i="83"/>
  <c r="P6" i="104"/>
  <c r="P6" i="113"/>
  <c r="P8" i="104"/>
  <c r="P8" i="113"/>
  <c r="P8" i="107"/>
  <c r="P8" i="108"/>
  <c r="P8" i="114"/>
  <c r="P10" i="111"/>
  <c r="P8" i="105"/>
  <c r="P8" i="106"/>
  <c r="Q18" i="100"/>
  <c r="C188" i="48"/>
  <c r="P38" i="90"/>
  <c r="P64" i="87"/>
  <c r="P41" i="89"/>
  <c r="P64" i="80"/>
  <c r="P65" i="114"/>
  <c r="P65" i="115"/>
  <c r="P65" i="97"/>
  <c r="C155" i="48"/>
  <c r="Q22" i="99"/>
  <c r="C26" i="48"/>
  <c r="Q6" i="84"/>
  <c r="C143" i="48"/>
  <c r="Q12" i="99"/>
  <c r="P8" i="85"/>
  <c r="P13" i="90"/>
  <c r="P8" i="88"/>
  <c r="P8" i="87"/>
  <c r="Q3" i="95"/>
  <c r="Q3" i="80"/>
  <c r="C31" i="48"/>
  <c r="Q3" i="88"/>
  <c r="Q3" i="92"/>
  <c r="Q3" i="85"/>
  <c r="Q3" i="87"/>
  <c r="Q3" i="89"/>
  <c r="P8" i="81"/>
  <c r="P4" i="115"/>
  <c r="P7" i="110"/>
  <c r="P4" i="114"/>
  <c r="P4" i="112"/>
  <c r="P8" i="93"/>
  <c r="P4" i="96"/>
  <c r="Q64" i="87"/>
  <c r="Q67" i="111"/>
  <c r="R3" i="111"/>
  <c r="D16" i="48"/>
  <c r="R4" i="93"/>
  <c r="R4" i="82"/>
  <c r="R3" i="110"/>
  <c r="R4" i="81"/>
  <c r="R38" i="90"/>
  <c r="R41" i="108"/>
  <c r="R38" i="112"/>
  <c r="R41" i="89"/>
  <c r="R64" i="113"/>
  <c r="R65" i="114"/>
  <c r="R67" i="110"/>
  <c r="R64" i="87"/>
  <c r="R64" i="88"/>
  <c r="R64" i="80"/>
  <c r="Q4" i="90"/>
  <c r="Q4" i="96"/>
  <c r="Q7" i="110"/>
  <c r="C20" i="48"/>
  <c r="R5" i="104"/>
  <c r="R5" i="107"/>
  <c r="D40" i="48"/>
  <c r="R3" i="93"/>
  <c r="R3" i="81"/>
  <c r="D15" i="48"/>
  <c r="Q67" i="80"/>
  <c r="Q68" i="96"/>
  <c r="Q67" i="106"/>
  <c r="Q66" i="97"/>
  <c r="Q65" i="88"/>
  <c r="Q66" i="115"/>
  <c r="O3" i="116"/>
  <c r="P69" i="97"/>
  <c r="P69" i="115"/>
  <c r="P68" i="107"/>
  <c r="P68" i="113"/>
  <c r="P68" i="92"/>
  <c r="B122" i="48"/>
  <c r="P68" i="88"/>
  <c r="Q39" i="90"/>
  <c r="Q64" i="86"/>
  <c r="Q10" i="92"/>
  <c r="Q12" i="110"/>
  <c r="Q10" i="89"/>
  <c r="Q10" i="87"/>
  <c r="Q10" i="80"/>
  <c r="Q10" i="88"/>
  <c r="Q10" i="96"/>
  <c r="B27" i="48"/>
  <c r="P8" i="112"/>
  <c r="P7" i="95"/>
  <c r="P12" i="90"/>
  <c r="P7" i="96"/>
  <c r="P7" i="88"/>
  <c r="P9" i="110"/>
  <c r="P7" i="87"/>
  <c r="P7" i="85"/>
  <c r="P7" i="80"/>
  <c r="B35" i="48"/>
  <c r="P7" i="89"/>
  <c r="P7" i="97"/>
  <c r="Q67" i="81"/>
  <c r="P64" i="82"/>
  <c r="R7" i="112"/>
  <c r="R11" i="81"/>
  <c r="R8" i="112"/>
  <c r="P10" i="90"/>
  <c r="P7" i="82"/>
  <c r="Q15" i="90"/>
  <c r="Q67" i="95"/>
  <c r="P8" i="80"/>
  <c r="Q64" i="107"/>
  <c r="Q64" i="113"/>
  <c r="P5" i="95"/>
  <c r="P11" i="88"/>
  <c r="P8" i="115"/>
  <c r="Q68" i="88"/>
  <c r="B20" i="48"/>
  <c r="R64" i="107"/>
  <c r="Q8" i="81"/>
  <c r="P7" i="113"/>
  <c r="B109" i="48"/>
  <c r="P38" i="112"/>
  <c r="D107" i="48"/>
  <c r="Q38" i="112"/>
  <c r="Q41" i="108"/>
  <c r="R4" i="110"/>
  <c r="P6" i="105"/>
  <c r="Q4" i="89"/>
  <c r="R64" i="82"/>
  <c r="R41" i="93"/>
  <c r="R5" i="105"/>
  <c r="Q64" i="85"/>
  <c r="Q41" i="89"/>
  <c r="P5" i="88"/>
  <c r="P67" i="111"/>
  <c r="P64" i="107"/>
  <c r="R64" i="115"/>
  <c r="Q11" i="100"/>
  <c r="Q64" i="80"/>
  <c r="P8" i="90"/>
  <c r="C197" i="48"/>
  <c r="R64" i="109"/>
  <c r="Q3" i="102"/>
  <c r="P11" i="89"/>
  <c r="Q8" i="82"/>
  <c r="Q64" i="88"/>
  <c r="R37" i="112"/>
  <c r="C119" i="48"/>
  <c r="Q68" i="113"/>
  <c r="R65" i="106"/>
  <c r="R65" i="87"/>
  <c r="R65" i="109"/>
  <c r="Q65" i="87"/>
  <c r="Q65" i="80"/>
  <c r="Q65" i="105"/>
  <c r="Q65" i="106"/>
  <c r="C117" i="48"/>
  <c r="Q67" i="97"/>
  <c r="Q67" i="115"/>
  <c r="Q21" i="100"/>
  <c r="C192" i="48"/>
  <c r="Q11" i="86"/>
  <c r="C52" i="48"/>
  <c r="D26" i="48"/>
  <c r="R6" i="84"/>
  <c r="P4" i="81"/>
  <c r="B16" i="48"/>
  <c r="P5" i="106"/>
  <c r="P5" i="113"/>
  <c r="P5" i="104"/>
  <c r="P5" i="107"/>
  <c r="P5" i="105"/>
  <c r="B40" i="48"/>
  <c r="P5" i="109"/>
  <c r="D267" i="48"/>
  <c r="D38" i="16"/>
  <c r="P9" i="80"/>
  <c r="P14" i="90"/>
  <c r="P9" i="85"/>
  <c r="P9" i="87"/>
  <c r="P9" i="92"/>
  <c r="P9" i="89"/>
  <c r="C23" i="48"/>
  <c r="Q7" i="90"/>
  <c r="Q11" i="93"/>
  <c r="Q9" i="105"/>
  <c r="Q9" i="113"/>
  <c r="Q9" i="114"/>
  <c r="Q9" i="109"/>
  <c r="Q14" i="112"/>
  <c r="Q9" i="108"/>
  <c r="C44" i="48"/>
  <c r="P6" i="96"/>
  <c r="P10" i="93"/>
  <c r="P6" i="115"/>
  <c r="R9" i="110"/>
  <c r="R7" i="87"/>
  <c r="R7" i="80"/>
  <c r="R12" i="90"/>
  <c r="R7" i="88"/>
  <c r="Q10" i="100"/>
  <c r="C179" i="48"/>
  <c r="Q13" i="111"/>
  <c r="Q11" i="108"/>
  <c r="R5" i="87"/>
  <c r="R5" i="80"/>
  <c r="R9" i="84"/>
  <c r="D29" i="48"/>
  <c r="D181" i="48"/>
  <c r="R12" i="100"/>
  <c r="Q4" i="100"/>
  <c r="C173" i="48"/>
  <c r="P65" i="95"/>
  <c r="B118" i="48"/>
  <c r="P65" i="106"/>
  <c r="P65" i="80"/>
  <c r="P65" i="87"/>
  <c r="P65" i="109"/>
  <c r="P65" i="105"/>
  <c r="Q7" i="86"/>
  <c r="Q17" i="112"/>
  <c r="Q41" i="93"/>
  <c r="Q64" i="115"/>
  <c r="Q64" i="114"/>
  <c r="Q64" i="82"/>
  <c r="Q36" i="112"/>
  <c r="Q64" i="81"/>
  <c r="Q64" i="97"/>
  <c r="C107" i="48"/>
  <c r="B136" i="48"/>
  <c r="P5" i="99"/>
  <c r="R17" i="100"/>
  <c r="D187" i="48"/>
  <c r="P7" i="106"/>
  <c r="P7" i="114"/>
  <c r="B42" i="48"/>
  <c r="P39" i="112"/>
  <c r="P64" i="86"/>
  <c r="R6" i="99"/>
  <c r="D137" i="48"/>
  <c r="P9" i="100"/>
  <c r="B178" i="48"/>
  <c r="B192" i="48"/>
  <c r="P21" i="100"/>
  <c r="B267" i="48"/>
  <c r="B38" i="16"/>
  <c r="Q15" i="99"/>
  <c r="C147" i="48"/>
  <c r="R6" i="82"/>
  <c r="R6" i="93"/>
  <c r="D18" i="48"/>
  <c r="P9" i="109"/>
  <c r="P9" i="107"/>
  <c r="P9" i="114"/>
  <c r="B44" i="48"/>
  <c r="P9" i="113"/>
  <c r="P11" i="111"/>
  <c r="P9" i="105"/>
  <c r="P9" i="106"/>
  <c r="P9" i="104"/>
  <c r="P14" i="112"/>
  <c r="P9" i="108"/>
  <c r="P9" i="115"/>
  <c r="P6" i="111"/>
  <c r="P3" i="97"/>
  <c r="P7" i="93"/>
  <c r="P3" i="112"/>
  <c r="P6" i="110"/>
  <c r="P3" i="115"/>
  <c r="Q4" i="87"/>
  <c r="Q4" i="88"/>
  <c r="Q4" i="92"/>
  <c r="B147" i="48"/>
  <c r="P15" i="99"/>
  <c r="D186" i="48"/>
  <c r="R16" i="100"/>
  <c r="R6" i="111"/>
  <c r="R3" i="112"/>
  <c r="R7" i="81"/>
  <c r="R6" i="110"/>
  <c r="R3" i="90"/>
  <c r="R7" i="82"/>
  <c r="R7" i="93"/>
  <c r="P16" i="99"/>
  <c r="B148" i="48"/>
  <c r="P3" i="82"/>
  <c r="P3" i="93"/>
  <c r="C27" i="48"/>
  <c r="Q8" i="112"/>
  <c r="Q7" i="84"/>
  <c r="Q8" i="90"/>
  <c r="D28" i="48"/>
  <c r="R9" i="90"/>
  <c r="B26" i="48"/>
  <c r="P6" i="84"/>
  <c r="Q10" i="114"/>
  <c r="Q10" i="105"/>
  <c r="Q10" i="106"/>
  <c r="Q10" i="107"/>
  <c r="Q10" i="113"/>
  <c r="Q10" i="104"/>
  <c r="Q10" i="109"/>
  <c r="Q15" i="112"/>
  <c r="Q12" i="111"/>
  <c r="Q10" i="108"/>
  <c r="Q10" i="115"/>
  <c r="C45" i="48"/>
  <c r="R6" i="100"/>
  <c r="D175" i="48"/>
  <c r="R3" i="99"/>
  <c r="D134" i="48"/>
  <c r="Q5" i="114"/>
  <c r="Q5" i="96"/>
  <c r="Q9" i="93"/>
  <c r="Q9" i="82"/>
  <c r="Q5" i="112"/>
  <c r="Q9" i="81"/>
  <c r="R9" i="107"/>
  <c r="R9" i="108"/>
  <c r="R11" i="111"/>
  <c r="R9" i="106"/>
  <c r="D44" i="48"/>
  <c r="P64" i="97"/>
  <c r="P64" i="114"/>
  <c r="P41" i="93"/>
  <c r="R9" i="111"/>
  <c r="R7" i="107"/>
  <c r="D42" i="48"/>
  <c r="R7" i="106"/>
  <c r="R12" i="112"/>
  <c r="P67" i="95"/>
  <c r="P67" i="80"/>
  <c r="P67" i="105"/>
  <c r="B120" i="48"/>
  <c r="P67" i="87"/>
  <c r="P68" i="114"/>
  <c r="P67" i="109"/>
  <c r="P67" i="106"/>
  <c r="B52" i="48"/>
  <c r="P11" i="86"/>
  <c r="Q6" i="87"/>
  <c r="Q6" i="80"/>
  <c r="P17" i="90"/>
  <c r="P17" i="112"/>
  <c r="B48" i="48"/>
  <c r="P7" i="86"/>
  <c r="R6" i="112"/>
  <c r="D22" i="48"/>
  <c r="Q67" i="110"/>
  <c r="P7" i="92"/>
  <c r="P68" i="96"/>
  <c r="P8" i="97"/>
  <c r="R11" i="82"/>
  <c r="P5" i="85"/>
  <c r="R6" i="90"/>
  <c r="P3" i="90"/>
  <c r="R5" i="110"/>
  <c r="C38" i="48"/>
  <c r="Q66" i="110"/>
  <c r="R36" i="90"/>
  <c r="Q67" i="105"/>
  <c r="P64" i="115"/>
  <c r="P8" i="92"/>
  <c r="Q65" i="97"/>
  <c r="P11" i="87"/>
  <c r="R7" i="104"/>
  <c r="B43" i="48"/>
  <c r="Q39" i="112"/>
  <c r="P4" i="90"/>
  <c r="P8" i="82"/>
  <c r="B110" i="48"/>
  <c r="R64" i="104"/>
  <c r="R67" i="111"/>
  <c r="R9" i="105"/>
  <c r="Q4" i="97"/>
  <c r="P67" i="110"/>
  <c r="P12" i="112"/>
  <c r="Q6" i="92"/>
  <c r="P36" i="90"/>
  <c r="Q64" i="104"/>
  <c r="Q67" i="87"/>
  <c r="Q65" i="115"/>
  <c r="C109" i="48"/>
  <c r="R5" i="81"/>
  <c r="Q6" i="95"/>
  <c r="P6" i="106"/>
  <c r="P7" i="115"/>
  <c r="R9" i="100"/>
  <c r="P10" i="110"/>
  <c r="Q64" i="109"/>
  <c r="P64" i="106"/>
  <c r="P41" i="108"/>
  <c r="P64" i="95"/>
  <c r="B167" i="48"/>
  <c r="P5" i="89"/>
  <c r="R8" i="84"/>
  <c r="C21" i="48"/>
  <c r="R3" i="82"/>
  <c r="P11" i="99"/>
  <c r="B134" i="48"/>
  <c r="P7" i="105"/>
  <c r="Q4" i="114"/>
  <c r="R37" i="90"/>
  <c r="Q65" i="113"/>
  <c r="R9" i="81"/>
  <c r="D21" i="48"/>
  <c r="C160" i="48"/>
  <c r="P4" i="101"/>
  <c r="D164" i="48"/>
  <c r="Q10" i="101"/>
  <c r="D174" i="48"/>
  <c r="R5" i="100"/>
  <c r="P5" i="115"/>
  <c r="P5" i="114"/>
  <c r="B21" i="48"/>
  <c r="P5" i="112"/>
  <c r="C148" i="48"/>
  <c r="Q16" i="99"/>
  <c r="Q18" i="99"/>
  <c r="C150" i="48"/>
  <c r="P16" i="100"/>
  <c r="B186" i="48"/>
  <c r="P11" i="100"/>
  <c r="B180" i="48"/>
  <c r="B45" i="48"/>
  <c r="P10" i="108"/>
  <c r="P10" i="104"/>
  <c r="P10" i="107"/>
  <c r="P10" i="106"/>
  <c r="P10" i="113"/>
  <c r="R39" i="90"/>
  <c r="R39" i="112"/>
  <c r="B179" i="48"/>
  <c r="P10" i="100"/>
  <c r="P4" i="99"/>
  <c r="B135" i="48"/>
  <c r="B169" i="48"/>
  <c r="O12" i="116"/>
  <c r="D46" i="48"/>
  <c r="R11" i="107"/>
  <c r="R11" i="105"/>
  <c r="R11" i="104"/>
  <c r="R11" i="108"/>
  <c r="R13" i="111"/>
  <c r="R16" i="112"/>
  <c r="C50" i="48"/>
  <c r="Q19" i="112"/>
  <c r="Q19" i="90"/>
  <c r="Q9" i="86"/>
  <c r="R9" i="99"/>
  <c r="D140" i="48"/>
  <c r="D34" i="48"/>
  <c r="R6" i="85"/>
  <c r="R6" i="80"/>
  <c r="Q4" i="82"/>
  <c r="Q4" i="81"/>
  <c r="Q3" i="110"/>
  <c r="P6" i="116"/>
  <c r="C167" i="48"/>
  <c r="Q10" i="112"/>
  <c r="Q9" i="84"/>
  <c r="P68" i="97"/>
  <c r="P69" i="96"/>
  <c r="B121" i="48"/>
  <c r="Q5" i="100"/>
  <c r="C174" i="48"/>
  <c r="R67" i="109"/>
  <c r="R67" i="80"/>
  <c r="R68" i="114"/>
  <c r="D120" i="48"/>
  <c r="Q5" i="84"/>
  <c r="C25" i="48"/>
  <c r="Q11" i="89"/>
  <c r="Q16" i="90"/>
  <c r="Q13" i="110"/>
  <c r="P11" i="113"/>
  <c r="P11" i="108"/>
  <c r="P11" i="105"/>
  <c r="B46" i="48"/>
  <c r="P11" i="107"/>
  <c r="P13" i="111"/>
  <c r="D123" i="48"/>
  <c r="D10" i="16"/>
  <c r="R4" i="99"/>
  <c r="D135" i="48"/>
  <c r="P65" i="81"/>
  <c r="B117" i="48"/>
  <c r="P67" i="114"/>
  <c r="P67" i="115"/>
  <c r="P67" i="96"/>
  <c r="R10" i="105"/>
  <c r="R10" i="107"/>
  <c r="R10" i="104"/>
  <c r="R10" i="108"/>
  <c r="D45" i="48"/>
  <c r="P3" i="80"/>
  <c r="P3" i="92"/>
  <c r="P3" i="88"/>
  <c r="B31" i="48"/>
  <c r="B10" i="16"/>
  <c r="B123" i="48"/>
  <c r="C154" i="48"/>
  <c r="Q21" i="99"/>
  <c r="Q5" i="95"/>
  <c r="Q5" i="89"/>
  <c r="Q5" i="87"/>
  <c r="Q5" i="85"/>
  <c r="Q5" i="80"/>
  <c r="Q5" i="92"/>
  <c r="C33" i="48"/>
  <c r="P19" i="99"/>
  <c r="B185" i="48"/>
  <c r="R5" i="84"/>
  <c r="D25" i="48"/>
  <c r="Q5" i="109"/>
  <c r="Q5" i="113"/>
  <c r="Q5" i="105"/>
  <c r="Q5" i="107"/>
  <c r="Q5" i="106"/>
  <c r="Q5" i="104"/>
  <c r="C40" i="48"/>
  <c r="R36" i="112"/>
  <c r="R64" i="81"/>
  <c r="R64" i="97"/>
  <c r="B149" i="48"/>
  <c r="P17" i="99"/>
  <c r="Q16" i="100"/>
  <c r="C186" i="48"/>
  <c r="R65" i="81"/>
  <c r="R67" i="96"/>
  <c r="R67" i="115"/>
  <c r="R67" i="114"/>
  <c r="D117" i="48"/>
  <c r="R67" i="97"/>
  <c r="R8" i="106"/>
  <c r="D43" i="48"/>
  <c r="R8" i="105"/>
  <c r="R8" i="108"/>
  <c r="R8" i="104"/>
  <c r="R13" i="112"/>
  <c r="R8" i="107"/>
  <c r="R10" i="111"/>
  <c r="R4" i="90"/>
  <c r="R8" i="81"/>
  <c r="D20" i="48"/>
  <c r="R8" i="93"/>
  <c r="R8" i="82"/>
  <c r="R7" i="110"/>
  <c r="P5" i="82"/>
  <c r="P5" i="93"/>
  <c r="P5" i="81"/>
  <c r="P4" i="110"/>
  <c r="P4" i="95"/>
  <c r="P4" i="85"/>
  <c r="P4" i="89"/>
  <c r="P4" i="88"/>
  <c r="B32" i="48"/>
  <c r="P4" i="92"/>
  <c r="P4" i="80"/>
  <c r="R18" i="90"/>
  <c r="R8" i="86"/>
  <c r="D49" i="48"/>
  <c r="R18" i="112"/>
  <c r="R18" i="99"/>
  <c r="D150" i="48"/>
  <c r="D179" i="48"/>
  <c r="R10" i="100"/>
  <c r="D172" i="48"/>
  <c r="R3" i="100"/>
  <c r="R65" i="88"/>
  <c r="R65" i="107"/>
  <c r="D119" i="48"/>
  <c r="R11" i="89"/>
  <c r="D39" i="48"/>
  <c r="R11" i="88"/>
  <c r="R11" i="87"/>
  <c r="R11" i="85"/>
  <c r="R11" i="80"/>
  <c r="R16" i="90"/>
  <c r="R13" i="110"/>
  <c r="C28" i="48"/>
  <c r="Q9" i="112"/>
  <c r="Q9" i="90"/>
  <c r="Q8" i="84"/>
  <c r="Q5" i="88"/>
  <c r="B143" i="48"/>
  <c r="C175" i="48"/>
  <c r="C187" i="48"/>
  <c r="B23" i="48"/>
  <c r="P7" i="90"/>
  <c r="P11" i="82"/>
  <c r="P11" i="81"/>
  <c r="P11" i="93"/>
  <c r="P7" i="112"/>
  <c r="R6" i="106"/>
  <c r="R6" i="104"/>
  <c r="R6" i="107"/>
  <c r="D41" i="48"/>
  <c r="R6" i="105"/>
  <c r="Q3" i="99"/>
  <c r="C134" i="48"/>
  <c r="O9" i="101"/>
  <c r="B163" i="48"/>
  <c r="R17" i="99"/>
  <c r="D149" i="48"/>
  <c r="P65" i="88"/>
  <c r="P66" i="97"/>
  <c r="P65" i="107"/>
  <c r="T5" i="90"/>
  <c r="U5" i="90" s="1"/>
  <c r="L112" i="48"/>
  <c r="F132" i="48"/>
  <c r="L132" i="48" s="1"/>
  <c r="F129" i="48"/>
  <c r="L129" i="48" s="1"/>
  <c r="F41" i="48"/>
  <c r="L41" i="48" s="1"/>
  <c r="W54" i="48"/>
  <c r="L33" i="48"/>
  <c r="F46" i="48"/>
  <c r="L46" i="48" s="1"/>
  <c r="BD83" i="48"/>
  <c r="L84" i="48"/>
  <c r="BD80" i="48"/>
  <c r="F18" i="48"/>
  <c r="L18" i="48" s="1"/>
  <c r="Q108" i="48"/>
  <c r="F108" i="48" s="1"/>
  <c r="U54" i="48"/>
  <c r="F125" i="48"/>
  <c r="L125" i="48" s="1"/>
  <c r="BD21" i="48"/>
  <c r="L21" i="48"/>
  <c r="BD20" i="48"/>
  <c r="L20" i="48"/>
  <c r="BD65" i="48"/>
  <c r="L65" i="48"/>
  <c r="BD64" i="48"/>
  <c r="BD17" i="48"/>
  <c r="L17" i="48"/>
  <c r="BD73" i="48"/>
  <c r="L73" i="48"/>
  <c r="L39" i="48"/>
  <c r="L72" i="48"/>
  <c r="L38" i="48"/>
  <c r="L23" i="48"/>
  <c r="BD87" i="48"/>
  <c r="L87" i="48"/>
  <c r="BD63" i="48"/>
  <c r="L74" i="48"/>
  <c r="BD62" i="48"/>
  <c r="L62" i="48"/>
  <c r="L22" i="48"/>
  <c r="L86" i="48"/>
  <c r="BD76" i="48"/>
  <c r="L76" i="48"/>
  <c r="L37" i="48"/>
  <c r="L35" i="48"/>
  <c r="L68" i="48"/>
  <c r="L110" i="48"/>
  <c r="Z113" i="48"/>
  <c r="BD86" i="48"/>
  <c r="BD82" i="48"/>
  <c r="F60" i="48"/>
  <c r="BD60" i="48" s="1"/>
  <c r="F59" i="48"/>
  <c r="BD59" i="48" s="1"/>
  <c r="F19" i="48"/>
  <c r="F36" i="48"/>
  <c r="BD36" i="48" s="1"/>
  <c r="F120" i="48"/>
  <c r="L120" i="48" s="1"/>
  <c r="F56" i="48"/>
  <c r="BD56" i="48" s="1"/>
  <c r="F42" i="48"/>
  <c r="BD42" i="48" s="1"/>
  <c r="F44" i="48"/>
  <c r="BD44" i="48" s="1"/>
  <c r="F43" i="48"/>
  <c r="L43" i="48" s="1"/>
  <c r="O113" i="48"/>
  <c r="BD22" i="48"/>
  <c r="BD79" i="48"/>
  <c r="BD81" i="48"/>
  <c r="F66" i="48"/>
  <c r="L66" i="48" s="1"/>
  <c r="H11" i="105"/>
  <c r="N6" i="114"/>
  <c r="N6" i="113"/>
  <c r="N6" i="110"/>
  <c r="M9" i="103"/>
  <c r="N6" i="108"/>
  <c r="N6" i="93"/>
  <c r="X121" i="48"/>
  <c r="F121" i="48" s="1"/>
  <c r="L121" i="48" s="1"/>
  <c r="AO69" i="48"/>
  <c r="F69" i="48" s="1"/>
  <c r="F16" i="48"/>
  <c r="P2" i="85"/>
  <c r="B62" i="10"/>
  <c r="N6" i="109"/>
  <c r="H14" i="15"/>
  <c r="T127" i="48"/>
  <c r="F127" i="48" s="1"/>
  <c r="V109" i="48"/>
  <c r="P107" i="48"/>
  <c r="F107" i="48" s="1"/>
  <c r="F15" i="48"/>
  <c r="L15" i="48" s="1"/>
  <c r="I4" i="16"/>
  <c r="T128" i="48"/>
  <c r="F128" i="48" s="1"/>
  <c r="R8" i="83"/>
  <c r="D13" i="48"/>
  <c r="R7" i="83"/>
  <c r="D12" i="48"/>
  <c r="BD138" i="48"/>
  <c r="H5" i="84"/>
  <c r="S69" i="81"/>
  <c r="X109" i="48"/>
  <c r="T109" i="48"/>
  <c r="P117" i="48"/>
  <c r="Q19" i="99"/>
  <c r="C151" i="48"/>
  <c r="Q7" i="83"/>
  <c r="C12" i="48"/>
  <c r="C15" i="48"/>
  <c r="Q3" i="82"/>
  <c r="Q3" i="81"/>
  <c r="Q3" i="93"/>
  <c r="BD151" i="48"/>
  <c r="H7" i="85"/>
  <c r="H7" i="108"/>
  <c r="M4" i="101"/>
  <c r="I13" i="96"/>
  <c r="P88" i="84"/>
  <c r="C36" i="84" s="1"/>
  <c r="I436" i="11"/>
  <c r="B45" i="106"/>
  <c r="K2" i="87"/>
  <c r="B54" i="106"/>
  <c r="H7" i="93"/>
  <c r="P87" i="105"/>
  <c r="K300" i="11"/>
  <c r="B58" i="80"/>
  <c r="C1" i="12"/>
  <c r="P86" i="104"/>
  <c r="I37" i="104" s="1"/>
  <c r="N31" i="105"/>
  <c r="N29" i="81"/>
  <c r="P86" i="85"/>
  <c r="I37" i="85" s="1"/>
  <c r="Q28" i="10"/>
  <c r="Q44" i="10"/>
  <c r="L24" i="10"/>
  <c r="I5" i="92"/>
  <c r="B48" i="107"/>
  <c r="B28" i="108"/>
  <c r="I5" i="113"/>
  <c r="B45" i="107"/>
  <c r="B23" i="10"/>
  <c r="B13" i="15"/>
  <c r="B58" i="87"/>
  <c r="N6" i="96"/>
  <c r="N6" i="87"/>
  <c r="N32" i="110"/>
  <c r="P86" i="87"/>
  <c r="I37" i="87" s="1"/>
  <c r="P86" i="83"/>
  <c r="I32" i="83" s="1"/>
  <c r="N31" i="88"/>
  <c r="P88" i="111"/>
  <c r="I38" i="111" s="1"/>
  <c r="K94" i="10"/>
  <c r="K51" i="10"/>
  <c r="B45" i="115"/>
  <c r="H5" i="105"/>
  <c r="F81" i="10"/>
  <c r="L2" i="9"/>
  <c r="N6" i="97"/>
  <c r="N10" i="110"/>
  <c r="N10" i="83"/>
  <c r="I9" i="75"/>
  <c r="N10" i="80"/>
  <c r="N10" i="88"/>
  <c r="N10" i="104"/>
  <c r="BG2" i="48"/>
  <c r="N3" i="87"/>
  <c r="N3" i="104"/>
  <c r="M3" i="103"/>
  <c r="N3" i="83"/>
  <c r="N3" i="114"/>
  <c r="N3" i="107"/>
  <c r="N3" i="96"/>
  <c r="M3" i="90"/>
  <c r="N3" i="84"/>
  <c r="D38" i="15"/>
  <c r="D44" i="15"/>
  <c r="H44" i="15"/>
  <c r="H38" i="15"/>
  <c r="P2" i="109"/>
  <c r="K64" i="10"/>
  <c r="E48" i="10"/>
  <c r="B305" i="48"/>
  <c r="O2" i="101"/>
  <c r="L63" i="10"/>
  <c r="P2" i="111"/>
  <c r="P2" i="107"/>
  <c r="K45" i="15"/>
  <c r="K27" i="15"/>
  <c r="P4" i="3"/>
  <c r="P87" i="86"/>
  <c r="P2" i="92"/>
  <c r="P2" i="100"/>
  <c r="B18" i="11"/>
  <c r="H5" i="87"/>
  <c r="O33" i="15"/>
  <c r="E3" i="10"/>
  <c r="H5" i="89"/>
  <c r="E18" i="10"/>
  <c r="K39" i="15"/>
  <c r="K15" i="15"/>
  <c r="B19" i="99"/>
  <c r="N4" i="99"/>
  <c r="M4" i="103"/>
  <c r="P87" i="85"/>
  <c r="P89" i="110"/>
  <c r="P2" i="87"/>
  <c r="P2" i="81"/>
  <c r="K9" i="15"/>
  <c r="Q25" i="10"/>
  <c r="O27" i="15"/>
  <c r="C3" i="48"/>
  <c r="M4" i="112"/>
  <c r="R1" i="10"/>
  <c r="S67" i="85"/>
  <c r="D14" i="15"/>
  <c r="P87" i="107"/>
  <c r="P87" i="80"/>
  <c r="P87" i="106"/>
  <c r="L3" i="114"/>
  <c r="P2" i="113"/>
  <c r="P2" i="86"/>
  <c r="P2" i="97"/>
  <c r="O2" i="116"/>
  <c r="C15" i="15"/>
  <c r="Q41" i="10"/>
  <c r="O39" i="15"/>
  <c r="G27" i="15"/>
  <c r="E33" i="10"/>
  <c r="H5" i="93"/>
  <c r="P87" i="83"/>
  <c r="H5" i="82"/>
  <c r="G9" i="15"/>
  <c r="K25" i="10"/>
  <c r="K21" i="15"/>
  <c r="Q18" i="10"/>
  <c r="E91" i="10"/>
  <c r="N4" i="109"/>
  <c r="N4" i="82"/>
  <c r="L3" i="109"/>
  <c r="P87" i="87"/>
  <c r="P89" i="111"/>
  <c r="P87" i="82"/>
  <c r="P87" i="88"/>
  <c r="P2" i="108"/>
  <c r="P2" i="80"/>
  <c r="P2" i="104"/>
  <c r="O2" i="103"/>
  <c r="H5" i="90"/>
  <c r="C33" i="15"/>
  <c r="H5" i="106"/>
  <c r="H5" i="108"/>
  <c r="H5" i="88"/>
  <c r="Q3" i="10"/>
  <c r="K73" i="10"/>
  <c r="K2" i="106"/>
  <c r="B54" i="105"/>
  <c r="B53" i="106"/>
  <c r="B57" i="87"/>
  <c r="H9" i="10"/>
  <c r="K4" i="99"/>
  <c r="K2" i="81"/>
  <c r="K4" i="100"/>
  <c r="L10" i="10"/>
  <c r="L3" i="15"/>
  <c r="B14" i="102"/>
  <c r="H5" i="83"/>
  <c r="H5" i="110"/>
  <c r="H6" i="101"/>
  <c r="B19" i="101"/>
  <c r="H5" i="85"/>
  <c r="C103" i="11"/>
  <c r="D35" i="106"/>
  <c r="I13" i="113"/>
  <c r="H11" i="87"/>
  <c r="H11" i="80"/>
  <c r="H11" i="107"/>
  <c r="H11" i="88"/>
  <c r="I13" i="97"/>
  <c r="I13" i="109"/>
  <c r="I13" i="114"/>
  <c r="I13" i="92"/>
  <c r="H11" i="106"/>
  <c r="C116" i="11"/>
  <c r="C6" i="48"/>
  <c r="H7" i="104"/>
  <c r="H7" i="90"/>
  <c r="H7" i="89"/>
  <c r="H7" i="83"/>
  <c r="H7" i="86"/>
  <c r="H7" i="112"/>
  <c r="H7" i="82"/>
  <c r="D8" i="15"/>
  <c r="F17" i="10"/>
  <c r="K3" i="101"/>
  <c r="L17" i="10"/>
  <c r="K3" i="116"/>
  <c r="F16" i="3"/>
  <c r="R17" i="10"/>
  <c r="K2" i="85"/>
  <c r="L8" i="15"/>
  <c r="L32" i="15"/>
  <c r="K2" i="90"/>
  <c r="K2" i="86"/>
  <c r="M16" i="3"/>
  <c r="F25" i="3"/>
  <c r="P32" i="15"/>
  <c r="K2" i="104"/>
  <c r="H8" i="15"/>
  <c r="K3" i="102"/>
  <c r="K2" i="112"/>
  <c r="K4" i="103"/>
  <c r="C126" i="11"/>
  <c r="B406" i="11"/>
  <c r="B57" i="105"/>
  <c r="B56" i="106"/>
  <c r="B28" i="112"/>
  <c r="B18" i="103"/>
  <c r="B15" i="103"/>
  <c r="E12" i="3"/>
  <c r="D55" i="15"/>
  <c r="K2" i="99"/>
  <c r="F12" i="3"/>
  <c r="K2" i="101"/>
  <c r="C50" i="15"/>
  <c r="C55" i="15"/>
  <c r="E3" i="3"/>
  <c r="P87" i="84"/>
  <c r="P86" i="81"/>
  <c r="I35" i="81" s="1"/>
  <c r="P86" i="82"/>
  <c r="I35" i="82" s="1"/>
  <c r="P86" i="80"/>
  <c r="I37" i="80" s="1"/>
  <c r="P86" i="86"/>
  <c r="I37" i="86" s="1"/>
  <c r="P86" i="106"/>
  <c r="I37" i="106" s="1"/>
  <c r="P88" i="110"/>
  <c r="I38" i="110" s="1"/>
  <c r="P86" i="88"/>
  <c r="I37" i="88" s="1"/>
  <c r="K59" i="10"/>
  <c r="E36" i="10"/>
  <c r="E51" i="10"/>
  <c r="K6" i="10"/>
  <c r="K67" i="10"/>
  <c r="K36" i="10"/>
  <c r="Q36" i="10"/>
  <c r="Q6" i="10"/>
  <c r="E59" i="10"/>
  <c r="K21" i="10"/>
  <c r="K76" i="10"/>
  <c r="K44" i="10"/>
  <c r="K28" i="10"/>
  <c r="E76" i="10"/>
  <c r="E6" i="10"/>
  <c r="E44" i="10"/>
  <c r="E21" i="10"/>
  <c r="Q21" i="10"/>
  <c r="E28" i="10"/>
  <c r="B25" i="103"/>
  <c r="B22" i="103"/>
  <c r="H7" i="105"/>
  <c r="H7" i="80"/>
  <c r="H7" i="106"/>
  <c r="I7" i="114"/>
  <c r="B46" i="87"/>
  <c r="B46" i="80"/>
  <c r="I7" i="109"/>
  <c r="B46" i="105"/>
  <c r="H7" i="87"/>
  <c r="I7" i="96"/>
  <c r="K2" i="100"/>
  <c r="H50" i="15"/>
  <c r="G50" i="15"/>
  <c r="D60" i="15"/>
  <c r="H55" i="15"/>
  <c r="F3" i="3"/>
  <c r="H60" i="15"/>
  <c r="G55" i="15"/>
  <c r="L3" i="3"/>
  <c r="L12" i="3"/>
  <c r="K2" i="102"/>
  <c r="M3" i="3"/>
  <c r="D50" i="15"/>
  <c r="M12" i="3"/>
  <c r="B2" i="3"/>
  <c r="B49" i="15"/>
  <c r="C15" i="102"/>
  <c r="C21" i="99"/>
  <c r="C15" i="101"/>
  <c r="C16" i="100"/>
  <c r="C22" i="99"/>
  <c r="C20" i="102"/>
  <c r="C16" i="99"/>
  <c r="C20" i="101"/>
  <c r="C21" i="100"/>
  <c r="C26" i="99"/>
  <c r="C26" i="100"/>
  <c r="C22" i="100"/>
  <c r="L32" i="10"/>
  <c r="H20" i="15"/>
  <c r="B25" i="99"/>
  <c r="B25" i="100"/>
  <c r="N31" i="85"/>
  <c r="N31" i="104"/>
  <c r="N30" i="84"/>
  <c r="N31" i="87"/>
  <c r="N31" i="80"/>
  <c r="N26" i="83"/>
  <c r="N29" i="82"/>
  <c r="N112" i="82"/>
  <c r="J113" i="16"/>
  <c r="J229" i="75"/>
  <c r="J277" i="16"/>
  <c r="K7" i="96"/>
  <c r="O10" i="11"/>
  <c r="P9" i="11" s="1"/>
  <c r="K7" i="95" s="1"/>
  <c r="K7" i="114"/>
  <c r="F6" i="3"/>
  <c r="K3" i="100"/>
  <c r="K3" i="103"/>
  <c r="R2" i="10"/>
  <c r="K3" i="99"/>
  <c r="K2" i="82"/>
  <c r="K2" i="83"/>
  <c r="M6" i="3"/>
  <c r="K2" i="84"/>
  <c r="D3" i="15"/>
  <c r="H3" i="15"/>
  <c r="P3" i="15"/>
  <c r="F2" i="10"/>
  <c r="L2" i="10"/>
  <c r="I8" i="16"/>
  <c r="N9" i="83"/>
  <c r="N7" i="100"/>
  <c r="M7" i="116"/>
  <c r="N9" i="93"/>
  <c r="T8" i="10"/>
  <c r="M7" i="103"/>
  <c r="M9" i="90"/>
  <c r="N9" i="111"/>
  <c r="N9" i="80"/>
  <c r="N9" i="110"/>
  <c r="N9" i="106"/>
  <c r="N9" i="107"/>
  <c r="M9" i="112"/>
  <c r="N7" i="99"/>
  <c r="N9" i="114"/>
  <c r="N9" i="81"/>
  <c r="N9" i="89"/>
  <c r="BG6" i="48"/>
  <c r="N9" i="115"/>
  <c r="N9" i="92"/>
  <c r="N9" i="97"/>
  <c r="N9" i="108"/>
  <c r="L11" i="11"/>
  <c r="N9" i="88"/>
  <c r="N9" i="82"/>
  <c r="N9" i="84"/>
  <c r="R7" i="15"/>
  <c r="M7" i="101"/>
  <c r="N9" i="109"/>
  <c r="I8" i="75"/>
  <c r="N9" i="96"/>
  <c r="N9" i="104"/>
  <c r="N9" i="85"/>
  <c r="N9" i="113"/>
  <c r="N9" i="86"/>
  <c r="N9" i="105"/>
  <c r="M7" i="102"/>
  <c r="N9" i="87"/>
  <c r="K2" i="103"/>
  <c r="H26" i="15"/>
  <c r="L26" i="15"/>
  <c r="L47" i="10"/>
  <c r="F40" i="10"/>
  <c r="K2" i="108"/>
  <c r="K2" i="110"/>
  <c r="D26" i="15"/>
  <c r="K2" i="89"/>
  <c r="P26" i="15"/>
  <c r="K2" i="93"/>
  <c r="F47" i="10"/>
  <c r="K2" i="111"/>
  <c r="L40" i="10"/>
  <c r="T13" i="10"/>
  <c r="B184" i="10"/>
  <c r="L13" i="11"/>
  <c r="B419" i="11"/>
  <c r="K4" i="101"/>
  <c r="K4" i="116"/>
  <c r="K4" i="102"/>
  <c r="K2" i="88"/>
  <c r="K2" i="107"/>
  <c r="K2" i="80"/>
  <c r="K2" i="105"/>
  <c r="I5" i="96"/>
  <c r="H5" i="86"/>
  <c r="H5" i="107"/>
  <c r="H5" i="111"/>
  <c r="I5" i="97"/>
  <c r="C15" i="116"/>
  <c r="C25" i="116"/>
  <c r="P2" i="115"/>
  <c r="P2" i="88"/>
  <c r="P2" i="105"/>
  <c r="O2" i="102"/>
  <c r="P2" i="99"/>
  <c r="P2" i="82"/>
  <c r="P2" i="84"/>
  <c r="P2" i="114"/>
  <c r="P2" i="96"/>
  <c r="P2" i="93"/>
  <c r="P2" i="90"/>
  <c r="P2" i="106"/>
  <c r="P2" i="110"/>
  <c r="P2" i="89"/>
  <c r="P2" i="83"/>
  <c r="C21" i="112"/>
  <c r="C21" i="90"/>
  <c r="D32" i="15"/>
  <c r="R40" i="10"/>
  <c r="P5" i="11"/>
  <c r="U5" i="11"/>
  <c r="U7" i="11"/>
  <c r="K6" i="102"/>
  <c r="F63" i="10"/>
  <c r="F32" i="10"/>
  <c r="L3" i="96"/>
  <c r="F24" i="10"/>
  <c r="L81" i="10"/>
  <c r="D20" i="15"/>
  <c r="D48" i="80"/>
  <c r="D48" i="105"/>
  <c r="D48" i="87"/>
  <c r="D47" i="106"/>
  <c r="F41" i="16"/>
  <c r="F20" i="16"/>
  <c r="F36" i="75"/>
  <c r="C109" i="11"/>
  <c r="B6" i="48"/>
  <c r="I12" i="75"/>
  <c r="I25" i="16"/>
  <c r="I12" i="16"/>
  <c r="H28" i="83"/>
  <c r="M18" i="3"/>
  <c r="B29" i="108"/>
  <c r="B47" i="111"/>
  <c r="B57" i="106"/>
  <c r="B46" i="115"/>
  <c r="B58" i="105"/>
  <c r="B49" i="109"/>
  <c r="B49" i="107"/>
  <c r="B29" i="112"/>
  <c r="G4" i="15"/>
  <c r="O45" i="15"/>
  <c r="K11" i="10"/>
  <c r="O4" i="15"/>
  <c r="C4" i="15"/>
  <c r="C9" i="15"/>
  <c r="E73" i="10"/>
  <c r="G21" i="15"/>
  <c r="C27" i="15"/>
  <c r="K48" i="10"/>
  <c r="K41" i="10"/>
  <c r="K18" i="10"/>
  <c r="K33" i="15"/>
  <c r="C21" i="15"/>
  <c r="K91" i="10"/>
  <c r="E25" i="10"/>
  <c r="K56" i="10"/>
  <c r="K4" i="15"/>
  <c r="K82" i="10"/>
  <c r="G15" i="15"/>
  <c r="E56" i="10"/>
  <c r="K3" i="10"/>
  <c r="Q33" i="10"/>
  <c r="B14" i="100"/>
  <c r="B14" i="99"/>
  <c r="B37" i="15"/>
  <c r="L2" i="92"/>
  <c r="B43" i="15"/>
  <c r="L2" i="114"/>
  <c r="B89" i="10"/>
  <c r="B80" i="10"/>
  <c r="L2" i="96"/>
  <c r="L2" i="109"/>
  <c r="B71" i="10"/>
  <c r="L2" i="113"/>
  <c r="L2" i="97"/>
  <c r="L2" i="115"/>
  <c r="P3" i="11"/>
  <c r="P2" i="11" s="1"/>
  <c r="K6" i="116" s="1"/>
  <c r="U3" i="11"/>
  <c r="B16" i="10"/>
  <c r="B54" i="10"/>
  <c r="L31" i="15"/>
  <c r="H5" i="81"/>
  <c r="I5" i="115"/>
  <c r="H5" i="80"/>
  <c r="I5" i="109"/>
  <c r="H6" i="99"/>
  <c r="H5" i="112"/>
  <c r="H6" i="102"/>
  <c r="I5" i="114"/>
  <c r="H5" i="104"/>
  <c r="H6" i="100"/>
  <c r="L90" i="10"/>
  <c r="L14" i="15"/>
  <c r="F72" i="10"/>
  <c r="P44" i="15"/>
  <c r="L44" i="15"/>
  <c r="P38" i="15"/>
  <c r="L3" i="97"/>
  <c r="R24" i="10"/>
  <c r="L72" i="10"/>
  <c r="R32" i="10"/>
  <c r="L3" i="115"/>
  <c r="L3" i="113"/>
  <c r="L20" i="15"/>
  <c r="L38" i="15"/>
  <c r="L3" i="92"/>
  <c r="F90" i="10"/>
  <c r="N2" i="100"/>
  <c r="R2" i="15"/>
  <c r="M2" i="116"/>
  <c r="N2" i="88"/>
  <c r="N2" i="96"/>
  <c r="I2" i="16"/>
  <c r="N2" i="92"/>
  <c r="N2" i="89"/>
  <c r="N2" i="115"/>
  <c r="N2" i="85"/>
  <c r="M2" i="102"/>
  <c r="N2" i="109"/>
  <c r="N2" i="114"/>
  <c r="N2" i="111"/>
  <c r="N2" i="93"/>
  <c r="N2" i="83"/>
  <c r="N2" i="82"/>
  <c r="N2" i="87"/>
  <c r="M2" i="101"/>
  <c r="N2" i="97"/>
  <c r="N2" i="110"/>
  <c r="T2" i="10"/>
  <c r="M2" i="112"/>
  <c r="N2" i="107"/>
  <c r="BG1" i="48"/>
  <c r="N2" i="108"/>
  <c r="N2" i="84"/>
  <c r="N2" i="106"/>
  <c r="N2" i="99"/>
  <c r="N2" i="80"/>
  <c r="N2" i="86"/>
  <c r="N2" i="105"/>
  <c r="P2" i="3"/>
  <c r="N2" i="104"/>
  <c r="M2" i="103"/>
  <c r="N2" i="81"/>
  <c r="M2" i="90"/>
  <c r="I2" i="75"/>
  <c r="N2" i="113"/>
  <c r="B24" i="112"/>
  <c r="B24" i="90"/>
  <c r="H9" i="90"/>
  <c r="S84" i="106"/>
  <c r="H9" i="85"/>
  <c r="H9" i="87"/>
  <c r="S67" i="82"/>
  <c r="S55" i="112"/>
  <c r="H8" i="103"/>
  <c r="H9" i="111"/>
  <c r="S74" i="80"/>
  <c r="H9" i="80"/>
  <c r="S87" i="111"/>
  <c r="H8" i="99"/>
  <c r="H8" i="102"/>
  <c r="R42" i="102"/>
  <c r="H9" i="106"/>
  <c r="S74" i="87"/>
  <c r="H9" i="89"/>
  <c r="S67" i="83"/>
  <c r="H9" i="104"/>
  <c r="S67" i="84"/>
  <c r="S71" i="110"/>
  <c r="S44" i="89"/>
  <c r="S84" i="105"/>
  <c r="H9" i="93"/>
  <c r="H8" i="100"/>
  <c r="R42" i="101"/>
  <c r="S43" i="100"/>
  <c r="H9" i="112"/>
  <c r="S68" i="86"/>
  <c r="H9" i="110"/>
  <c r="S75" i="104"/>
  <c r="S74" i="88"/>
  <c r="H9" i="108"/>
  <c r="S44" i="90"/>
  <c r="H9" i="88"/>
  <c r="H9" i="105"/>
  <c r="R42" i="103"/>
  <c r="R43" i="116"/>
  <c r="S45" i="99"/>
  <c r="S56" i="108"/>
  <c r="H9" i="107"/>
  <c r="S44" i="93"/>
  <c r="H9" i="86"/>
  <c r="H8" i="101"/>
  <c r="H8" i="116"/>
  <c r="S84" i="107"/>
  <c r="B52" i="105"/>
  <c r="B52" i="80"/>
  <c r="B52" i="87"/>
  <c r="B51" i="106"/>
  <c r="B407" i="11"/>
  <c r="C125" i="11"/>
  <c r="B26" i="11"/>
  <c r="A2" i="8"/>
  <c r="C16" i="101"/>
  <c r="C22" i="101"/>
  <c r="C27" i="99"/>
  <c r="C21" i="101"/>
  <c r="D47" i="87"/>
  <c r="D46" i="106"/>
  <c r="L17" i="3"/>
  <c r="E26" i="3"/>
  <c r="E17" i="3"/>
  <c r="D47" i="105"/>
  <c r="D47" i="80"/>
  <c r="E7" i="3"/>
  <c r="L7" i="3"/>
  <c r="B51" i="80"/>
  <c r="B51" i="105"/>
  <c r="B50" i="106"/>
  <c r="B51" i="87"/>
  <c r="C32" i="90"/>
  <c r="C32" i="112"/>
  <c r="N4" i="88"/>
  <c r="N4" i="110"/>
  <c r="N4" i="86"/>
  <c r="M4" i="102"/>
  <c r="M4" i="116"/>
  <c r="N4" i="104"/>
  <c r="N4" i="83"/>
  <c r="N4" i="85"/>
  <c r="N4" i="92"/>
  <c r="N4" i="105"/>
  <c r="N4" i="87"/>
  <c r="N4" i="108"/>
  <c r="R4" i="15"/>
  <c r="N4" i="81"/>
  <c r="L7" i="11"/>
  <c r="N4" i="97"/>
  <c r="N4" i="114"/>
  <c r="N4" i="93"/>
  <c r="N4" i="84"/>
  <c r="N4" i="115"/>
  <c r="N4" i="107"/>
  <c r="I4" i="75"/>
  <c r="N4" i="113"/>
  <c r="N4" i="106"/>
  <c r="N4" i="96"/>
  <c r="BG3" i="48"/>
  <c r="M4" i="90"/>
  <c r="N4" i="100"/>
  <c r="N4" i="111"/>
  <c r="K16" i="15"/>
  <c r="O5" i="15"/>
  <c r="K5" i="15"/>
  <c r="O40" i="15"/>
  <c r="G10" i="15"/>
  <c r="K22" i="15"/>
  <c r="C61" i="15"/>
  <c r="G16" i="15"/>
  <c r="C34" i="15"/>
  <c r="K28" i="15"/>
  <c r="G61" i="15"/>
  <c r="G28" i="15"/>
  <c r="G5" i="15"/>
  <c r="E2" i="75"/>
  <c r="C10" i="15"/>
  <c r="K10" i="15"/>
  <c r="O34" i="15"/>
  <c r="O46" i="15"/>
  <c r="O28" i="15"/>
  <c r="E2" i="16"/>
  <c r="C22" i="15"/>
  <c r="C40" i="15"/>
  <c r="C28" i="15"/>
  <c r="C46" i="15"/>
  <c r="K56" i="15"/>
  <c r="G51" i="15"/>
  <c r="P10" i="9"/>
  <c r="E10" i="9" s="1"/>
  <c r="F10" i="48" s="1"/>
  <c r="C56" i="15"/>
  <c r="C51" i="15"/>
  <c r="C16" i="15"/>
  <c r="E22" i="16"/>
  <c r="G22" i="15"/>
  <c r="K46" i="15"/>
  <c r="C5" i="15"/>
  <c r="G46" i="15"/>
  <c r="G40" i="15"/>
  <c r="G56" i="15"/>
  <c r="K40" i="15"/>
  <c r="K34" i="15"/>
  <c r="E26" i="90"/>
  <c r="B23" i="90"/>
  <c r="E26" i="112"/>
  <c r="B23" i="112"/>
  <c r="D105" i="82"/>
  <c r="C31" i="85"/>
  <c r="C31" i="87"/>
  <c r="C31" i="106"/>
  <c r="C26" i="83"/>
  <c r="C31" i="104"/>
  <c r="C31" i="88"/>
  <c r="C31" i="80"/>
  <c r="C29" i="81"/>
  <c r="C26" i="111"/>
  <c r="C26" i="110"/>
  <c r="C29" i="84"/>
  <c r="C25" i="105"/>
  <c r="C25" i="80"/>
  <c r="C19" i="87"/>
  <c r="C25" i="106"/>
  <c r="C32" i="111"/>
  <c r="C31" i="86"/>
  <c r="C25" i="87"/>
  <c r="C24" i="84"/>
  <c r="C22" i="83"/>
  <c r="C19" i="84"/>
  <c r="C32" i="110"/>
  <c r="C31" i="107"/>
  <c r="C15" i="99"/>
  <c r="C25" i="86"/>
  <c r="C24" i="82"/>
  <c r="C19" i="107"/>
  <c r="C20" i="111"/>
  <c r="C25" i="104"/>
  <c r="C31" i="105"/>
  <c r="C18" i="83"/>
  <c r="C24" i="81"/>
  <c r="C20" i="90"/>
  <c r="C20" i="89"/>
  <c r="C20" i="100"/>
  <c r="C25" i="85"/>
  <c r="C19" i="85"/>
  <c r="C29" i="82"/>
  <c r="C19" i="88"/>
  <c r="C19" i="105"/>
  <c r="C19" i="106"/>
  <c r="C19" i="86"/>
  <c r="C25" i="88"/>
  <c r="C15" i="100"/>
  <c r="C20" i="112"/>
  <c r="C25" i="107"/>
  <c r="C19" i="80"/>
  <c r="C19" i="82"/>
  <c r="C20" i="110"/>
  <c r="C19" i="81"/>
  <c r="C20" i="99"/>
  <c r="C19" i="104"/>
  <c r="C20" i="108"/>
  <c r="C20" i="93"/>
  <c r="E35" i="10"/>
  <c r="H4" i="85"/>
  <c r="K75" i="10"/>
  <c r="I4" i="92"/>
  <c r="H4" i="84"/>
  <c r="H4" i="82"/>
  <c r="K20" i="10"/>
  <c r="H4" i="83"/>
  <c r="I4" i="109"/>
  <c r="Q35" i="10"/>
  <c r="K50" i="10"/>
  <c r="H4" i="93"/>
  <c r="E58" i="10"/>
  <c r="H4" i="86"/>
  <c r="K27" i="10"/>
  <c r="K5" i="10"/>
  <c r="H4" i="108"/>
  <c r="I4" i="114"/>
  <c r="H4" i="90"/>
  <c r="K66" i="10"/>
  <c r="E5" i="10"/>
  <c r="E50" i="10"/>
  <c r="H4" i="104"/>
  <c r="H4" i="89"/>
  <c r="H4" i="111"/>
  <c r="K58" i="10"/>
  <c r="E27" i="10"/>
  <c r="Q5" i="10"/>
  <c r="K43" i="10"/>
  <c r="H4" i="110"/>
  <c r="I4" i="97"/>
  <c r="H4" i="105"/>
  <c r="I4" i="115"/>
  <c r="K93" i="10"/>
  <c r="I4" i="96"/>
  <c r="K13" i="10"/>
  <c r="I4" i="113"/>
  <c r="E20" i="10"/>
  <c r="H4" i="88"/>
  <c r="Q27" i="10"/>
  <c r="H4" i="81"/>
  <c r="H4" i="106"/>
  <c r="K35" i="10"/>
  <c r="Q20" i="10"/>
  <c r="H4" i="112"/>
  <c r="E93" i="10"/>
  <c r="H4" i="107"/>
  <c r="E43" i="10"/>
  <c r="K84" i="10"/>
  <c r="H4" i="87"/>
  <c r="E75" i="10"/>
  <c r="H4" i="80"/>
  <c r="Q43" i="10"/>
  <c r="B405" i="11"/>
  <c r="C124" i="11"/>
  <c r="B39" i="10"/>
  <c r="B25" i="15"/>
  <c r="P84" i="88"/>
  <c r="P84" i="87"/>
  <c r="P84" i="80"/>
  <c r="P84" i="107"/>
  <c r="P84" i="106"/>
  <c r="P84" i="105"/>
  <c r="P84" i="81"/>
  <c r="P84" i="82"/>
  <c r="P84" i="83"/>
  <c r="P84" i="86"/>
  <c r="P84" i="85"/>
  <c r="P86" i="110"/>
  <c r="P85" i="84"/>
  <c r="P84" i="104"/>
  <c r="P86" i="111"/>
  <c r="M7" i="112"/>
  <c r="N7" i="87"/>
  <c r="N7" i="92"/>
  <c r="N7" i="84"/>
  <c r="N7" i="83"/>
  <c r="N7" i="80"/>
  <c r="BG4" i="48"/>
  <c r="N7" i="111"/>
  <c r="N7" i="97"/>
  <c r="G1" i="16"/>
  <c r="N7" i="108"/>
  <c r="N7" i="105"/>
  <c r="N7" i="93"/>
  <c r="N7" i="113"/>
  <c r="N7" i="86"/>
  <c r="N5" i="99"/>
  <c r="N7" i="85"/>
  <c r="N7" i="82"/>
  <c r="N7" i="96"/>
  <c r="M7" i="90"/>
  <c r="P5" i="3"/>
  <c r="M5" i="103"/>
  <c r="N7" i="109"/>
  <c r="L9" i="11"/>
  <c r="M5" i="102"/>
  <c r="N7" i="110"/>
  <c r="M5" i="101"/>
  <c r="N7" i="115"/>
  <c r="N5" i="100"/>
  <c r="N7" i="88"/>
  <c r="N7" i="107"/>
  <c r="N7" i="89"/>
  <c r="R5" i="15"/>
  <c r="N7" i="104"/>
  <c r="N7" i="114"/>
  <c r="N7" i="106"/>
  <c r="T6" i="10"/>
  <c r="M5" i="116"/>
  <c r="N7" i="81"/>
  <c r="AM119" i="48"/>
  <c r="AM71" i="48"/>
  <c r="F71" i="48" s="1"/>
  <c r="AK109" i="48"/>
  <c r="AN67" i="48"/>
  <c r="AO117" i="48"/>
  <c r="AL57" i="48"/>
  <c r="AR117" i="48"/>
  <c r="AL118" i="48"/>
  <c r="AL109" i="48"/>
  <c r="AN119" i="48"/>
  <c r="AM67" i="48"/>
  <c r="AR58" i="48"/>
  <c r="F58" i="48" s="1"/>
  <c r="BD58" i="48" s="1"/>
  <c r="AN57" i="48"/>
  <c r="AP117" i="48"/>
  <c r="AN109" i="48"/>
  <c r="F122" i="48"/>
  <c r="AM109" i="48"/>
  <c r="AO67" i="48"/>
  <c r="AE115" i="48"/>
  <c r="F115" i="48" s="1"/>
  <c r="L115" i="48" s="1"/>
  <c r="BD72" i="48"/>
  <c r="AF113" i="48"/>
  <c r="AE109" i="48"/>
  <c r="BD74" i="48"/>
  <c r="BD68" i="48"/>
  <c r="BD70" i="48"/>
  <c r="AE113" i="48"/>
  <c r="U2" i="11" l="1"/>
  <c r="T93" i="109"/>
  <c r="U93" i="109" s="1"/>
  <c r="F28" i="16"/>
  <c r="G28" i="16" s="1"/>
  <c r="G256" i="48"/>
  <c r="M256" i="48" s="1"/>
  <c r="H256" i="48" s="1"/>
  <c r="T93" i="97"/>
  <c r="U93" i="97" s="1"/>
  <c r="T93" i="92"/>
  <c r="U93" i="92" s="1"/>
  <c r="T93" i="113"/>
  <c r="U93" i="113" s="1"/>
  <c r="T93" i="115"/>
  <c r="U93" i="115" s="1"/>
  <c r="T93" i="95"/>
  <c r="U93" i="95" s="1"/>
  <c r="T93" i="96"/>
  <c r="U93" i="96" s="1"/>
  <c r="T93" i="114"/>
  <c r="U93" i="114" s="1"/>
  <c r="T92" i="109"/>
  <c r="U92" i="109" s="1"/>
  <c r="F27" i="16"/>
  <c r="G27" i="16" s="1"/>
  <c r="T92" i="115"/>
  <c r="U92" i="115" s="1"/>
  <c r="T92" i="92"/>
  <c r="U92" i="92" s="1"/>
  <c r="T92" i="113"/>
  <c r="U92" i="113" s="1"/>
  <c r="G255" i="48"/>
  <c r="M255" i="48" s="1"/>
  <c r="H255" i="48" s="1"/>
  <c r="T92" i="97"/>
  <c r="U92" i="97" s="1"/>
  <c r="T92" i="96"/>
  <c r="U92" i="96" s="1"/>
  <c r="T92" i="114"/>
  <c r="U92" i="114" s="1"/>
  <c r="T92" i="95"/>
  <c r="U92" i="95" s="1"/>
  <c r="G216" i="48"/>
  <c r="M216" i="48" s="1"/>
  <c r="H216" i="48" s="1"/>
  <c r="F19" i="16"/>
  <c r="G19" i="16" s="1"/>
  <c r="J8" i="112"/>
  <c r="J8" i="111"/>
  <c r="J8" i="90"/>
  <c r="J8" i="110"/>
  <c r="T90" i="113"/>
  <c r="U90" i="113" s="1"/>
  <c r="T90" i="114"/>
  <c r="U90" i="114" s="1"/>
  <c r="T90" i="115"/>
  <c r="U90" i="115" s="1"/>
  <c r="T90" i="92"/>
  <c r="U90" i="92" s="1"/>
  <c r="T90" i="96"/>
  <c r="U90" i="96" s="1"/>
  <c r="T90" i="97"/>
  <c r="U90" i="97" s="1"/>
  <c r="T90" i="109"/>
  <c r="U90" i="109" s="1"/>
  <c r="T19" i="92"/>
  <c r="U19" i="92" s="1"/>
  <c r="T19" i="113"/>
  <c r="U19" i="113" s="1"/>
  <c r="T19" i="96"/>
  <c r="U19" i="96" s="1"/>
  <c r="T19" i="114"/>
  <c r="U19" i="114" s="1"/>
  <c r="T19" i="97"/>
  <c r="U19" i="97" s="1"/>
  <c r="T19" i="115"/>
  <c r="U19" i="115" s="1"/>
  <c r="T19" i="109"/>
  <c r="U19" i="109" s="1"/>
  <c r="T17" i="92"/>
  <c r="U17" i="92" s="1"/>
  <c r="T17" i="113"/>
  <c r="U17" i="113" s="1"/>
  <c r="T17" i="96"/>
  <c r="U17" i="96" s="1"/>
  <c r="T17" i="114"/>
  <c r="U17" i="114" s="1"/>
  <c r="T17" i="97"/>
  <c r="U17" i="97" s="1"/>
  <c r="T17" i="115"/>
  <c r="U17" i="115" s="1"/>
  <c r="T17" i="109"/>
  <c r="U17" i="109" s="1"/>
  <c r="T21" i="92"/>
  <c r="U21" i="92" s="1"/>
  <c r="T21" i="113"/>
  <c r="U21" i="113" s="1"/>
  <c r="T21" i="96"/>
  <c r="U21" i="96" s="1"/>
  <c r="T21" i="114"/>
  <c r="U21" i="114" s="1"/>
  <c r="T21" i="97"/>
  <c r="U21" i="97" s="1"/>
  <c r="T21" i="115"/>
  <c r="U21" i="115" s="1"/>
  <c r="T21" i="109"/>
  <c r="U21" i="109" s="1"/>
  <c r="G249" i="48"/>
  <c r="M249" i="48" s="1"/>
  <c r="H249" i="48" s="1"/>
  <c r="F35" i="75"/>
  <c r="G35" i="75" s="1"/>
  <c r="G68" i="48"/>
  <c r="T18" i="92"/>
  <c r="U18" i="92" s="1"/>
  <c r="T18" i="113"/>
  <c r="U18" i="113" s="1"/>
  <c r="T18" i="96"/>
  <c r="U18" i="96" s="1"/>
  <c r="T18" i="114"/>
  <c r="U18" i="114" s="1"/>
  <c r="T18" i="97"/>
  <c r="U18" i="97" s="1"/>
  <c r="T18" i="115"/>
  <c r="U18" i="115" s="1"/>
  <c r="T18" i="109"/>
  <c r="U18" i="109" s="1"/>
  <c r="T94" i="95"/>
  <c r="T94" i="92"/>
  <c r="U94" i="92" s="1"/>
  <c r="T94" i="96"/>
  <c r="U94" i="96" s="1"/>
  <c r="T94" i="97"/>
  <c r="U94" i="97" s="1"/>
  <c r="T94" i="109"/>
  <c r="U94" i="109" s="1"/>
  <c r="T94" i="113"/>
  <c r="U94" i="113" s="1"/>
  <c r="T94" i="114"/>
  <c r="U94" i="114" s="1"/>
  <c r="T94" i="115"/>
  <c r="U94" i="115" s="1"/>
  <c r="T20" i="92"/>
  <c r="U20" i="92" s="1"/>
  <c r="T20" i="113"/>
  <c r="U20" i="113" s="1"/>
  <c r="T20" i="96"/>
  <c r="U20" i="96" s="1"/>
  <c r="T20" i="114"/>
  <c r="U20" i="114" s="1"/>
  <c r="T20" i="97"/>
  <c r="U20" i="97" s="1"/>
  <c r="T20" i="115"/>
  <c r="U20" i="115" s="1"/>
  <c r="T20" i="109"/>
  <c r="U20" i="109" s="1"/>
  <c r="T16" i="95"/>
  <c r="U16" i="95" s="1"/>
  <c r="T16" i="92"/>
  <c r="U16" i="92" s="1"/>
  <c r="T16" i="113"/>
  <c r="U16" i="113" s="1"/>
  <c r="T16" i="96"/>
  <c r="U16" i="96" s="1"/>
  <c r="T16" i="114"/>
  <c r="U16" i="114" s="1"/>
  <c r="T16" i="97"/>
  <c r="U16" i="97" s="1"/>
  <c r="T16" i="115"/>
  <c r="U16" i="115" s="1"/>
  <c r="T16" i="109"/>
  <c r="U16" i="109" s="1"/>
  <c r="T91" i="113"/>
  <c r="U91" i="113" s="1"/>
  <c r="T91" i="114"/>
  <c r="U91" i="114" s="1"/>
  <c r="T91" i="115"/>
  <c r="U91" i="115" s="1"/>
  <c r="T91" i="92"/>
  <c r="U91" i="92" s="1"/>
  <c r="T91" i="96"/>
  <c r="U91" i="96" s="1"/>
  <c r="T91" i="97"/>
  <c r="U91" i="97" s="1"/>
  <c r="T91" i="109"/>
  <c r="U91" i="109" s="1"/>
  <c r="J8" i="89"/>
  <c r="J8" i="108"/>
  <c r="J8" i="93"/>
  <c r="J8" i="82"/>
  <c r="J8" i="85"/>
  <c r="J8" i="104"/>
  <c r="J8" i="83"/>
  <c r="J8" i="84"/>
  <c r="J8" i="86"/>
  <c r="K8" i="95"/>
  <c r="BD12" i="48"/>
  <c r="K8" i="113"/>
  <c r="K8" i="115"/>
  <c r="K8" i="96"/>
  <c r="K8" i="92"/>
  <c r="K8" i="97"/>
  <c r="K8" i="109"/>
  <c r="K8" i="114"/>
  <c r="F25" i="16"/>
  <c r="G25" i="16" s="1"/>
  <c r="T91" i="95"/>
  <c r="U91" i="95" s="1"/>
  <c r="G252" i="48"/>
  <c r="K5" i="95"/>
  <c r="T55" i="80"/>
  <c r="U55" i="80" s="1"/>
  <c r="T55" i="87"/>
  <c r="U55" i="87" s="1"/>
  <c r="T55" i="105"/>
  <c r="U55" i="105" s="1"/>
  <c r="T60" i="110"/>
  <c r="U60" i="110" s="1"/>
  <c r="T60" i="111"/>
  <c r="U60" i="111" s="1"/>
  <c r="G95" i="48"/>
  <c r="T55" i="85"/>
  <c r="U55" i="85" s="1"/>
  <c r="T55" i="104"/>
  <c r="U55" i="104" s="1"/>
  <c r="T55" i="110"/>
  <c r="U55" i="110" s="1"/>
  <c r="T61" i="110"/>
  <c r="U61" i="110" s="1"/>
  <c r="G96" i="48"/>
  <c r="T61" i="111"/>
  <c r="U61" i="111" s="1"/>
  <c r="H11" i="48"/>
  <c r="C38" i="85"/>
  <c r="T41" i="112"/>
  <c r="U41" i="112" s="1"/>
  <c r="BD45" i="48"/>
  <c r="F8" i="75"/>
  <c r="G8" i="75" s="1"/>
  <c r="T13" i="114"/>
  <c r="U13" i="114" s="1"/>
  <c r="T13" i="84"/>
  <c r="U13" i="84" s="1"/>
  <c r="T26" i="95"/>
  <c r="U26" i="95" s="1"/>
  <c r="T26" i="84"/>
  <c r="U26" i="84" s="1"/>
  <c r="T30" i="81"/>
  <c r="U30" i="81" s="1"/>
  <c r="T28" i="83"/>
  <c r="U28" i="83" s="1"/>
  <c r="T20" i="95"/>
  <c r="U20" i="95" s="1"/>
  <c r="T20" i="83"/>
  <c r="U20" i="83" s="1"/>
  <c r="T35" i="82"/>
  <c r="U35" i="82" s="1"/>
  <c r="T33" i="83"/>
  <c r="U33" i="83" s="1"/>
  <c r="T15" i="95"/>
  <c r="U15" i="95" s="1"/>
  <c r="T15" i="83"/>
  <c r="U15" i="83" s="1"/>
  <c r="T36" i="95"/>
  <c r="U36" i="95" s="1"/>
  <c r="T36" i="84"/>
  <c r="U36" i="84" s="1"/>
  <c r="BD93" i="48"/>
  <c r="T41" i="90"/>
  <c r="U41" i="90" s="1"/>
  <c r="F23" i="75"/>
  <c r="G23" i="75" s="1"/>
  <c r="T65" i="84"/>
  <c r="U65" i="84" s="1"/>
  <c r="T9" i="93"/>
  <c r="U9" i="93" s="1"/>
  <c r="T5" i="115"/>
  <c r="U5" i="115" s="1"/>
  <c r="G150" i="48"/>
  <c r="M150" i="48" s="1"/>
  <c r="H150" i="48" s="1"/>
  <c r="M21" i="48"/>
  <c r="H21" i="48" s="1"/>
  <c r="T5" i="114"/>
  <c r="U5" i="114" s="1"/>
  <c r="T9" i="81"/>
  <c r="U9" i="81" s="1"/>
  <c r="K6" i="117"/>
  <c r="T5" i="112"/>
  <c r="U5" i="112" s="1"/>
  <c r="T5" i="96"/>
  <c r="U5" i="96" s="1"/>
  <c r="T9" i="82"/>
  <c r="U9" i="82" s="1"/>
  <c r="T5" i="97"/>
  <c r="U5" i="97" s="1"/>
  <c r="T62" i="96"/>
  <c r="U62" i="96" s="1"/>
  <c r="F32" i="75"/>
  <c r="G32" i="75" s="1"/>
  <c r="T11" i="108"/>
  <c r="U11" i="108" s="1"/>
  <c r="T7" i="86"/>
  <c r="U7" i="86" s="1"/>
  <c r="T11" i="104"/>
  <c r="U11" i="104" s="1"/>
  <c r="T11" i="109"/>
  <c r="T13" i="111"/>
  <c r="U13" i="111" s="1"/>
  <c r="T17" i="112"/>
  <c r="U17" i="112" s="1"/>
  <c r="T11" i="113"/>
  <c r="G48" i="48"/>
  <c r="M48" i="48" s="1"/>
  <c r="H48" i="48" s="1"/>
  <c r="T11" i="107"/>
  <c r="U11" i="107" s="1"/>
  <c r="T16" i="112"/>
  <c r="U16" i="112" s="1"/>
  <c r="G46" i="48"/>
  <c r="M46" i="48" s="1"/>
  <c r="H46" i="48" s="1"/>
  <c r="T11" i="106"/>
  <c r="U11" i="106" s="1"/>
  <c r="T69" i="80"/>
  <c r="U69" i="80" s="1"/>
  <c r="T62" i="105"/>
  <c r="U62" i="105" s="1"/>
  <c r="G125" i="48"/>
  <c r="M125" i="48" s="1"/>
  <c r="H125" i="48" s="1"/>
  <c r="T62" i="84"/>
  <c r="U62" i="84" s="1"/>
  <c r="T62" i="97"/>
  <c r="U62" i="97" s="1"/>
  <c r="T62" i="107"/>
  <c r="U62" i="107" s="1"/>
  <c r="T62" i="114"/>
  <c r="U62" i="114" s="1"/>
  <c r="T70" i="114"/>
  <c r="U70" i="114" s="1"/>
  <c r="T69" i="105"/>
  <c r="U69" i="105" s="1"/>
  <c r="S8" i="102"/>
  <c r="T8" i="102" s="1"/>
  <c r="G28" i="48"/>
  <c r="M28" i="48" s="1"/>
  <c r="H28" i="48" s="1"/>
  <c r="T62" i="88"/>
  <c r="U62" i="88" s="1"/>
  <c r="T62" i="80"/>
  <c r="U62" i="80" s="1"/>
  <c r="T62" i="82"/>
  <c r="U62" i="82" s="1"/>
  <c r="T64" i="111"/>
  <c r="U64" i="111" s="1"/>
  <c r="T64" i="110"/>
  <c r="U64" i="110" s="1"/>
  <c r="G103" i="48"/>
  <c r="T70" i="96"/>
  <c r="U70" i="96" s="1"/>
  <c r="T62" i="81"/>
  <c r="U62" i="81" s="1"/>
  <c r="T62" i="106"/>
  <c r="U62" i="106" s="1"/>
  <c r="T62" i="104"/>
  <c r="U62" i="104" s="1"/>
  <c r="T62" i="83"/>
  <c r="U62" i="83" s="1"/>
  <c r="T62" i="95"/>
  <c r="U62" i="95" s="1"/>
  <c r="T62" i="113"/>
  <c r="U62" i="113" s="1"/>
  <c r="F8" i="16"/>
  <c r="G8" i="16" s="1"/>
  <c r="T69" i="109"/>
  <c r="U69" i="109" s="1"/>
  <c r="T3" i="87"/>
  <c r="U3" i="87" s="1"/>
  <c r="T62" i="86"/>
  <c r="U62" i="86" s="1"/>
  <c r="T62" i="87"/>
  <c r="U62" i="87" s="1"/>
  <c r="T62" i="85"/>
  <c r="U62" i="85" s="1"/>
  <c r="T62" i="109"/>
  <c r="U62" i="109" s="1"/>
  <c r="T62" i="92"/>
  <c r="U62" i="92" s="1"/>
  <c r="T50" i="108"/>
  <c r="U50" i="108" s="1"/>
  <c r="T83" i="115"/>
  <c r="U83" i="115" s="1"/>
  <c r="T16" i="107"/>
  <c r="U16" i="107" s="1"/>
  <c r="T70" i="80"/>
  <c r="U70" i="80" s="1"/>
  <c r="T50" i="112"/>
  <c r="U50" i="112" s="1"/>
  <c r="T16" i="105"/>
  <c r="U16" i="105" s="1"/>
  <c r="T77" i="105"/>
  <c r="U77" i="105" s="1"/>
  <c r="T83" i="113"/>
  <c r="U83" i="113" s="1"/>
  <c r="T77" i="107"/>
  <c r="U77" i="107" s="1"/>
  <c r="T16" i="93"/>
  <c r="U16" i="93" s="1"/>
  <c r="G57" i="48"/>
  <c r="T83" i="114"/>
  <c r="U83" i="114" s="1"/>
  <c r="T83" i="109"/>
  <c r="U83" i="109" s="1"/>
  <c r="T15" i="97"/>
  <c r="U15" i="97" s="1"/>
  <c r="BD55" i="48"/>
  <c r="G218" i="48"/>
  <c r="M218" i="48" s="1"/>
  <c r="H218" i="48" s="1"/>
  <c r="T82" i="111"/>
  <c r="U82" i="111" s="1"/>
  <c r="T77" i="106"/>
  <c r="U77" i="106" s="1"/>
  <c r="T16" i="87"/>
  <c r="U16" i="87" s="1"/>
  <c r="L131" i="48"/>
  <c r="T82" i="113"/>
  <c r="U82" i="113" s="1"/>
  <c r="T7" i="109"/>
  <c r="U7" i="109" s="1"/>
  <c r="T7" i="111"/>
  <c r="U7" i="111" s="1"/>
  <c r="T10" i="86"/>
  <c r="U10" i="86" s="1"/>
  <c r="T8" i="86"/>
  <c r="U8" i="86" s="1"/>
  <c r="T4" i="96"/>
  <c r="U4" i="96" s="1"/>
  <c r="G119" i="48"/>
  <c r="T20" i="90"/>
  <c r="U20" i="90" s="1"/>
  <c r="F35" i="16"/>
  <c r="G35" i="16" s="1"/>
  <c r="G154" i="48"/>
  <c r="M154" i="48" s="1"/>
  <c r="H154" i="48" s="1"/>
  <c r="T8" i="109"/>
  <c r="U8" i="109" s="1"/>
  <c r="T3" i="81"/>
  <c r="U3" i="81" s="1"/>
  <c r="G211" i="48"/>
  <c r="M211" i="48" s="1"/>
  <c r="H211" i="48" s="1"/>
  <c r="G180" i="48"/>
  <c r="M180" i="48" s="1"/>
  <c r="H180" i="48" s="1"/>
  <c r="G31" i="48"/>
  <c r="M31" i="48" s="1"/>
  <c r="H31" i="48" s="1"/>
  <c r="T69" i="104"/>
  <c r="U69" i="104" s="1"/>
  <c r="T39" i="90"/>
  <c r="U39" i="90" s="1"/>
  <c r="T7" i="115"/>
  <c r="U7" i="115" s="1"/>
  <c r="T82" i="109"/>
  <c r="U82" i="109" s="1"/>
  <c r="T7" i="108"/>
  <c r="U7" i="108" s="1"/>
  <c r="T17" i="88"/>
  <c r="U17" i="88" s="1"/>
  <c r="F15" i="16"/>
  <c r="G15" i="16" s="1"/>
  <c r="T8" i="104"/>
  <c r="U8" i="104" s="1"/>
  <c r="T7" i="114"/>
  <c r="U7" i="114" s="1"/>
  <c r="T8" i="113"/>
  <c r="U8" i="113" s="1"/>
  <c r="T12" i="112"/>
  <c r="U12" i="112" s="1"/>
  <c r="G56" i="48"/>
  <c r="T33" i="110"/>
  <c r="U33" i="110" s="1"/>
  <c r="T4" i="111"/>
  <c r="U4" i="111" s="1"/>
  <c r="T53" i="110"/>
  <c r="U53" i="110" s="1"/>
  <c r="T10" i="99"/>
  <c r="U10" i="99" s="1"/>
  <c r="T9" i="112"/>
  <c r="U9" i="112" s="1"/>
  <c r="T11" i="99"/>
  <c r="U11" i="99" s="1"/>
  <c r="T9" i="100"/>
  <c r="U9" i="100" s="1"/>
  <c r="T9" i="90"/>
  <c r="U9" i="90" s="1"/>
  <c r="G185" i="48"/>
  <c r="M185" i="48" s="1"/>
  <c r="H185" i="48" s="1"/>
  <c r="G102" i="48"/>
  <c r="T61" i="114"/>
  <c r="U61" i="114" s="1"/>
  <c r="T61" i="92"/>
  <c r="U61" i="92" s="1"/>
  <c r="T61" i="115"/>
  <c r="U61" i="115" s="1"/>
  <c r="T61" i="96"/>
  <c r="U61" i="96" s="1"/>
  <c r="T63" i="111"/>
  <c r="U63" i="111" s="1"/>
  <c r="T61" i="97"/>
  <c r="U61" i="97" s="1"/>
  <c r="T61" i="95"/>
  <c r="U61" i="95" s="1"/>
  <c r="T63" i="110"/>
  <c r="U63" i="110" s="1"/>
  <c r="T61" i="113"/>
  <c r="U61" i="113" s="1"/>
  <c r="T61" i="84"/>
  <c r="U61" i="84" s="1"/>
  <c r="T61" i="105"/>
  <c r="U61" i="105" s="1"/>
  <c r="T61" i="107"/>
  <c r="U61" i="107" s="1"/>
  <c r="T61" i="85"/>
  <c r="U61" i="85" s="1"/>
  <c r="T61" i="87"/>
  <c r="U61" i="87" s="1"/>
  <c r="T61" i="86"/>
  <c r="U61" i="86" s="1"/>
  <c r="T61" i="109"/>
  <c r="U61" i="109" s="1"/>
  <c r="T61" i="83"/>
  <c r="U61" i="83" s="1"/>
  <c r="T61" i="104"/>
  <c r="U61" i="104" s="1"/>
  <c r="T61" i="106"/>
  <c r="U61" i="106" s="1"/>
  <c r="T61" i="81"/>
  <c r="U61" i="81" s="1"/>
  <c r="T61" i="82"/>
  <c r="U61" i="82" s="1"/>
  <c r="T61" i="80"/>
  <c r="U61" i="80" s="1"/>
  <c r="T61" i="88"/>
  <c r="U61" i="88" s="1"/>
  <c r="F9" i="16"/>
  <c r="G9" i="16" s="1"/>
  <c r="G104" i="48"/>
  <c r="M104" i="48" s="1"/>
  <c r="H104" i="48" s="1"/>
  <c r="T65" i="95"/>
  <c r="U65" i="95" s="1"/>
  <c r="T66" i="96"/>
  <c r="U66" i="96" s="1"/>
  <c r="T64" i="105"/>
  <c r="U64" i="105" s="1"/>
  <c r="T65" i="96"/>
  <c r="U65" i="96" s="1"/>
  <c r="T64" i="92"/>
  <c r="U64" i="92" s="1"/>
  <c r="G107" i="48"/>
  <c r="T64" i="96"/>
  <c r="U64" i="96" s="1"/>
  <c r="C38" i="88"/>
  <c r="L130" i="48"/>
  <c r="BD92" i="48"/>
  <c r="BD91" i="48"/>
  <c r="F102" i="48"/>
  <c r="L102" i="48" s="1"/>
  <c r="F103" i="48"/>
  <c r="L103" i="48" s="1"/>
  <c r="C38" i="87"/>
  <c r="C38" i="80"/>
  <c r="C36" i="82"/>
  <c r="G155" i="48"/>
  <c r="M155" i="48" s="1"/>
  <c r="H155" i="48" s="1"/>
  <c r="T65" i="88"/>
  <c r="U65" i="88" s="1"/>
  <c r="T51" i="95"/>
  <c r="U51" i="95" s="1"/>
  <c r="T34" i="107"/>
  <c r="U34" i="107" s="1"/>
  <c r="T4" i="115"/>
  <c r="U4" i="115" s="1"/>
  <c r="T18" i="112"/>
  <c r="U18" i="112" s="1"/>
  <c r="T8" i="93"/>
  <c r="U8" i="93" s="1"/>
  <c r="T65" i="107"/>
  <c r="U65" i="107" s="1"/>
  <c r="S4" i="101"/>
  <c r="T4" i="101" s="1"/>
  <c r="T42" i="95"/>
  <c r="U42" i="95" s="1"/>
  <c r="T28" i="112"/>
  <c r="U28" i="112" s="1"/>
  <c r="T69" i="115"/>
  <c r="U69" i="115" s="1"/>
  <c r="T15" i="84"/>
  <c r="U15" i="84" s="1"/>
  <c r="T16" i="86"/>
  <c r="U16" i="86" s="1"/>
  <c r="T42" i="110"/>
  <c r="U42" i="110" s="1"/>
  <c r="T69" i="97"/>
  <c r="U69" i="97" s="1"/>
  <c r="G65" i="48"/>
  <c r="M65" i="48" s="1"/>
  <c r="H65" i="48" s="1"/>
  <c r="T15" i="109"/>
  <c r="U15" i="109" s="1"/>
  <c r="T16" i="80"/>
  <c r="U16" i="80" s="1"/>
  <c r="T25" i="112"/>
  <c r="U25" i="112" s="1"/>
  <c r="T15" i="114"/>
  <c r="U15" i="114" s="1"/>
  <c r="M20" i="48"/>
  <c r="H20" i="48" s="1"/>
  <c r="T11" i="87"/>
  <c r="U11" i="87" s="1"/>
  <c r="T11" i="89"/>
  <c r="U11" i="89" s="1"/>
  <c r="T66" i="115"/>
  <c r="U66" i="115" s="1"/>
  <c r="T66" i="97"/>
  <c r="U66" i="97" s="1"/>
  <c r="T5" i="100"/>
  <c r="U5" i="100" s="1"/>
  <c r="T4" i="97"/>
  <c r="U4" i="97" s="1"/>
  <c r="T18" i="90"/>
  <c r="U18" i="90" s="1"/>
  <c r="T14" i="114"/>
  <c r="U14" i="114" s="1"/>
  <c r="T32" i="111"/>
  <c r="U32" i="111" s="1"/>
  <c r="T53" i="95"/>
  <c r="U53" i="95" s="1"/>
  <c r="T68" i="96"/>
  <c r="U68" i="96" s="1"/>
  <c r="G126" i="48"/>
  <c r="T70" i="109"/>
  <c r="U70" i="109" s="1"/>
  <c r="T16" i="85"/>
  <c r="U16" i="85" s="1"/>
  <c r="T15" i="92"/>
  <c r="U15" i="92" s="1"/>
  <c r="T16" i="104"/>
  <c r="U16" i="104" s="1"/>
  <c r="T7" i="83"/>
  <c r="U7" i="83" s="1"/>
  <c r="T51" i="111"/>
  <c r="U51" i="111" s="1"/>
  <c r="T6" i="85"/>
  <c r="U6" i="85" s="1"/>
  <c r="T67" i="105"/>
  <c r="U67" i="105" s="1"/>
  <c r="T70" i="105"/>
  <c r="U70" i="105" s="1"/>
  <c r="T51" i="110"/>
  <c r="U51" i="110" s="1"/>
  <c r="T67" i="80"/>
  <c r="U67" i="80" s="1"/>
  <c r="T71" i="96"/>
  <c r="U71" i="96" s="1"/>
  <c r="T42" i="111"/>
  <c r="U42" i="111" s="1"/>
  <c r="G122" i="48"/>
  <c r="T15" i="113"/>
  <c r="U15" i="113" s="1"/>
  <c r="T16" i="81"/>
  <c r="U16" i="81" s="1"/>
  <c r="T16" i="111"/>
  <c r="U16" i="111" s="1"/>
  <c r="T15" i="96"/>
  <c r="U15" i="96" s="1"/>
  <c r="T25" i="90"/>
  <c r="U25" i="90" s="1"/>
  <c r="T8" i="81"/>
  <c r="U8" i="81" s="1"/>
  <c r="T8" i="82"/>
  <c r="U8" i="82" s="1"/>
  <c r="T4" i="90"/>
  <c r="U4" i="90" s="1"/>
  <c r="T4" i="114"/>
  <c r="U4" i="114" s="1"/>
  <c r="G51" i="48"/>
  <c r="M51" i="48" s="1"/>
  <c r="H51" i="48" s="1"/>
  <c r="T4" i="112"/>
  <c r="U4" i="112" s="1"/>
  <c r="T7" i="110"/>
  <c r="U7" i="110" s="1"/>
  <c r="T65" i="113"/>
  <c r="U65" i="113" s="1"/>
  <c r="T9" i="99"/>
  <c r="U9" i="99" s="1"/>
  <c r="G207" i="48"/>
  <c r="M207" i="48" s="1"/>
  <c r="H207" i="48" s="1"/>
  <c r="T53" i="111"/>
  <c r="U53" i="111" s="1"/>
  <c r="T42" i="112"/>
  <c r="U42" i="112" s="1"/>
  <c r="T42" i="90"/>
  <c r="U42" i="90" s="1"/>
  <c r="T65" i="104"/>
  <c r="U65" i="104" s="1"/>
  <c r="T17" i="110"/>
  <c r="U17" i="110" s="1"/>
  <c r="T39" i="112"/>
  <c r="U39" i="112" s="1"/>
  <c r="T10" i="111"/>
  <c r="U10" i="111" s="1"/>
  <c r="T8" i="106"/>
  <c r="U8" i="106" s="1"/>
  <c r="G43" i="48"/>
  <c r="M43" i="48" s="1"/>
  <c r="H43" i="48" s="1"/>
  <c r="T3" i="93"/>
  <c r="U3" i="93" s="1"/>
  <c r="T7" i="104"/>
  <c r="U7" i="104" s="1"/>
  <c r="G42" i="48"/>
  <c r="T76" i="105"/>
  <c r="U76" i="105" s="1"/>
  <c r="T76" i="106"/>
  <c r="U76" i="106" s="1"/>
  <c r="T49" i="108"/>
  <c r="U49" i="108" s="1"/>
  <c r="G259" i="48"/>
  <c r="M259" i="48" s="1"/>
  <c r="H259" i="48" s="1"/>
  <c r="F20" i="75"/>
  <c r="G20" i="75" s="1"/>
  <c r="T64" i="86"/>
  <c r="U64" i="86" s="1"/>
  <c r="T8" i="114"/>
  <c r="U8" i="114" s="1"/>
  <c r="T8" i="105"/>
  <c r="U8" i="105" s="1"/>
  <c r="T8" i="107"/>
  <c r="U8" i="107" s="1"/>
  <c r="G148" i="48"/>
  <c r="M148" i="48" s="1"/>
  <c r="H148" i="48" s="1"/>
  <c r="G15" i="48"/>
  <c r="M15" i="48" s="1"/>
  <c r="H15" i="48" s="1"/>
  <c r="T5" i="106"/>
  <c r="U5" i="106" s="1"/>
  <c r="F39" i="16"/>
  <c r="G39" i="16" s="1"/>
  <c r="G106" i="48"/>
  <c r="M106" i="48" s="1"/>
  <c r="H106" i="48" s="1"/>
  <c r="T81" i="111"/>
  <c r="U81" i="111" s="1"/>
  <c r="G248" i="48"/>
  <c r="M248" i="48" s="1"/>
  <c r="H248" i="48" s="1"/>
  <c r="T9" i="111"/>
  <c r="U9" i="111" s="1"/>
  <c r="T82" i="115"/>
  <c r="U82" i="115" s="1"/>
  <c r="T6" i="84"/>
  <c r="U6" i="84" s="1"/>
  <c r="T90" i="95"/>
  <c r="U90" i="95" s="1"/>
  <c r="G120" i="48"/>
  <c r="M120" i="48" s="1"/>
  <c r="H120" i="48" s="1"/>
  <c r="T71" i="114"/>
  <c r="U71" i="114" s="1"/>
  <c r="T13" i="112"/>
  <c r="U13" i="112" s="1"/>
  <c r="T8" i="108"/>
  <c r="U8" i="108" s="1"/>
  <c r="S3" i="116"/>
  <c r="T3" i="116" s="1"/>
  <c r="T16" i="106"/>
  <c r="U16" i="106" s="1"/>
  <c r="T15" i="115"/>
  <c r="U15" i="115" s="1"/>
  <c r="T16" i="110"/>
  <c r="U16" i="110" s="1"/>
  <c r="T16" i="88"/>
  <c r="U16" i="88" s="1"/>
  <c r="T16" i="108"/>
  <c r="U16" i="108" s="1"/>
  <c r="T16" i="82"/>
  <c r="U16" i="82" s="1"/>
  <c r="T16" i="89"/>
  <c r="U16" i="89" s="1"/>
  <c r="G39" i="48"/>
  <c r="M39" i="48" s="1"/>
  <c r="H39" i="48" s="1"/>
  <c r="T3" i="88"/>
  <c r="U3" i="88" s="1"/>
  <c r="T11" i="88"/>
  <c r="U11" i="88" s="1"/>
  <c r="T7" i="105"/>
  <c r="U7" i="105" s="1"/>
  <c r="T13" i="110"/>
  <c r="U13" i="110" s="1"/>
  <c r="T7" i="113"/>
  <c r="U7" i="113" s="1"/>
  <c r="T65" i="85"/>
  <c r="U65" i="85" s="1"/>
  <c r="U94" i="95"/>
  <c r="T76" i="107"/>
  <c r="U76" i="107" s="1"/>
  <c r="T69" i="110"/>
  <c r="U69" i="110" s="1"/>
  <c r="T7" i="106"/>
  <c r="U7" i="106" s="1"/>
  <c r="G115" i="48"/>
  <c r="M115" i="48" s="1"/>
  <c r="H115" i="48" s="1"/>
  <c r="T82" i="114"/>
  <c r="U82" i="114" s="1"/>
  <c r="L40" i="48"/>
  <c r="M29" i="48"/>
  <c r="H29" i="48" s="1"/>
  <c r="T17" i="80"/>
  <c r="U17" i="80" s="1"/>
  <c r="T17" i="89"/>
  <c r="U17" i="89" s="1"/>
  <c r="T18" i="100"/>
  <c r="U18" i="100" s="1"/>
  <c r="G40" i="48"/>
  <c r="T19" i="90"/>
  <c r="U19" i="90" s="1"/>
  <c r="T57" i="95"/>
  <c r="U57" i="95" s="1"/>
  <c r="T17" i="93"/>
  <c r="U17" i="93" s="1"/>
  <c r="T16" i="83"/>
  <c r="U16" i="83" s="1"/>
  <c r="T47" i="111"/>
  <c r="U47" i="111" s="1"/>
  <c r="S9" i="101"/>
  <c r="T9" i="101" s="1"/>
  <c r="T57" i="106"/>
  <c r="U57" i="106" s="1"/>
  <c r="T57" i="85"/>
  <c r="U57" i="85" s="1"/>
  <c r="T65" i="83"/>
  <c r="U65" i="83" s="1"/>
  <c r="T17" i="111"/>
  <c r="U17" i="111" s="1"/>
  <c r="G182" i="48"/>
  <c r="M182" i="48" s="1"/>
  <c r="H182" i="48" s="1"/>
  <c r="S3" i="102"/>
  <c r="T3" i="102" s="1"/>
  <c r="T17" i="86"/>
  <c r="U17" i="86" s="1"/>
  <c r="T17" i="108"/>
  <c r="U17" i="108" s="1"/>
  <c r="T68" i="114"/>
  <c r="U68" i="114" s="1"/>
  <c r="T67" i="109"/>
  <c r="U67" i="109" s="1"/>
  <c r="T68" i="88"/>
  <c r="U68" i="88" s="1"/>
  <c r="T68" i="92"/>
  <c r="U68" i="92" s="1"/>
  <c r="G253" i="48"/>
  <c r="T11" i="85"/>
  <c r="U11" i="85" s="1"/>
  <c r="T6" i="100"/>
  <c r="U6" i="100" s="1"/>
  <c r="T42" i="89"/>
  <c r="U42" i="89" s="1"/>
  <c r="T42" i="108"/>
  <c r="U42" i="108" s="1"/>
  <c r="T69" i="111"/>
  <c r="U69" i="111" s="1"/>
  <c r="T33" i="111"/>
  <c r="U33" i="111" s="1"/>
  <c r="T58" i="88"/>
  <c r="U58" i="88" s="1"/>
  <c r="T58" i="84"/>
  <c r="U58" i="84" s="1"/>
  <c r="T34" i="86"/>
  <c r="U34" i="86" s="1"/>
  <c r="T57" i="110"/>
  <c r="U57" i="110" s="1"/>
  <c r="T81" i="109"/>
  <c r="U81" i="109" s="1"/>
  <c r="T17" i="82"/>
  <c r="U17" i="82" s="1"/>
  <c r="F4" i="75"/>
  <c r="G4" i="75" s="1"/>
  <c r="T67" i="87"/>
  <c r="U67" i="87" s="1"/>
  <c r="T67" i="106"/>
  <c r="U67" i="106" s="1"/>
  <c r="T68" i="113"/>
  <c r="U68" i="113" s="1"/>
  <c r="T11" i="80"/>
  <c r="U11" i="80" s="1"/>
  <c r="T5" i="104"/>
  <c r="U5" i="104" s="1"/>
  <c r="T7" i="100"/>
  <c r="U7" i="100" s="1"/>
  <c r="T34" i="106"/>
  <c r="U34" i="106" s="1"/>
  <c r="T57" i="107"/>
  <c r="U57" i="107" s="1"/>
  <c r="T35" i="105"/>
  <c r="U35" i="105" s="1"/>
  <c r="G34" i="48"/>
  <c r="M34" i="48" s="1"/>
  <c r="H34" i="48" s="1"/>
  <c r="T19" i="81"/>
  <c r="U19" i="81" s="1"/>
  <c r="T19" i="89"/>
  <c r="U19" i="89" s="1"/>
  <c r="T17" i="107"/>
  <c r="U17" i="107" s="1"/>
  <c r="T26" i="90"/>
  <c r="U26" i="90" s="1"/>
  <c r="T17" i="106"/>
  <c r="U17" i="106" s="1"/>
  <c r="T16" i="84"/>
  <c r="U16" i="84" s="1"/>
  <c r="T17" i="105"/>
  <c r="U17" i="105" s="1"/>
  <c r="T17" i="87"/>
  <c r="U17" i="87" s="1"/>
  <c r="T33" i="106"/>
  <c r="U33" i="106" s="1"/>
  <c r="T4" i="89"/>
  <c r="U4" i="89" s="1"/>
  <c r="T47" i="110"/>
  <c r="U47" i="110" s="1"/>
  <c r="T5" i="113"/>
  <c r="U5" i="113" s="1"/>
  <c r="T8" i="95"/>
  <c r="U8" i="95" s="1"/>
  <c r="G36" i="48"/>
  <c r="T8" i="87"/>
  <c r="U8" i="87" s="1"/>
  <c r="T9" i="113"/>
  <c r="U9" i="113" s="1"/>
  <c r="T57" i="96"/>
  <c r="U57" i="96" s="1"/>
  <c r="T57" i="109"/>
  <c r="U57" i="109" s="1"/>
  <c r="T28" i="90"/>
  <c r="U28" i="90" s="1"/>
  <c r="T57" i="105"/>
  <c r="U57" i="105" s="1"/>
  <c r="T17" i="104"/>
  <c r="U17" i="104" s="1"/>
  <c r="T17" i="81"/>
  <c r="U17" i="81" s="1"/>
  <c r="T17" i="85"/>
  <c r="U17" i="85" s="1"/>
  <c r="T26" i="112"/>
  <c r="U26" i="112" s="1"/>
  <c r="G66" i="48"/>
  <c r="M66" i="48" s="1"/>
  <c r="H66" i="48" s="1"/>
  <c r="T8" i="83"/>
  <c r="U8" i="83" s="1"/>
  <c r="T33" i="108"/>
  <c r="U33" i="108" s="1"/>
  <c r="T3" i="89"/>
  <c r="U3" i="89" s="1"/>
  <c r="T5" i="109"/>
  <c r="U5" i="109" s="1"/>
  <c r="T5" i="87"/>
  <c r="U5" i="87" s="1"/>
  <c r="T64" i="113"/>
  <c r="U64" i="113" s="1"/>
  <c r="T64" i="85"/>
  <c r="U64" i="85" s="1"/>
  <c r="T5" i="107"/>
  <c r="U5" i="107" s="1"/>
  <c r="T57" i="92"/>
  <c r="U57" i="92" s="1"/>
  <c r="T8" i="85"/>
  <c r="U8" i="85" s="1"/>
  <c r="T19" i="106"/>
  <c r="U19" i="106" s="1"/>
  <c r="T57" i="83"/>
  <c r="U57" i="83" s="1"/>
  <c r="T23" i="99"/>
  <c r="U23" i="99" s="1"/>
  <c r="T6" i="80"/>
  <c r="U6" i="80" s="1"/>
  <c r="T33" i="87"/>
  <c r="U33" i="87" s="1"/>
  <c r="T4" i="88"/>
  <c r="U4" i="88" s="1"/>
  <c r="T65" i="97"/>
  <c r="U65" i="97" s="1"/>
  <c r="T65" i="114"/>
  <c r="U65" i="114" s="1"/>
  <c r="T64" i="80"/>
  <c r="U64" i="80" s="1"/>
  <c r="T3" i="92"/>
  <c r="U3" i="92" s="1"/>
  <c r="T64" i="95"/>
  <c r="U64" i="95" s="1"/>
  <c r="T4" i="110"/>
  <c r="U4" i="110" s="1"/>
  <c r="S12" i="116"/>
  <c r="T12" i="116" s="1"/>
  <c r="T3" i="80"/>
  <c r="U3" i="80" s="1"/>
  <c r="T5" i="80"/>
  <c r="U5" i="80" s="1"/>
  <c r="T5" i="89"/>
  <c r="U5" i="89" s="1"/>
  <c r="T4" i="82"/>
  <c r="U4" i="82" s="1"/>
  <c r="T8" i="96"/>
  <c r="U8" i="96" s="1"/>
  <c r="T8" i="89"/>
  <c r="U8" i="89" s="1"/>
  <c r="T19" i="85"/>
  <c r="U19" i="85" s="1"/>
  <c r="T19" i="111"/>
  <c r="U19" i="111" s="1"/>
  <c r="T31" i="83"/>
  <c r="U31" i="83" s="1"/>
  <c r="G109" i="48"/>
  <c r="T3" i="95"/>
  <c r="U3" i="95" s="1"/>
  <c r="T7" i="97"/>
  <c r="U7" i="97" s="1"/>
  <c r="T41" i="89"/>
  <c r="U41" i="89" s="1"/>
  <c r="T68" i="110"/>
  <c r="U68" i="110" s="1"/>
  <c r="T44" i="95"/>
  <c r="U44" i="95" s="1"/>
  <c r="T19" i="88"/>
  <c r="U19" i="88" s="1"/>
  <c r="T19" i="104"/>
  <c r="U19" i="104" s="1"/>
  <c r="T19" i="82"/>
  <c r="U19" i="82" s="1"/>
  <c r="F4" i="16"/>
  <c r="G4" i="16" s="1"/>
  <c r="G147" i="48"/>
  <c r="M147" i="48" s="1"/>
  <c r="H147" i="48" s="1"/>
  <c r="T65" i="106"/>
  <c r="U65" i="106" s="1"/>
  <c r="T6" i="87"/>
  <c r="U6" i="87" s="1"/>
  <c r="T6" i="92"/>
  <c r="U6" i="92" s="1"/>
  <c r="T36" i="90"/>
  <c r="U36" i="90" s="1"/>
  <c r="T41" i="108"/>
  <c r="U41" i="108" s="1"/>
  <c r="T38" i="112"/>
  <c r="U38" i="112" s="1"/>
  <c r="T64" i="107"/>
  <c r="U64" i="107" s="1"/>
  <c r="T38" i="90"/>
  <c r="U38" i="90" s="1"/>
  <c r="T64" i="109"/>
  <c r="U64" i="109" s="1"/>
  <c r="T5" i="82"/>
  <c r="U5" i="82" s="1"/>
  <c r="T65" i="115"/>
  <c r="U65" i="115" s="1"/>
  <c r="T5" i="92"/>
  <c r="U5" i="92" s="1"/>
  <c r="T5" i="88"/>
  <c r="U5" i="88" s="1"/>
  <c r="T64" i="88"/>
  <c r="U64" i="88" s="1"/>
  <c r="T10" i="107"/>
  <c r="U10" i="107" s="1"/>
  <c r="T64" i="87"/>
  <c r="U64" i="87" s="1"/>
  <c r="T5" i="81"/>
  <c r="U5" i="81" s="1"/>
  <c r="T13" i="90"/>
  <c r="U13" i="90" s="1"/>
  <c r="T58" i="97"/>
  <c r="U58" i="97" s="1"/>
  <c r="T8" i="80"/>
  <c r="U8" i="80" s="1"/>
  <c r="T8" i="97"/>
  <c r="U8" i="97" s="1"/>
  <c r="T35" i="104"/>
  <c r="U35" i="104" s="1"/>
  <c r="T18" i="84"/>
  <c r="U18" i="84" s="1"/>
  <c r="T18" i="95"/>
  <c r="U18" i="95" s="1"/>
  <c r="T19" i="107"/>
  <c r="U19" i="107" s="1"/>
  <c r="T19" i="108"/>
  <c r="U19" i="108" s="1"/>
  <c r="T19" i="93"/>
  <c r="U19" i="93" s="1"/>
  <c r="T19" i="105"/>
  <c r="U19" i="105" s="1"/>
  <c r="T6" i="89"/>
  <c r="U6" i="89" s="1"/>
  <c r="T6" i="88"/>
  <c r="U6" i="88" s="1"/>
  <c r="T66" i="110"/>
  <c r="U66" i="110" s="1"/>
  <c r="T67" i="111"/>
  <c r="U67" i="111" s="1"/>
  <c r="G17" i="48"/>
  <c r="M17" i="48" s="1"/>
  <c r="H17" i="48" s="1"/>
  <c r="T9" i="104"/>
  <c r="U9" i="104" s="1"/>
  <c r="T8" i="88"/>
  <c r="U8" i="88" s="1"/>
  <c r="T64" i="104"/>
  <c r="U64" i="104" s="1"/>
  <c r="T10" i="109"/>
  <c r="U10" i="109" s="1"/>
  <c r="T67" i="110"/>
  <c r="U67" i="110" s="1"/>
  <c r="T5" i="85"/>
  <c r="U5" i="85" s="1"/>
  <c r="T5" i="95"/>
  <c r="U5" i="95" s="1"/>
  <c r="T10" i="110"/>
  <c r="U10" i="110" s="1"/>
  <c r="T35" i="93"/>
  <c r="U35" i="93" s="1"/>
  <c r="T19" i="87"/>
  <c r="U19" i="87" s="1"/>
  <c r="T19" i="86"/>
  <c r="U19" i="86" s="1"/>
  <c r="T18" i="83"/>
  <c r="U18" i="83" s="1"/>
  <c r="T19" i="110"/>
  <c r="U19" i="110" s="1"/>
  <c r="T64" i="82"/>
  <c r="U64" i="82" s="1"/>
  <c r="T64" i="114"/>
  <c r="U64" i="114" s="1"/>
  <c r="T10" i="108"/>
  <c r="U10" i="108" s="1"/>
  <c r="T10" i="114"/>
  <c r="U10" i="114" s="1"/>
  <c r="T9" i="107"/>
  <c r="U9" i="107" s="1"/>
  <c r="T12" i="111"/>
  <c r="U12" i="111" s="1"/>
  <c r="T6" i="96"/>
  <c r="U6" i="96" s="1"/>
  <c r="T8" i="90"/>
  <c r="U8" i="90" s="1"/>
  <c r="T34" i="93"/>
  <c r="U34" i="93" s="1"/>
  <c r="G92" i="48"/>
  <c r="M92" i="48" s="1"/>
  <c r="H92" i="48" s="1"/>
  <c r="T30" i="93"/>
  <c r="U30" i="93" s="1"/>
  <c r="T57" i="88"/>
  <c r="U57" i="88" s="1"/>
  <c r="T57" i="114"/>
  <c r="U57" i="114" s="1"/>
  <c r="T35" i="88"/>
  <c r="U35" i="88" s="1"/>
  <c r="T57" i="81"/>
  <c r="U57" i="81" s="1"/>
  <c r="T34" i="80"/>
  <c r="U34" i="80" s="1"/>
  <c r="T57" i="104"/>
  <c r="U57" i="104" s="1"/>
  <c r="T57" i="80"/>
  <c r="U57" i="80" s="1"/>
  <c r="T57" i="87"/>
  <c r="U57" i="87" s="1"/>
  <c r="T67" i="97"/>
  <c r="U67" i="97" s="1"/>
  <c r="T29" i="80"/>
  <c r="U29" i="80" s="1"/>
  <c r="G236" i="48"/>
  <c r="M236" i="48" s="1"/>
  <c r="H236" i="48" s="1"/>
  <c r="T64" i="115"/>
  <c r="U64" i="115" s="1"/>
  <c r="T9" i="106"/>
  <c r="U9" i="106" s="1"/>
  <c r="T10" i="104"/>
  <c r="U10" i="104" s="1"/>
  <c r="T34" i="105"/>
  <c r="U34" i="105" s="1"/>
  <c r="G83" i="48"/>
  <c r="M83" i="48" s="1"/>
  <c r="H83" i="48" s="1"/>
  <c r="T57" i="115"/>
  <c r="U57" i="115" s="1"/>
  <c r="T57" i="86"/>
  <c r="U57" i="86" s="1"/>
  <c r="T58" i="86"/>
  <c r="U58" i="86" s="1"/>
  <c r="T57" i="113"/>
  <c r="U57" i="113" s="1"/>
  <c r="T57" i="111"/>
  <c r="U57" i="111" s="1"/>
  <c r="T57" i="97"/>
  <c r="U57" i="97" s="1"/>
  <c r="T35" i="106"/>
  <c r="U35" i="106" s="1"/>
  <c r="T35" i="86"/>
  <c r="U35" i="86" s="1"/>
  <c r="T57" i="84"/>
  <c r="U57" i="84" s="1"/>
  <c r="G200" i="48"/>
  <c r="M200" i="48" s="1"/>
  <c r="H200" i="48" s="1"/>
  <c r="S3" i="117"/>
  <c r="T3" i="117" s="1"/>
  <c r="T66" i="114"/>
  <c r="U66" i="114" s="1"/>
  <c r="T28" i="85"/>
  <c r="U28" i="85" s="1"/>
  <c r="T41" i="93"/>
  <c r="U41" i="93" s="1"/>
  <c r="T64" i="97"/>
  <c r="U64" i="97" s="1"/>
  <c r="T64" i="81"/>
  <c r="U64" i="81" s="1"/>
  <c r="T10" i="115"/>
  <c r="U10" i="115" s="1"/>
  <c r="T9" i="109"/>
  <c r="U9" i="109" s="1"/>
  <c r="T9" i="114"/>
  <c r="U9" i="114" s="1"/>
  <c r="G45" i="48"/>
  <c r="M45" i="48" s="1"/>
  <c r="H45" i="48" s="1"/>
  <c r="T10" i="113"/>
  <c r="U10" i="113" s="1"/>
  <c r="T8" i="112"/>
  <c r="U8" i="112" s="1"/>
  <c r="T34" i="87"/>
  <c r="U34" i="87" s="1"/>
  <c r="T32" i="95"/>
  <c r="U32" i="95" s="1"/>
  <c r="T32" i="110"/>
  <c r="U32" i="110" s="1"/>
  <c r="T71" i="105"/>
  <c r="U71" i="105" s="1"/>
  <c r="G44" i="48"/>
  <c r="T35" i="108"/>
  <c r="U35" i="108" s="1"/>
  <c r="T35" i="80"/>
  <c r="U35" i="80" s="1"/>
  <c r="T35" i="89"/>
  <c r="U35" i="89" s="1"/>
  <c r="T33" i="95"/>
  <c r="U33" i="95" s="1"/>
  <c r="T34" i="85"/>
  <c r="U34" i="85" s="1"/>
  <c r="G201" i="48"/>
  <c r="M201" i="48" s="1"/>
  <c r="H201" i="48" s="1"/>
  <c r="S4" i="117"/>
  <c r="T4" i="117" s="1"/>
  <c r="S9" i="116"/>
  <c r="T9" i="116" s="1"/>
  <c r="G168" i="48"/>
  <c r="M168" i="48" s="1"/>
  <c r="H168" i="48" s="1"/>
  <c r="T66" i="111"/>
  <c r="U66" i="111" s="1"/>
  <c r="T36" i="112"/>
  <c r="U36" i="112" s="1"/>
  <c r="T15" i="112"/>
  <c r="U15" i="112" s="1"/>
  <c r="T10" i="105"/>
  <c r="U10" i="105" s="1"/>
  <c r="T9" i="115"/>
  <c r="U9" i="115" s="1"/>
  <c r="T67" i="92"/>
  <c r="U67" i="92" s="1"/>
  <c r="T11" i="111"/>
  <c r="U11" i="111" s="1"/>
  <c r="T9" i="105"/>
  <c r="U9" i="105" s="1"/>
  <c r="T14" i="112"/>
  <c r="U14" i="112" s="1"/>
  <c r="G27" i="48"/>
  <c r="M27" i="48" s="1"/>
  <c r="H27" i="48" s="1"/>
  <c r="T34" i="81"/>
  <c r="U34" i="81" s="1"/>
  <c r="T34" i="89"/>
  <c r="U34" i="89" s="1"/>
  <c r="T34" i="108"/>
  <c r="U34" i="108" s="1"/>
  <c r="G64" i="48"/>
  <c r="M64" i="48" s="1"/>
  <c r="H64" i="48" s="1"/>
  <c r="T35" i="107"/>
  <c r="U35" i="107" s="1"/>
  <c r="T35" i="85"/>
  <c r="U35" i="85" s="1"/>
  <c r="T35" i="81"/>
  <c r="U35" i="81" s="1"/>
  <c r="G84" i="48"/>
  <c r="M84" i="48" s="1"/>
  <c r="H84" i="48" s="1"/>
  <c r="T14" i="115"/>
  <c r="U14" i="115" s="1"/>
  <c r="T32" i="84"/>
  <c r="U32" i="84" s="1"/>
  <c r="T19" i="80"/>
  <c r="U19" i="80" s="1"/>
  <c r="M33" i="48"/>
  <c r="H33" i="48" s="1"/>
  <c r="BD41" i="48"/>
  <c r="BD46" i="48"/>
  <c r="BD43" i="48"/>
  <c r="T38" i="106"/>
  <c r="U38" i="106" s="1"/>
  <c r="F33" i="75"/>
  <c r="G33" i="75" s="1"/>
  <c r="T40" i="112"/>
  <c r="U40" i="112" s="1"/>
  <c r="T30" i="88"/>
  <c r="U30" i="88" s="1"/>
  <c r="F25" i="75"/>
  <c r="G25" i="75" s="1"/>
  <c r="T81" i="115"/>
  <c r="U81" i="115" s="1"/>
  <c r="T6" i="81"/>
  <c r="U6" i="81" s="1"/>
  <c r="T11" i="82"/>
  <c r="U11" i="82" s="1"/>
  <c r="T9" i="97"/>
  <c r="U9" i="97" s="1"/>
  <c r="T6" i="107"/>
  <c r="U6" i="107" s="1"/>
  <c r="T42" i="93"/>
  <c r="U42" i="93" s="1"/>
  <c r="T30" i="104"/>
  <c r="U30" i="104" s="1"/>
  <c r="T14" i="82"/>
  <c r="U14" i="82" s="1"/>
  <c r="T30" i="89"/>
  <c r="U30" i="89" s="1"/>
  <c r="F29" i="16"/>
  <c r="G29" i="16" s="1"/>
  <c r="T34" i="82"/>
  <c r="U34" i="82" s="1"/>
  <c r="T34" i="104"/>
  <c r="U34" i="104" s="1"/>
  <c r="G135" i="48"/>
  <c r="M135" i="48" s="1"/>
  <c r="H135" i="48" s="1"/>
  <c r="T38" i="82"/>
  <c r="U38" i="82" s="1"/>
  <c r="T81" i="114"/>
  <c r="U81" i="114" s="1"/>
  <c r="T6" i="104"/>
  <c r="U6" i="104" s="1"/>
  <c r="T11" i="93"/>
  <c r="U11" i="93" s="1"/>
  <c r="T40" i="90"/>
  <c r="U40" i="90" s="1"/>
  <c r="T76" i="114"/>
  <c r="U76" i="114" s="1"/>
  <c r="T30" i="106"/>
  <c r="U30" i="106" s="1"/>
  <c r="T71" i="80"/>
  <c r="U71" i="80" s="1"/>
  <c r="BD32" i="48"/>
  <c r="T5" i="110"/>
  <c r="U5" i="110" s="1"/>
  <c r="T13" i="99"/>
  <c r="U13" i="99" s="1"/>
  <c r="T28" i="81"/>
  <c r="U28" i="81" s="1"/>
  <c r="G22" i="48"/>
  <c r="M22" i="48" s="1"/>
  <c r="H22" i="48" s="1"/>
  <c r="T10" i="82"/>
  <c r="U10" i="82" s="1"/>
  <c r="T76" i="96"/>
  <c r="U76" i="96" s="1"/>
  <c r="T58" i="83"/>
  <c r="U58" i="83" s="1"/>
  <c r="T58" i="114"/>
  <c r="U58" i="114" s="1"/>
  <c r="G93" i="48"/>
  <c r="M93" i="48" s="1"/>
  <c r="G127" i="48"/>
  <c r="T72" i="96"/>
  <c r="U72" i="96" s="1"/>
  <c r="T43" i="95"/>
  <c r="U43" i="95" s="1"/>
  <c r="T6" i="115"/>
  <c r="U6" i="115" s="1"/>
  <c r="T6" i="99"/>
  <c r="U6" i="99" s="1"/>
  <c r="G189" i="48"/>
  <c r="M189" i="48" s="1"/>
  <c r="H189" i="48" s="1"/>
  <c r="T21" i="100"/>
  <c r="U21" i="100" s="1"/>
  <c r="T75" i="95"/>
  <c r="U75" i="95" s="1"/>
  <c r="T58" i="82"/>
  <c r="U58" i="82" s="1"/>
  <c r="T71" i="109"/>
  <c r="U71" i="109" s="1"/>
  <c r="T81" i="113"/>
  <c r="U81" i="113" s="1"/>
  <c r="G55" i="48"/>
  <c r="M55" i="48" s="1"/>
  <c r="H55" i="48" s="1"/>
  <c r="T68" i="104"/>
  <c r="U68" i="104" s="1"/>
  <c r="T65" i="87"/>
  <c r="U65" i="87" s="1"/>
  <c r="T80" i="111"/>
  <c r="U80" i="111" s="1"/>
  <c r="T75" i="106"/>
  <c r="U75" i="106" s="1"/>
  <c r="T48" i="112"/>
  <c r="U48" i="112" s="1"/>
  <c r="G18" i="48"/>
  <c r="M18" i="48" s="1"/>
  <c r="H18" i="48" s="1"/>
  <c r="T6" i="93"/>
  <c r="U6" i="93" s="1"/>
  <c r="T65" i="80"/>
  <c r="U65" i="80" s="1"/>
  <c r="G118" i="48"/>
  <c r="T28" i="104"/>
  <c r="U28" i="104" s="1"/>
  <c r="T75" i="107"/>
  <c r="U75" i="107" s="1"/>
  <c r="T48" i="108"/>
  <c r="U48" i="108" s="1"/>
  <c r="T6" i="82"/>
  <c r="U6" i="82" s="1"/>
  <c r="T65" i="105"/>
  <c r="U65" i="105" s="1"/>
  <c r="T65" i="109"/>
  <c r="U65" i="109" s="1"/>
  <c r="T28" i="89"/>
  <c r="U28" i="89" s="1"/>
  <c r="T10" i="93"/>
  <c r="U10" i="93" s="1"/>
  <c r="T58" i="81"/>
  <c r="U58" i="81" s="1"/>
  <c r="T71" i="95"/>
  <c r="U71" i="95" s="1"/>
  <c r="L126" i="48"/>
  <c r="T38" i="105"/>
  <c r="U38" i="105" s="1"/>
  <c r="T38" i="107"/>
  <c r="U38" i="107" s="1"/>
  <c r="T21" i="87"/>
  <c r="U21" i="87" s="1"/>
  <c r="T29" i="87"/>
  <c r="U29" i="87" s="1"/>
  <c r="T9" i="87"/>
  <c r="U9" i="87" s="1"/>
  <c r="G16" i="48"/>
  <c r="T4" i="93"/>
  <c r="U4" i="93" s="1"/>
  <c r="T5" i="84"/>
  <c r="U5" i="84" s="1"/>
  <c r="T12" i="100"/>
  <c r="U12" i="100" s="1"/>
  <c r="G159" i="48"/>
  <c r="M159" i="48" s="1"/>
  <c r="H159" i="48" s="1"/>
  <c r="T38" i="87"/>
  <c r="U38" i="87" s="1"/>
  <c r="T38" i="104"/>
  <c r="U38" i="104" s="1"/>
  <c r="T21" i="105"/>
  <c r="U21" i="105" s="1"/>
  <c r="F12" i="75"/>
  <c r="G12" i="75" s="1"/>
  <c r="G134" i="48"/>
  <c r="M134" i="48" s="1"/>
  <c r="H134" i="48" s="1"/>
  <c r="T12" i="90"/>
  <c r="U12" i="90" s="1"/>
  <c r="T14" i="90"/>
  <c r="U14" i="90" s="1"/>
  <c r="T9" i="85"/>
  <c r="U9" i="85" s="1"/>
  <c r="T4" i="81"/>
  <c r="U4" i="81" s="1"/>
  <c r="T7" i="95"/>
  <c r="U7" i="95" s="1"/>
  <c r="T38" i="80"/>
  <c r="U38" i="80" s="1"/>
  <c r="T36" i="111"/>
  <c r="U36" i="111" s="1"/>
  <c r="G214" i="48"/>
  <c r="M214" i="48" s="1"/>
  <c r="H214" i="48" s="1"/>
  <c r="T21" i="81"/>
  <c r="U21" i="81" s="1"/>
  <c r="G35" i="48"/>
  <c r="M35" i="48" s="1"/>
  <c r="H35" i="48" s="1"/>
  <c r="T69" i="114"/>
  <c r="U69" i="114" s="1"/>
  <c r="T38" i="85"/>
  <c r="U38" i="85" s="1"/>
  <c r="G87" i="48"/>
  <c r="M87" i="48" s="1"/>
  <c r="H87" i="48" s="1"/>
  <c r="T38" i="93"/>
  <c r="U38" i="93" s="1"/>
  <c r="T38" i="86"/>
  <c r="U38" i="86" s="1"/>
  <c r="G167" i="48"/>
  <c r="M167" i="48" s="1"/>
  <c r="H167" i="48" s="1"/>
  <c r="T21" i="88"/>
  <c r="U21" i="88" s="1"/>
  <c r="T29" i="108"/>
  <c r="U29" i="108" s="1"/>
  <c r="T33" i="93"/>
  <c r="U33" i="93" s="1"/>
  <c r="T33" i="89"/>
  <c r="U33" i="89" s="1"/>
  <c r="S20" i="103"/>
  <c r="T20" i="103" s="1"/>
  <c r="T67" i="113"/>
  <c r="U67" i="113" s="1"/>
  <c r="T9" i="92"/>
  <c r="U9" i="92" s="1"/>
  <c r="T9" i="96"/>
  <c r="U9" i="96" s="1"/>
  <c r="T7" i="89"/>
  <c r="U7" i="89" s="1"/>
  <c r="T7" i="85"/>
  <c r="U7" i="85" s="1"/>
  <c r="T9" i="80"/>
  <c r="U9" i="80" s="1"/>
  <c r="T9" i="95"/>
  <c r="U9" i="95" s="1"/>
  <c r="T67" i="88"/>
  <c r="U67" i="88" s="1"/>
  <c r="T65" i="82"/>
  <c r="U65" i="82" s="1"/>
  <c r="G113" i="48"/>
  <c r="T31" i="82"/>
  <c r="U31" i="82" s="1"/>
  <c r="T31" i="87"/>
  <c r="U31" i="87" s="1"/>
  <c r="T30" i="82"/>
  <c r="U30" i="82" s="1"/>
  <c r="T30" i="86"/>
  <c r="U30" i="86" s="1"/>
  <c r="T14" i="86"/>
  <c r="U14" i="86" s="1"/>
  <c r="T7" i="88"/>
  <c r="U7" i="88" s="1"/>
  <c r="T46" i="110"/>
  <c r="U46" i="110" s="1"/>
  <c r="T19" i="99"/>
  <c r="U19" i="99" s="1"/>
  <c r="T7" i="92"/>
  <c r="U7" i="92" s="1"/>
  <c r="T7" i="80"/>
  <c r="U7" i="80" s="1"/>
  <c r="T68" i="115"/>
  <c r="U68" i="115" s="1"/>
  <c r="G267" i="48"/>
  <c r="M267" i="48" s="1"/>
  <c r="H267" i="48" s="1"/>
  <c r="F10" i="75"/>
  <c r="G10" i="75" s="1"/>
  <c r="T38" i="108"/>
  <c r="U38" i="108" s="1"/>
  <c r="T38" i="89"/>
  <c r="U38" i="89" s="1"/>
  <c r="T38" i="81"/>
  <c r="U38" i="81" s="1"/>
  <c r="T38" i="88"/>
  <c r="U38" i="88" s="1"/>
  <c r="T36" i="110"/>
  <c r="U36" i="110" s="1"/>
  <c r="G143" i="48"/>
  <c r="M143" i="48" s="1"/>
  <c r="H143" i="48" s="1"/>
  <c r="T21" i="85"/>
  <c r="U21" i="85" s="1"/>
  <c r="T65" i="81"/>
  <c r="U65" i="81" s="1"/>
  <c r="T29" i="86"/>
  <c r="U29" i="86" s="1"/>
  <c r="G78" i="48"/>
  <c r="M78" i="48" s="1"/>
  <c r="H78" i="48" s="1"/>
  <c r="T33" i="104"/>
  <c r="U33" i="104" s="1"/>
  <c r="T33" i="81"/>
  <c r="U33" i="81" s="1"/>
  <c r="T33" i="80"/>
  <c r="U33" i="80" s="1"/>
  <c r="T4" i="85"/>
  <c r="U4" i="85" s="1"/>
  <c r="G37" i="48"/>
  <c r="M37" i="48" s="1"/>
  <c r="H37" i="48" s="1"/>
  <c r="T67" i="81"/>
  <c r="U67" i="81" s="1"/>
  <c r="G164" i="48"/>
  <c r="M164" i="48" s="1"/>
  <c r="H164" i="48" s="1"/>
  <c r="G121" i="48"/>
  <c r="M121" i="48" s="1"/>
  <c r="H121" i="48" s="1"/>
  <c r="T9" i="110"/>
  <c r="U9" i="110" s="1"/>
  <c r="T7" i="87"/>
  <c r="U7" i="87" s="1"/>
  <c r="T9" i="89"/>
  <c r="U9" i="89" s="1"/>
  <c r="T3" i="111"/>
  <c r="U3" i="111" s="1"/>
  <c r="T68" i="97"/>
  <c r="U68" i="97" s="1"/>
  <c r="T69" i="96"/>
  <c r="U69" i="96" s="1"/>
  <c r="T9" i="88"/>
  <c r="U9" i="88" s="1"/>
  <c r="T65" i="86"/>
  <c r="U65" i="86" s="1"/>
  <c r="G79" i="48"/>
  <c r="M79" i="48" s="1"/>
  <c r="H79" i="48" s="1"/>
  <c r="T28" i="110"/>
  <c r="U28" i="110" s="1"/>
  <c r="T28" i="111"/>
  <c r="U28" i="111" s="1"/>
  <c r="T44" i="110"/>
  <c r="U44" i="110" s="1"/>
  <c r="T18" i="81"/>
  <c r="U18" i="81" s="1"/>
  <c r="T18" i="111"/>
  <c r="U18" i="111" s="1"/>
  <c r="T18" i="86"/>
  <c r="U18" i="86" s="1"/>
  <c r="T18" i="89"/>
  <c r="U18" i="89" s="1"/>
  <c r="T27" i="90"/>
  <c r="U27" i="90" s="1"/>
  <c r="T18" i="105"/>
  <c r="U18" i="105" s="1"/>
  <c r="T18" i="110"/>
  <c r="U18" i="110" s="1"/>
  <c r="T18" i="107"/>
  <c r="U18" i="107" s="1"/>
  <c r="T18" i="80"/>
  <c r="U18" i="80" s="1"/>
  <c r="T18" i="85"/>
  <c r="U18" i="85" s="1"/>
  <c r="G67" i="48"/>
  <c r="T18" i="82"/>
  <c r="U18" i="82" s="1"/>
  <c r="T18" i="93"/>
  <c r="U18" i="93" s="1"/>
  <c r="T18" i="104"/>
  <c r="U18" i="104" s="1"/>
  <c r="T21" i="110"/>
  <c r="U21" i="110" s="1"/>
  <c r="T30" i="112"/>
  <c r="U30" i="112" s="1"/>
  <c r="T21" i="111"/>
  <c r="U21" i="111" s="1"/>
  <c r="T67" i="115"/>
  <c r="U67" i="115" s="1"/>
  <c r="T29" i="88"/>
  <c r="U29" i="88" s="1"/>
  <c r="T27" i="84"/>
  <c r="U27" i="84" s="1"/>
  <c r="T28" i="106"/>
  <c r="U28" i="106" s="1"/>
  <c r="M68" i="48"/>
  <c r="H68" i="48" s="1"/>
  <c r="T6" i="113"/>
  <c r="U6" i="113" s="1"/>
  <c r="T18" i="108"/>
  <c r="U18" i="108" s="1"/>
  <c r="T18" i="106"/>
  <c r="U18" i="106" s="1"/>
  <c r="F19" i="75"/>
  <c r="G19" i="75" s="1"/>
  <c r="G229" i="48"/>
  <c r="M229" i="48" s="1"/>
  <c r="H229" i="48" s="1"/>
  <c r="T9" i="84"/>
  <c r="U9" i="84" s="1"/>
  <c r="T10" i="112"/>
  <c r="U10" i="112" s="1"/>
  <c r="T21" i="104"/>
  <c r="U21" i="104" s="1"/>
  <c r="T30" i="90"/>
  <c r="U30" i="90" s="1"/>
  <c r="T21" i="108"/>
  <c r="U21" i="108" s="1"/>
  <c r="T21" i="82"/>
  <c r="U21" i="82" s="1"/>
  <c r="G70" i="48"/>
  <c r="M70" i="48" s="1"/>
  <c r="H70" i="48" s="1"/>
  <c r="T21" i="80"/>
  <c r="U21" i="80" s="1"/>
  <c r="T67" i="114"/>
  <c r="U67" i="114" s="1"/>
  <c r="T29" i="106"/>
  <c r="U29" i="106" s="1"/>
  <c r="T29" i="105"/>
  <c r="U29" i="105" s="1"/>
  <c r="T29" i="85"/>
  <c r="U29" i="85" s="1"/>
  <c r="T29" i="82"/>
  <c r="U29" i="82" s="1"/>
  <c r="T28" i="108"/>
  <c r="U28" i="108" s="1"/>
  <c r="T28" i="86"/>
  <c r="U28" i="86" s="1"/>
  <c r="T28" i="87"/>
  <c r="U28" i="87" s="1"/>
  <c r="T28" i="93"/>
  <c r="U28" i="93" s="1"/>
  <c r="T33" i="86"/>
  <c r="U33" i="86" s="1"/>
  <c r="G82" i="48"/>
  <c r="M82" i="48" s="1"/>
  <c r="H82" i="48" s="1"/>
  <c r="T33" i="107"/>
  <c r="U33" i="107" s="1"/>
  <c r="T33" i="105"/>
  <c r="U33" i="105" s="1"/>
  <c r="T31" i="110"/>
  <c r="U31" i="110" s="1"/>
  <c r="T4" i="80"/>
  <c r="U4" i="80" s="1"/>
  <c r="T4" i="92"/>
  <c r="U4" i="92" s="1"/>
  <c r="G261" i="48"/>
  <c r="M261" i="48" s="1"/>
  <c r="H261" i="48" s="1"/>
  <c r="T7" i="112"/>
  <c r="U7" i="112" s="1"/>
  <c r="T10" i="90"/>
  <c r="U10" i="90" s="1"/>
  <c r="G187" i="48"/>
  <c r="M187" i="48" s="1"/>
  <c r="H187" i="48" s="1"/>
  <c r="T27" i="112"/>
  <c r="U27" i="112" s="1"/>
  <c r="T24" i="90"/>
  <c r="U24" i="90" s="1"/>
  <c r="T31" i="89"/>
  <c r="U31" i="89" s="1"/>
  <c r="T13" i="113"/>
  <c r="U13" i="113" s="1"/>
  <c r="G173" i="48"/>
  <c r="M173" i="48" s="1"/>
  <c r="H173" i="48" s="1"/>
  <c r="F16" i="75"/>
  <c r="G16" i="75" s="1"/>
  <c r="T18" i="87"/>
  <c r="U18" i="87" s="1"/>
  <c r="T17" i="84"/>
  <c r="U17" i="84" s="1"/>
  <c r="T35" i="87"/>
  <c r="U35" i="87" s="1"/>
  <c r="T33" i="84"/>
  <c r="U33" i="84" s="1"/>
  <c r="T21" i="107"/>
  <c r="U21" i="107" s="1"/>
  <c r="T21" i="93"/>
  <c r="U21" i="93" s="1"/>
  <c r="T21" i="89"/>
  <c r="U21" i="89" s="1"/>
  <c r="T27" i="111"/>
  <c r="U27" i="111" s="1"/>
  <c r="T29" i="104"/>
  <c r="U29" i="104" s="1"/>
  <c r="T29" i="93"/>
  <c r="U29" i="93" s="1"/>
  <c r="T28" i="80"/>
  <c r="U28" i="80" s="1"/>
  <c r="T28" i="107"/>
  <c r="U28" i="107" s="1"/>
  <c r="T28" i="88"/>
  <c r="U28" i="88" s="1"/>
  <c r="G23" i="48"/>
  <c r="M23" i="48" s="1"/>
  <c r="H23" i="48" s="1"/>
  <c r="T18" i="88"/>
  <c r="U18" i="88" s="1"/>
  <c r="F24" i="16"/>
  <c r="G24" i="16" s="1"/>
  <c r="T21" i="86"/>
  <c r="U21" i="86" s="1"/>
  <c r="T21" i="106"/>
  <c r="U21" i="106" s="1"/>
  <c r="T20" i="84"/>
  <c r="U20" i="84" s="1"/>
  <c r="T67" i="96"/>
  <c r="U67" i="96" s="1"/>
  <c r="T29" i="89"/>
  <c r="U29" i="89" s="1"/>
  <c r="T27" i="110"/>
  <c r="U27" i="110" s="1"/>
  <c r="T29" i="107"/>
  <c r="U29" i="107" s="1"/>
  <c r="T29" i="81"/>
  <c r="U29" i="81" s="1"/>
  <c r="T28" i="82"/>
  <c r="U28" i="82" s="1"/>
  <c r="G77" i="48"/>
  <c r="M77" i="48" s="1"/>
  <c r="H77" i="48" s="1"/>
  <c r="T28" i="105"/>
  <c r="U28" i="105" s="1"/>
  <c r="T33" i="82"/>
  <c r="U33" i="82" s="1"/>
  <c r="T33" i="88"/>
  <c r="U33" i="88" s="1"/>
  <c r="T33" i="85"/>
  <c r="U33" i="85" s="1"/>
  <c r="T31" i="111"/>
  <c r="U31" i="111" s="1"/>
  <c r="T31" i="84"/>
  <c r="U31" i="84" s="1"/>
  <c r="T4" i="87"/>
  <c r="U4" i="87" s="1"/>
  <c r="G32" i="48"/>
  <c r="M32" i="48" s="1"/>
  <c r="H32" i="48" s="1"/>
  <c r="T7" i="90"/>
  <c r="U7" i="90" s="1"/>
  <c r="T6" i="106"/>
  <c r="U6" i="106" s="1"/>
  <c r="G172" i="48"/>
  <c r="M172" i="48" s="1"/>
  <c r="H172" i="48" s="1"/>
  <c r="T17" i="95"/>
  <c r="U17" i="95" s="1"/>
  <c r="T15" i="82"/>
  <c r="U15" i="82" s="1"/>
  <c r="T31" i="106"/>
  <c r="U31" i="106" s="1"/>
  <c r="G80" i="48"/>
  <c r="M80" i="48" s="1"/>
  <c r="H80" i="48" s="1"/>
  <c r="T14" i="104"/>
  <c r="U14" i="104" s="1"/>
  <c r="T14" i="105"/>
  <c r="U14" i="105" s="1"/>
  <c r="T31" i="88"/>
  <c r="U31" i="88" s="1"/>
  <c r="T31" i="104"/>
  <c r="U31" i="104" s="1"/>
  <c r="T31" i="85"/>
  <c r="U31" i="85" s="1"/>
  <c r="T14" i="97"/>
  <c r="U14" i="97" s="1"/>
  <c r="T14" i="95"/>
  <c r="U14" i="95" s="1"/>
  <c r="T14" i="113"/>
  <c r="U14" i="113" s="1"/>
  <c r="T31" i="107"/>
  <c r="U31" i="107" s="1"/>
  <c r="T14" i="108"/>
  <c r="U14" i="108" s="1"/>
  <c r="T14" i="80"/>
  <c r="U14" i="80" s="1"/>
  <c r="T15" i="89"/>
  <c r="U15" i="89" s="1"/>
  <c r="T58" i="115"/>
  <c r="U58" i="115" s="1"/>
  <c r="T58" i="80"/>
  <c r="U58" i="80" s="1"/>
  <c r="T58" i="104"/>
  <c r="U58" i="104" s="1"/>
  <c r="T58" i="96"/>
  <c r="U58" i="96" s="1"/>
  <c r="T11" i="86"/>
  <c r="U11" i="86" s="1"/>
  <c r="F7" i="16"/>
  <c r="G7" i="16" s="1"/>
  <c r="T24" i="112"/>
  <c r="U24" i="112" s="1"/>
  <c r="T15" i="87"/>
  <c r="U15" i="87" s="1"/>
  <c r="T15" i="111"/>
  <c r="U15" i="111" s="1"/>
  <c r="T15" i="107"/>
  <c r="U15" i="107" s="1"/>
  <c r="T30" i="105"/>
  <c r="U30" i="105" s="1"/>
  <c r="T58" i="110"/>
  <c r="U58" i="110" s="1"/>
  <c r="T29" i="83"/>
  <c r="U29" i="83" s="1"/>
  <c r="T29" i="110"/>
  <c r="U29" i="110" s="1"/>
  <c r="T31" i="108"/>
  <c r="U31" i="108" s="1"/>
  <c r="T58" i="95"/>
  <c r="U58" i="95" s="1"/>
  <c r="T58" i="107"/>
  <c r="U58" i="107" s="1"/>
  <c r="T58" i="109"/>
  <c r="U58" i="109" s="1"/>
  <c r="G243" i="48"/>
  <c r="M243" i="48" s="1"/>
  <c r="H243" i="48" s="1"/>
  <c r="T30" i="87"/>
  <c r="U30" i="87" s="1"/>
  <c r="T30" i="108"/>
  <c r="U30" i="108" s="1"/>
  <c r="T28" i="95"/>
  <c r="U28" i="95" s="1"/>
  <c r="T23" i="90"/>
  <c r="U23" i="90" s="1"/>
  <c r="T13" i="95"/>
  <c r="U13" i="95" s="1"/>
  <c r="T14" i="87"/>
  <c r="U14" i="87" s="1"/>
  <c r="T30" i="85"/>
  <c r="U30" i="85" s="1"/>
  <c r="T58" i="92"/>
  <c r="U58" i="92" s="1"/>
  <c r="T14" i="109"/>
  <c r="U14" i="109" s="1"/>
  <c r="T14" i="84"/>
  <c r="U14" i="84" s="1"/>
  <c r="T75" i="109"/>
  <c r="U75" i="109" s="1"/>
  <c r="T70" i="87"/>
  <c r="U70" i="87" s="1"/>
  <c r="G130" i="48"/>
  <c r="T13" i="109"/>
  <c r="U13" i="109" s="1"/>
  <c r="T14" i="89"/>
  <c r="U14" i="89" s="1"/>
  <c r="G63" i="48"/>
  <c r="M63" i="48" s="1"/>
  <c r="H63" i="48" s="1"/>
  <c r="T14" i="93"/>
  <c r="U14" i="93" s="1"/>
  <c r="T23" i="112"/>
  <c r="U23" i="112" s="1"/>
  <c r="T13" i="96"/>
  <c r="U13" i="96" s="1"/>
  <c r="T14" i="92"/>
  <c r="U14" i="92" s="1"/>
  <c r="T14" i="96"/>
  <c r="U14" i="96" s="1"/>
  <c r="T15" i="110"/>
  <c r="U15" i="110" s="1"/>
  <c r="T15" i="93"/>
  <c r="U15" i="93" s="1"/>
  <c r="T15" i="105"/>
  <c r="U15" i="105" s="1"/>
  <c r="T15" i="104"/>
  <c r="U15" i="104" s="1"/>
  <c r="T15" i="88"/>
  <c r="U15" i="88" s="1"/>
  <c r="T31" i="80"/>
  <c r="U31" i="80" s="1"/>
  <c r="T31" i="86"/>
  <c r="U31" i="86" s="1"/>
  <c r="T29" i="111"/>
  <c r="U29" i="111" s="1"/>
  <c r="T29" i="95"/>
  <c r="U29" i="95" s="1"/>
  <c r="T14" i="107"/>
  <c r="U14" i="107" s="1"/>
  <c r="T14" i="106"/>
  <c r="U14" i="106" s="1"/>
  <c r="T13" i="97"/>
  <c r="U13" i="97" s="1"/>
  <c r="T43" i="110"/>
  <c r="U43" i="110" s="1"/>
  <c r="T6" i="112"/>
  <c r="U6" i="112" s="1"/>
  <c r="T6" i="114"/>
  <c r="U6" i="114" s="1"/>
  <c r="T9" i="86"/>
  <c r="U9" i="86" s="1"/>
  <c r="T19" i="112"/>
  <c r="U19" i="112" s="1"/>
  <c r="T10" i="100"/>
  <c r="U10" i="100" s="1"/>
  <c r="T6" i="97"/>
  <c r="U6" i="97" s="1"/>
  <c r="T6" i="90"/>
  <c r="U6" i="90" s="1"/>
  <c r="T15" i="85"/>
  <c r="U15" i="85" s="1"/>
  <c r="T15" i="80"/>
  <c r="U15" i="80" s="1"/>
  <c r="T15" i="81"/>
  <c r="U15" i="81" s="1"/>
  <c r="T15" i="108"/>
  <c r="U15" i="108" s="1"/>
  <c r="T58" i="106"/>
  <c r="U58" i="106" s="1"/>
  <c r="T31" i="105"/>
  <c r="U31" i="105" s="1"/>
  <c r="T31" i="81"/>
  <c r="U31" i="81" s="1"/>
  <c r="T31" i="93"/>
  <c r="U31" i="93" s="1"/>
  <c r="T58" i="113"/>
  <c r="U58" i="113" s="1"/>
  <c r="T58" i="105"/>
  <c r="U58" i="105" s="1"/>
  <c r="T28" i="84"/>
  <c r="U28" i="84" s="1"/>
  <c r="T30" i="107"/>
  <c r="U30" i="107" s="1"/>
  <c r="T30" i="80"/>
  <c r="U30" i="80" s="1"/>
  <c r="T14" i="85"/>
  <c r="U14" i="85" s="1"/>
  <c r="T14" i="81"/>
  <c r="U14" i="81" s="1"/>
  <c r="T13" i="115"/>
  <c r="U13" i="115" s="1"/>
  <c r="T58" i="111"/>
  <c r="U58" i="111" s="1"/>
  <c r="T13" i="92"/>
  <c r="U13" i="92" s="1"/>
  <c r="T15" i="86"/>
  <c r="U15" i="86" s="1"/>
  <c r="T43" i="111"/>
  <c r="U43" i="111" s="1"/>
  <c r="T58" i="85"/>
  <c r="U58" i="85" s="1"/>
  <c r="T14" i="88"/>
  <c r="U14" i="88" s="1"/>
  <c r="F5" i="16"/>
  <c r="G5" i="16" s="1"/>
  <c r="G100" i="48"/>
  <c r="M100" i="48" s="1"/>
  <c r="H100" i="48" s="1"/>
  <c r="T6" i="105"/>
  <c r="U6" i="105" s="1"/>
  <c r="T6" i="109"/>
  <c r="U6" i="109" s="1"/>
  <c r="T46" i="111"/>
  <c r="U46" i="111" s="1"/>
  <c r="G234" i="48"/>
  <c r="M234" i="48" s="1"/>
  <c r="H234" i="48" s="1"/>
  <c r="F15" i="75"/>
  <c r="G15" i="75" s="1"/>
  <c r="M112" i="48"/>
  <c r="H112" i="48" s="1"/>
  <c r="G238" i="48"/>
  <c r="M238" i="48" s="1"/>
  <c r="H238" i="48" s="1"/>
  <c r="F6" i="75"/>
  <c r="G6" i="75" s="1"/>
  <c r="G228" i="48"/>
  <c r="M228" i="48" s="1"/>
  <c r="H228" i="48" s="1"/>
  <c r="F18" i="75"/>
  <c r="G18" i="75" s="1"/>
  <c r="T53" i="112"/>
  <c r="U53" i="112" s="1"/>
  <c r="T80" i="105"/>
  <c r="U80" i="105" s="1"/>
  <c r="T86" i="115"/>
  <c r="U86" i="115" s="1"/>
  <c r="G60" i="48"/>
  <c r="T80" i="107"/>
  <c r="U80" i="107" s="1"/>
  <c r="T73" i="104"/>
  <c r="U73" i="104" s="1"/>
  <c r="T86" i="109"/>
  <c r="U86" i="109" s="1"/>
  <c r="T53" i="108"/>
  <c r="U53" i="108" s="1"/>
  <c r="T85" i="111"/>
  <c r="U85" i="111" s="1"/>
  <c r="T80" i="106"/>
  <c r="U80" i="106" s="1"/>
  <c r="T86" i="114"/>
  <c r="U86" i="114" s="1"/>
  <c r="T86" i="113"/>
  <c r="U86" i="113" s="1"/>
  <c r="F14" i="75"/>
  <c r="G14" i="75" s="1"/>
  <c r="G232" i="48"/>
  <c r="M232" i="48" s="1"/>
  <c r="H232" i="48" s="1"/>
  <c r="T45" i="110"/>
  <c r="U45" i="110" s="1"/>
  <c r="T45" i="111"/>
  <c r="U45" i="111" s="1"/>
  <c r="G223" i="48"/>
  <c r="M223" i="48" s="1"/>
  <c r="H223" i="48" s="1"/>
  <c r="F22" i="75"/>
  <c r="G22" i="75" s="1"/>
  <c r="T41" i="95"/>
  <c r="U41" i="95" s="1"/>
  <c r="T41" i="111"/>
  <c r="U41" i="111" s="1"/>
  <c r="T41" i="110"/>
  <c r="U41" i="110" s="1"/>
  <c r="F16" i="16"/>
  <c r="G16" i="16" s="1"/>
  <c r="G213" i="48"/>
  <c r="M213" i="48" s="1"/>
  <c r="H213" i="48" s="1"/>
  <c r="T47" i="112"/>
  <c r="U47" i="112" s="1"/>
  <c r="G54" i="48"/>
  <c r="T80" i="115"/>
  <c r="U80" i="115" s="1"/>
  <c r="T67" i="104"/>
  <c r="U67" i="104" s="1"/>
  <c r="T80" i="114"/>
  <c r="U80" i="114" s="1"/>
  <c r="T74" i="105"/>
  <c r="U74" i="105" s="1"/>
  <c r="T74" i="107"/>
  <c r="U74" i="107" s="1"/>
  <c r="T74" i="106"/>
  <c r="U74" i="106" s="1"/>
  <c r="T79" i="111"/>
  <c r="U79" i="111" s="1"/>
  <c r="T80" i="109"/>
  <c r="U80" i="109" s="1"/>
  <c r="T80" i="113"/>
  <c r="U80" i="113" s="1"/>
  <c r="T47" i="108"/>
  <c r="U47" i="108" s="1"/>
  <c r="T59" i="97"/>
  <c r="U59" i="97" s="1"/>
  <c r="T59" i="92"/>
  <c r="U59" i="92" s="1"/>
  <c r="T59" i="110"/>
  <c r="U59" i="110" s="1"/>
  <c r="T59" i="85"/>
  <c r="U59" i="85" s="1"/>
  <c r="T59" i="106"/>
  <c r="U59" i="106" s="1"/>
  <c r="T59" i="80"/>
  <c r="U59" i="80" s="1"/>
  <c r="T59" i="115"/>
  <c r="U59" i="115" s="1"/>
  <c r="T59" i="114"/>
  <c r="U59" i="114" s="1"/>
  <c r="T59" i="111"/>
  <c r="U59" i="111" s="1"/>
  <c r="T59" i="105"/>
  <c r="U59" i="105" s="1"/>
  <c r="T59" i="88"/>
  <c r="U59" i="88" s="1"/>
  <c r="G94" i="48"/>
  <c r="M94" i="48" s="1"/>
  <c r="H94" i="48" s="1"/>
  <c r="T59" i="82"/>
  <c r="U59" i="82" s="1"/>
  <c r="T59" i="95"/>
  <c r="U59" i="95" s="1"/>
  <c r="T59" i="104"/>
  <c r="U59" i="104" s="1"/>
  <c r="T59" i="107"/>
  <c r="U59" i="107" s="1"/>
  <c r="T59" i="87"/>
  <c r="U59" i="87" s="1"/>
  <c r="T59" i="113"/>
  <c r="U59" i="113" s="1"/>
  <c r="T59" i="96"/>
  <c r="U59" i="96" s="1"/>
  <c r="T59" i="86"/>
  <c r="U59" i="86" s="1"/>
  <c r="T59" i="84"/>
  <c r="U59" i="84" s="1"/>
  <c r="T59" i="109"/>
  <c r="U59" i="109" s="1"/>
  <c r="T59" i="81"/>
  <c r="U59" i="81" s="1"/>
  <c r="G254" i="48"/>
  <c r="F26" i="16"/>
  <c r="G26" i="16" s="1"/>
  <c r="F10" i="16"/>
  <c r="G10" i="16" s="1"/>
  <c r="G123" i="48"/>
  <c r="M123" i="48" s="1"/>
  <c r="H123" i="48" s="1"/>
  <c r="T19" i="95"/>
  <c r="U19" i="95" s="1"/>
  <c r="T20" i="106"/>
  <c r="U20" i="106" s="1"/>
  <c r="T29" i="90"/>
  <c r="U29" i="90" s="1"/>
  <c r="T20" i="105"/>
  <c r="U20" i="105" s="1"/>
  <c r="T20" i="80"/>
  <c r="U20" i="80" s="1"/>
  <c r="T20" i="85"/>
  <c r="U20" i="85" s="1"/>
  <c r="T20" i="108"/>
  <c r="U20" i="108" s="1"/>
  <c r="G69" i="48"/>
  <c r="T20" i="111"/>
  <c r="U20" i="111" s="1"/>
  <c r="T20" i="86"/>
  <c r="U20" i="86" s="1"/>
  <c r="T20" i="107"/>
  <c r="U20" i="107" s="1"/>
  <c r="T20" i="82"/>
  <c r="U20" i="82" s="1"/>
  <c r="T20" i="81"/>
  <c r="U20" i="81" s="1"/>
  <c r="T20" i="104"/>
  <c r="U20" i="104" s="1"/>
  <c r="T20" i="88"/>
  <c r="U20" i="88" s="1"/>
  <c r="T20" i="93"/>
  <c r="U20" i="93" s="1"/>
  <c r="T29" i="112"/>
  <c r="U29" i="112" s="1"/>
  <c r="T19" i="84"/>
  <c r="U19" i="84" s="1"/>
  <c r="T20" i="110"/>
  <c r="U20" i="110" s="1"/>
  <c r="T20" i="87"/>
  <c r="U20" i="87" s="1"/>
  <c r="T20" i="89"/>
  <c r="U20" i="89" s="1"/>
  <c r="G222" i="48"/>
  <c r="M222" i="48" s="1"/>
  <c r="H222" i="48" s="1"/>
  <c r="F9" i="75"/>
  <c r="G9" i="75" s="1"/>
  <c r="F26" i="75"/>
  <c r="G26" i="75" s="1"/>
  <c r="G241" i="48"/>
  <c r="M241" i="48" s="1"/>
  <c r="H241" i="48" s="1"/>
  <c r="T72" i="95"/>
  <c r="U72" i="95" s="1"/>
  <c r="T73" i="96"/>
  <c r="U73" i="96" s="1"/>
  <c r="T72" i="105"/>
  <c r="U72" i="105" s="1"/>
  <c r="T72" i="80"/>
  <c r="U72" i="80" s="1"/>
  <c r="G128" i="48"/>
  <c r="T73" i="114"/>
  <c r="U73" i="114" s="1"/>
  <c r="T72" i="109"/>
  <c r="U72" i="109" s="1"/>
  <c r="F33" i="16"/>
  <c r="G33" i="16" s="1"/>
  <c r="G262" i="48"/>
  <c r="M262" i="48" s="1"/>
  <c r="H262" i="48" s="1"/>
  <c r="G237" i="48"/>
  <c r="M237" i="48" s="1"/>
  <c r="H237" i="48" s="1"/>
  <c r="F5" i="75"/>
  <c r="G5" i="75" s="1"/>
  <c r="T7" i="99"/>
  <c r="U7" i="99" s="1"/>
  <c r="G138" i="48"/>
  <c r="M138" i="48" s="1"/>
  <c r="H138" i="48" s="1"/>
  <c r="T25" i="81"/>
  <c r="U25" i="81" s="1"/>
  <c r="T25" i="105"/>
  <c r="U25" i="105" s="1"/>
  <c r="T25" i="93"/>
  <c r="U25" i="93" s="1"/>
  <c r="T25" i="108"/>
  <c r="U25" i="108" s="1"/>
  <c r="T25" i="111"/>
  <c r="U25" i="111" s="1"/>
  <c r="T25" i="82"/>
  <c r="U25" i="82" s="1"/>
  <c r="T25" i="107"/>
  <c r="U25" i="107" s="1"/>
  <c r="T34" i="112"/>
  <c r="U34" i="112" s="1"/>
  <c r="T25" i="80"/>
  <c r="U25" i="80" s="1"/>
  <c r="T25" i="106"/>
  <c r="U25" i="106" s="1"/>
  <c r="T25" i="110"/>
  <c r="U25" i="110" s="1"/>
  <c r="T25" i="89"/>
  <c r="U25" i="89" s="1"/>
  <c r="T34" i="90"/>
  <c r="U34" i="90" s="1"/>
  <c r="T25" i="87"/>
  <c r="U25" i="87" s="1"/>
  <c r="T25" i="104"/>
  <c r="U25" i="104" s="1"/>
  <c r="T25" i="88"/>
  <c r="U25" i="88" s="1"/>
  <c r="T25" i="85"/>
  <c r="U25" i="85" s="1"/>
  <c r="G74" i="48"/>
  <c r="M74" i="48" s="1"/>
  <c r="H74" i="48" s="1"/>
  <c r="T25" i="86"/>
  <c r="U25" i="86" s="1"/>
  <c r="S18" i="103"/>
  <c r="T18" i="103" s="1"/>
  <c r="G203" i="48"/>
  <c r="M203" i="48" s="1"/>
  <c r="H203" i="48" s="1"/>
  <c r="T6" i="111"/>
  <c r="U6" i="111" s="1"/>
  <c r="T7" i="93"/>
  <c r="U7" i="93" s="1"/>
  <c r="T3" i="115"/>
  <c r="U3" i="115" s="1"/>
  <c r="T3" i="96"/>
  <c r="U3" i="96" s="1"/>
  <c r="T3" i="112"/>
  <c r="U3" i="112" s="1"/>
  <c r="T3" i="114"/>
  <c r="U3" i="114" s="1"/>
  <c r="T3" i="90"/>
  <c r="U3" i="90" s="1"/>
  <c r="T6" i="110"/>
  <c r="U6" i="110" s="1"/>
  <c r="T3" i="97"/>
  <c r="U3" i="97" s="1"/>
  <c r="T7" i="81"/>
  <c r="U7" i="81" s="1"/>
  <c r="T7" i="82"/>
  <c r="U7" i="82" s="1"/>
  <c r="G19" i="48"/>
  <c r="F31" i="75"/>
  <c r="G31" i="75" s="1"/>
  <c r="G245" i="48"/>
  <c r="M245" i="48" s="1"/>
  <c r="H245" i="48" s="1"/>
  <c r="T79" i="107"/>
  <c r="U79" i="107" s="1"/>
  <c r="T85" i="109"/>
  <c r="U85" i="109" s="1"/>
  <c r="T52" i="112"/>
  <c r="U52" i="112" s="1"/>
  <c r="T84" i="111"/>
  <c r="U84" i="111" s="1"/>
  <c r="T85" i="113"/>
  <c r="U85" i="113" s="1"/>
  <c r="T85" i="115"/>
  <c r="U85" i="115" s="1"/>
  <c r="T79" i="105"/>
  <c r="U79" i="105" s="1"/>
  <c r="T52" i="108"/>
  <c r="U52" i="108" s="1"/>
  <c r="T79" i="106"/>
  <c r="U79" i="106" s="1"/>
  <c r="T72" i="104"/>
  <c r="U72" i="104" s="1"/>
  <c r="G59" i="48"/>
  <c r="T85" i="114"/>
  <c r="U85" i="114" s="1"/>
  <c r="T23" i="95"/>
  <c r="U23" i="95" s="1"/>
  <c r="T24" i="87"/>
  <c r="U24" i="87" s="1"/>
  <c r="T24" i="86"/>
  <c r="U24" i="86" s="1"/>
  <c r="T33" i="90"/>
  <c r="U33" i="90" s="1"/>
  <c r="T23" i="115"/>
  <c r="U23" i="115" s="1"/>
  <c r="T23" i="114"/>
  <c r="U23" i="114" s="1"/>
  <c r="T24" i="105"/>
  <c r="U24" i="105" s="1"/>
  <c r="T24" i="81"/>
  <c r="U24" i="81" s="1"/>
  <c r="T24" i="107"/>
  <c r="U24" i="107" s="1"/>
  <c r="T24" i="111"/>
  <c r="U24" i="111" s="1"/>
  <c r="T24" i="89"/>
  <c r="U24" i="89" s="1"/>
  <c r="T24" i="108"/>
  <c r="U24" i="108" s="1"/>
  <c r="T24" i="88"/>
  <c r="U24" i="88" s="1"/>
  <c r="T23" i="97"/>
  <c r="U23" i="97" s="1"/>
  <c r="T24" i="82"/>
  <c r="U24" i="82" s="1"/>
  <c r="T24" i="104"/>
  <c r="U24" i="104" s="1"/>
  <c r="T24" i="85"/>
  <c r="U24" i="85" s="1"/>
  <c r="T24" i="106"/>
  <c r="U24" i="106" s="1"/>
  <c r="T23" i="96"/>
  <c r="U23" i="96" s="1"/>
  <c r="T23" i="109"/>
  <c r="U23" i="109" s="1"/>
  <c r="T24" i="110"/>
  <c r="U24" i="110" s="1"/>
  <c r="G73" i="48"/>
  <c r="M73" i="48" s="1"/>
  <c r="H73" i="48" s="1"/>
  <c r="T33" i="112"/>
  <c r="U33" i="112" s="1"/>
  <c r="T24" i="93"/>
  <c r="U24" i="93" s="1"/>
  <c r="T23" i="92"/>
  <c r="U23" i="92" s="1"/>
  <c r="T23" i="113"/>
  <c r="U23" i="113" s="1"/>
  <c r="T24" i="80"/>
  <c r="U24" i="80" s="1"/>
  <c r="F28" i="75"/>
  <c r="G28" i="75" s="1"/>
  <c r="G240" i="48"/>
  <c r="M240" i="48" s="1"/>
  <c r="H240" i="48" s="1"/>
  <c r="F7" i="75"/>
  <c r="G7" i="75" s="1"/>
  <c r="G239" i="48"/>
  <c r="M239" i="48" s="1"/>
  <c r="H239" i="48" s="1"/>
  <c r="G206" i="48"/>
  <c r="M206" i="48" s="1"/>
  <c r="H206" i="48" s="1"/>
  <c r="S21" i="103"/>
  <c r="T21" i="103" s="1"/>
  <c r="F17" i="75"/>
  <c r="G17" i="75" s="1"/>
  <c r="G227" i="48"/>
  <c r="M227" i="48" s="1"/>
  <c r="H227" i="48" s="1"/>
  <c r="F34" i="16"/>
  <c r="G34" i="16" s="1"/>
  <c r="G263" i="48"/>
  <c r="M263" i="48" s="1"/>
  <c r="H263" i="48" s="1"/>
  <c r="G233" i="48"/>
  <c r="M233" i="48" s="1"/>
  <c r="H233" i="48" s="1"/>
  <c r="F13" i="75"/>
  <c r="G13" i="75" s="1"/>
  <c r="T22" i="105"/>
  <c r="U22" i="105" s="1"/>
  <c r="T22" i="80"/>
  <c r="U22" i="80" s="1"/>
  <c r="T31" i="112"/>
  <c r="U31" i="112" s="1"/>
  <c r="T22" i="110"/>
  <c r="U22" i="110" s="1"/>
  <c r="T31" i="90"/>
  <c r="U31" i="90" s="1"/>
  <c r="T22" i="88"/>
  <c r="U22" i="88" s="1"/>
  <c r="T22" i="87"/>
  <c r="U22" i="87" s="1"/>
  <c r="T22" i="85"/>
  <c r="U22" i="85" s="1"/>
  <c r="T22" i="93"/>
  <c r="U22" i="93" s="1"/>
  <c r="T22" i="86"/>
  <c r="U22" i="86" s="1"/>
  <c r="T22" i="104"/>
  <c r="U22" i="104" s="1"/>
  <c r="T22" i="111"/>
  <c r="U22" i="111" s="1"/>
  <c r="G71" i="48"/>
  <c r="T22" i="107"/>
  <c r="U22" i="107" s="1"/>
  <c r="T22" i="108"/>
  <c r="U22" i="108" s="1"/>
  <c r="T22" i="106"/>
  <c r="U22" i="106" s="1"/>
  <c r="T21" i="95"/>
  <c r="U21" i="95" s="1"/>
  <c r="T21" i="84"/>
  <c r="U21" i="84" s="1"/>
  <c r="T22" i="89"/>
  <c r="U22" i="89" s="1"/>
  <c r="T22" i="81"/>
  <c r="U22" i="81" s="1"/>
  <c r="T22" i="82"/>
  <c r="U22" i="82" s="1"/>
  <c r="G269" i="48"/>
  <c r="M269" i="48" s="1"/>
  <c r="H269" i="48" s="1"/>
  <c r="F40" i="16"/>
  <c r="G40" i="16" s="1"/>
  <c r="F36" i="16"/>
  <c r="G36" i="16" s="1"/>
  <c r="G265" i="48"/>
  <c r="M265" i="48" s="1"/>
  <c r="H265" i="48" s="1"/>
  <c r="T48" i="111"/>
  <c r="U48" i="111" s="1"/>
  <c r="T48" i="110"/>
  <c r="U48" i="110" s="1"/>
  <c r="T12" i="95"/>
  <c r="U12" i="95" s="1"/>
  <c r="T13" i="104"/>
  <c r="U13" i="104" s="1"/>
  <c r="T12" i="97"/>
  <c r="U12" i="97" s="1"/>
  <c r="T13" i="87"/>
  <c r="U13" i="87" s="1"/>
  <c r="T13" i="86"/>
  <c r="U13" i="86" s="1"/>
  <c r="T12" i="114"/>
  <c r="U12" i="114" s="1"/>
  <c r="T12" i="96"/>
  <c r="U12" i="96" s="1"/>
  <c r="T13" i="85"/>
  <c r="U13" i="85" s="1"/>
  <c r="T12" i="115"/>
  <c r="U12" i="115" s="1"/>
  <c r="T13" i="88"/>
  <c r="U13" i="88" s="1"/>
  <c r="T13" i="80"/>
  <c r="U13" i="80" s="1"/>
  <c r="T13" i="105"/>
  <c r="U13" i="105" s="1"/>
  <c r="T13" i="82"/>
  <c r="U13" i="82" s="1"/>
  <c r="T22" i="90"/>
  <c r="U22" i="90" s="1"/>
  <c r="T12" i="109"/>
  <c r="U12" i="109" s="1"/>
  <c r="T13" i="93"/>
  <c r="U13" i="93" s="1"/>
  <c r="T13" i="108"/>
  <c r="U13" i="108" s="1"/>
  <c r="T12" i="92"/>
  <c r="U12" i="92" s="1"/>
  <c r="T13" i="106"/>
  <c r="U13" i="106" s="1"/>
  <c r="G62" i="48"/>
  <c r="M62" i="48" s="1"/>
  <c r="H62" i="48" s="1"/>
  <c r="T12" i="113"/>
  <c r="U12" i="113" s="1"/>
  <c r="T13" i="107"/>
  <c r="U13" i="107" s="1"/>
  <c r="T13" i="81"/>
  <c r="U13" i="81" s="1"/>
  <c r="T22" i="112"/>
  <c r="U22" i="112" s="1"/>
  <c r="T13" i="89"/>
  <c r="U13" i="89" s="1"/>
  <c r="T25" i="95"/>
  <c r="U25" i="95" s="1"/>
  <c r="T27" i="85"/>
  <c r="U27" i="85" s="1"/>
  <c r="T27" i="93"/>
  <c r="U27" i="93" s="1"/>
  <c r="T27" i="86"/>
  <c r="U27" i="86" s="1"/>
  <c r="G76" i="48"/>
  <c r="M76" i="48" s="1"/>
  <c r="H76" i="48" s="1"/>
  <c r="T27" i="105"/>
  <c r="U27" i="105" s="1"/>
  <c r="T27" i="80"/>
  <c r="U27" i="80" s="1"/>
  <c r="T27" i="87"/>
  <c r="U27" i="87" s="1"/>
  <c r="T27" i="82"/>
  <c r="U27" i="82" s="1"/>
  <c r="T27" i="107"/>
  <c r="U27" i="107" s="1"/>
  <c r="T27" i="88"/>
  <c r="U27" i="88" s="1"/>
  <c r="T27" i="104"/>
  <c r="U27" i="104" s="1"/>
  <c r="T27" i="108"/>
  <c r="U27" i="108" s="1"/>
  <c r="T27" i="89"/>
  <c r="U27" i="89" s="1"/>
  <c r="T27" i="81"/>
  <c r="U27" i="81" s="1"/>
  <c r="T27" i="106"/>
  <c r="U27" i="106" s="1"/>
  <c r="T10" i="95"/>
  <c r="U10" i="95" s="1"/>
  <c r="T10" i="85"/>
  <c r="U10" i="85" s="1"/>
  <c r="T10" i="96"/>
  <c r="U10" i="96" s="1"/>
  <c r="T10" i="92"/>
  <c r="U10" i="92" s="1"/>
  <c r="G38" i="48"/>
  <c r="M38" i="48" s="1"/>
  <c r="H38" i="48" s="1"/>
  <c r="T12" i="110"/>
  <c r="U12" i="110" s="1"/>
  <c r="T10" i="80"/>
  <c r="U10" i="80" s="1"/>
  <c r="T10" i="87"/>
  <c r="U10" i="87" s="1"/>
  <c r="T10" i="97"/>
  <c r="U10" i="97" s="1"/>
  <c r="T10" i="88"/>
  <c r="U10" i="88" s="1"/>
  <c r="T10" i="89"/>
  <c r="U10" i="89" s="1"/>
  <c r="T15" i="90"/>
  <c r="U15" i="90" s="1"/>
  <c r="T72" i="87"/>
  <c r="U72" i="87" s="1"/>
  <c r="T77" i="109"/>
  <c r="U77" i="109" s="1"/>
  <c r="T78" i="114"/>
  <c r="U78" i="114" s="1"/>
  <c r="T72" i="106"/>
  <c r="U72" i="106" s="1"/>
  <c r="T77" i="95"/>
  <c r="U77" i="95" s="1"/>
  <c r="T78" i="96"/>
  <c r="U78" i="96" s="1"/>
  <c r="G132" i="48"/>
  <c r="M132" i="48" s="1"/>
  <c r="H132" i="48" s="1"/>
  <c r="G204" i="48"/>
  <c r="M204" i="48" s="1"/>
  <c r="H204" i="48" s="1"/>
  <c r="S19" i="103"/>
  <c r="T19" i="103" s="1"/>
  <c r="T34" i="95"/>
  <c r="U34" i="95" s="1"/>
  <c r="T36" i="87"/>
  <c r="U36" i="87" s="1"/>
  <c r="T36" i="82"/>
  <c r="U36" i="82" s="1"/>
  <c r="T36" i="104"/>
  <c r="U36" i="104" s="1"/>
  <c r="T36" i="89"/>
  <c r="U36" i="89" s="1"/>
  <c r="T36" i="81"/>
  <c r="U36" i="81" s="1"/>
  <c r="T36" i="105"/>
  <c r="U36" i="105" s="1"/>
  <c r="T36" i="108"/>
  <c r="U36" i="108" s="1"/>
  <c r="G85" i="48"/>
  <c r="M85" i="48" s="1"/>
  <c r="H85" i="48" s="1"/>
  <c r="T36" i="107"/>
  <c r="U36" i="107" s="1"/>
  <c r="T34" i="110"/>
  <c r="U34" i="110" s="1"/>
  <c r="T36" i="86"/>
  <c r="U36" i="86" s="1"/>
  <c r="T36" i="106"/>
  <c r="U36" i="106" s="1"/>
  <c r="T34" i="84"/>
  <c r="U34" i="84" s="1"/>
  <c r="T36" i="88"/>
  <c r="U36" i="88" s="1"/>
  <c r="T36" i="85"/>
  <c r="U36" i="85" s="1"/>
  <c r="T34" i="111"/>
  <c r="U34" i="111" s="1"/>
  <c r="T36" i="93"/>
  <c r="U36" i="93" s="1"/>
  <c r="T36" i="80"/>
  <c r="U36" i="80" s="1"/>
  <c r="T64" i="84"/>
  <c r="U64" i="84" s="1"/>
  <c r="T37" i="90"/>
  <c r="U37" i="90" s="1"/>
  <c r="T37" i="112"/>
  <c r="U37" i="112" s="1"/>
  <c r="G108" i="48"/>
  <c r="T17" i="99"/>
  <c r="U17" i="99" s="1"/>
  <c r="G149" i="48"/>
  <c r="M149" i="48" s="1"/>
  <c r="H149" i="48" s="1"/>
  <c r="G136" i="48"/>
  <c r="M136" i="48" s="1"/>
  <c r="H136" i="48" s="1"/>
  <c r="T5" i="99"/>
  <c r="U5" i="99" s="1"/>
  <c r="T74" i="95"/>
  <c r="U74" i="95" s="1"/>
  <c r="T69" i="87"/>
  <c r="U69" i="87" s="1"/>
  <c r="G129" i="48"/>
  <c r="M129" i="48" s="1"/>
  <c r="H129" i="48" s="1"/>
  <c r="T75" i="114"/>
  <c r="U75" i="114" s="1"/>
  <c r="T74" i="109"/>
  <c r="U74" i="109" s="1"/>
  <c r="T69" i="106"/>
  <c r="U69" i="106" s="1"/>
  <c r="T75" i="96"/>
  <c r="U75" i="96" s="1"/>
  <c r="G224" i="48"/>
  <c r="M224" i="48" s="1"/>
  <c r="H224" i="48" s="1"/>
  <c r="F21" i="75"/>
  <c r="G21" i="75" s="1"/>
  <c r="G162" i="48"/>
  <c r="M162" i="48" s="1"/>
  <c r="H162" i="48" s="1"/>
  <c r="S8" i="101"/>
  <c r="T8" i="101" s="1"/>
  <c r="T50" i="110"/>
  <c r="U50" i="110" s="1"/>
  <c r="T50" i="111"/>
  <c r="U50" i="111" s="1"/>
  <c r="F3" i="16"/>
  <c r="G3" i="16" s="1"/>
  <c r="G98" i="48"/>
  <c r="M98" i="48" s="1"/>
  <c r="H98" i="48" s="1"/>
  <c r="T52" i="110"/>
  <c r="U52" i="110" s="1"/>
  <c r="T52" i="95"/>
  <c r="U52" i="95" s="1"/>
  <c r="T52" i="111"/>
  <c r="U52" i="111" s="1"/>
  <c r="G72" i="48"/>
  <c r="M72" i="48" s="1"/>
  <c r="H72" i="48" s="1"/>
  <c r="T23" i="86"/>
  <c r="U23" i="86" s="1"/>
  <c r="T23" i="87"/>
  <c r="U23" i="87" s="1"/>
  <c r="T32" i="90"/>
  <c r="U32" i="90" s="1"/>
  <c r="T22" i="92"/>
  <c r="U22" i="92" s="1"/>
  <c r="T22" i="96"/>
  <c r="U22" i="96" s="1"/>
  <c r="T23" i="108"/>
  <c r="U23" i="108" s="1"/>
  <c r="T23" i="93"/>
  <c r="U23" i="93" s="1"/>
  <c r="T22" i="95"/>
  <c r="U22" i="95" s="1"/>
  <c r="T23" i="106"/>
  <c r="U23" i="106" s="1"/>
  <c r="T22" i="97"/>
  <c r="U22" i="97" s="1"/>
  <c r="T23" i="110"/>
  <c r="U23" i="110" s="1"/>
  <c r="T22" i="113"/>
  <c r="U22" i="113" s="1"/>
  <c r="T23" i="80"/>
  <c r="U23" i="80" s="1"/>
  <c r="T22" i="115"/>
  <c r="U22" i="115" s="1"/>
  <c r="T23" i="88"/>
  <c r="U23" i="88" s="1"/>
  <c r="T23" i="81"/>
  <c r="U23" i="81" s="1"/>
  <c r="T22" i="114"/>
  <c r="U22" i="114" s="1"/>
  <c r="T22" i="109"/>
  <c r="U22" i="109" s="1"/>
  <c r="T23" i="82"/>
  <c r="U23" i="82" s="1"/>
  <c r="T23" i="104"/>
  <c r="U23" i="104" s="1"/>
  <c r="T32" i="112"/>
  <c r="U32" i="112" s="1"/>
  <c r="T23" i="107"/>
  <c r="U23" i="107" s="1"/>
  <c r="T23" i="111"/>
  <c r="U23" i="111" s="1"/>
  <c r="T23" i="105"/>
  <c r="U23" i="105" s="1"/>
  <c r="T23" i="89"/>
  <c r="U23" i="89" s="1"/>
  <c r="T23" i="85"/>
  <c r="U23" i="85" s="1"/>
  <c r="T37" i="95"/>
  <c r="U37" i="95" s="1"/>
  <c r="G88" i="48"/>
  <c r="M88" i="48" s="1"/>
  <c r="H88" i="48" s="1"/>
  <c r="T39" i="106"/>
  <c r="U39" i="106" s="1"/>
  <c r="T39" i="80"/>
  <c r="U39" i="80" s="1"/>
  <c r="T39" i="86"/>
  <c r="U39" i="86" s="1"/>
  <c r="T39" i="82"/>
  <c r="U39" i="82" s="1"/>
  <c r="T39" i="108"/>
  <c r="U39" i="108" s="1"/>
  <c r="T39" i="88"/>
  <c r="U39" i="88" s="1"/>
  <c r="T39" i="89"/>
  <c r="U39" i="89" s="1"/>
  <c r="T37" i="110"/>
  <c r="U37" i="110" s="1"/>
  <c r="T39" i="105"/>
  <c r="U39" i="105" s="1"/>
  <c r="T39" i="85"/>
  <c r="U39" i="85" s="1"/>
  <c r="T39" i="81"/>
  <c r="U39" i="81" s="1"/>
  <c r="T39" i="87"/>
  <c r="U39" i="87" s="1"/>
  <c r="T39" i="104"/>
  <c r="U39" i="104" s="1"/>
  <c r="T39" i="107"/>
  <c r="U39" i="107" s="1"/>
  <c r="T37" i="111"/>
  <c r="U37" i="111" s="1"/>
  <c r="F23" i="16"/>
  <c r="G23" i="16" s="1"/>
  <c r="G251" i="48"/>
  <c r="M251" i="48" s="1"/>
  <c r="H251" i="48" s="1"/>
  <c r="T71" i="87"/>
  <c r="U71" i="87" s="1"/>
  <c r="T77" i="114"/>
  <c r="U77" i="114" s="1"/>
  <c r="T76" i="95"/>
  <c r="U76" i="95" s="1"/>
  <c r="T71" i="106"/>
  <c r="U71" i="106" s="1"/>
  <c r="G131" i="48"/>
  <c r="M131" i="48" s="1"/>
  <c r="H131" i="48" s="1"/>
  <c r="T76" i="109"/>
  <c r="U76" i="109" s="1"/>
  <c r="T77" i="96"/>
  <c r="U77" i="96" s="1"/>
  <c r="G209" i="48"/>
  <c r="F14" i="16"/>
  <c r="G14" i="16" s="1"/>
  <c r="F37" i="16"/>
  <c r="G37" i="16" s="1"/>
  <c r="G266" i="48"/>
  <c r="M266" i="48" s="1"/>
  <c r="H266" i="48" s="1"/>
  <c r="T16" i="100"/>
  <c r="U16" i="100" s="1"/>
  <c r="G186" i="48"/>
  <c r="M186" i="48" s="1"/>
  <c r="H186" i="48" s="1"/>
  <c r="G260" i="48"/>
  <c r="M260" i="48" s="1"/>
  <c r="H260" i="48" s="1"/>
  <c r="F31" i="16"/>
  <c r="G31" i="16" s="1"/>
  <c r="F27" i="75"/>
  <c r="G27" i="75" s="1"/>
  <c r="G225" i="48"/>
  <c r="M225" i="48" s="1"/>
  <c r="H225" i="48" s="1"/>
  <c r="F30" i="75"/>
  <c r="G30" i="75" s="1"/>
  <c r="G244" i="48"/>
  <c r="M244" i="48" s="1"/>
  <c r="H244" i="48" s="1"/>
  <c r="T37" i="86"/>
  <c r="U37" i="86" s="1"/>
  <c r="G86" i="48"/>
  <c r="M86" i="48" s="1"/>
  <c r="H86" i="48" s="1"/>
  <c r="T37" i="89"/>
  <c r="U37" i="89" s="1"/>
  <c r="T37" i="80"/>
  <c r="U37" i="80" s="1"/>
  <c r="T37" i="87"/>
  <c r="U37" i="87" s="1"/>
  <c r="T37" i="105"/>
  <c r="U37" i="105" s="1"/>
  <c r="T35" i="110"/>
  <c r="U35" i="110" s="1"/>
  <c r="T37" i="108"/>
  <c r="U37" i="108" s="1"/>
  <c r="T37" i="106"/>
  <c r="U37" i="106" s="1"/>
  <c r="T37" i="104"/>
  <c r="U37" i="104" s="1"/>
  <c r="T37" i="82"/>
  <c r="U37" i="82" s="1"/>
  <c r="T37" i="85"/>
  <c r="U37" i="85" s="1"/>
  <c r="T37" i="107"/>
  <c r="U37" i="107" s="1"/>
  <c r="T37" i="93"/>
  <c r="U37" i="93" s="1"/>
  <c r="T35" i="95"/>
  <c r="U35" i="95" s="1"/>
  <c r="T37" i="88"/>
  <c r="U37" i="88" s="1"/>
  <c r="T35" i="111"/>
  <c r="U35" i="111" s="1"/>
  <c r="T37" i="81"/>
  <c r="U37" i="81" s="1"/>
  <c r="F6" i="16"/>
  <c r="G6" i="16" s="1"/>
  <c r="G101" i="48"/>
  <c r="M101" i="48" s="1"/>
  <c r="H101" i="48" s="1"/>
  <c r="T84" i="113"/>
  <c r="U84" i="113" s="1"/>
  <c r="T84" i="109"/>
  <c r="U84" i="109" s="1"/>
  <c r="T84" i="115"/>
  <c r="U84" i="115" s="1"/>
  <c r="T78" i="107"/>
  <c r="U78" i="107" s="1"/>
  <c r="G58" i="48"/>
  <c r="T84" i="114"/>
  <c r="U84" i="114" s="1"/>
  <c r="T51" i="108"/>
  <c r="U51" i="108" s="1"/>
  <c r="T78" i="105"/>
  <c r="U78" i="105" s="1"/>
  <c r="T71" i="104"/>
  <c r="U71" i="104" s="1"/>
  <c r="T51" i="112"/>
  <c r="U51" i="112" s="1"/>
  <c r="T78" i="106"/>
  <c r="U78" i="106" s="1"/>
  <c r="T83" i="111"/>
  <c r="U83" i="111" s="1"/>
  <c r="T32" i="85"/>
  <c r="U32" i="85" s="1"/>
  <c r="T32" i="87"/>
  <c r="U32" i="87" s="1"/>
  <c r="G81" i="48"/>
  <c r="M81" i="48" s="1"/>
  <c r="H81" i="48" s="1"/>
  <c r="T32" i="106"/>
  <c r="U32" i="106" s="1"/>
  <c r="T32" i="88"/>
  <c r="U32" i="88" s="1"/>
  <c r="T32" i="104"/>
  <c r="U32" i="104" s="1"/>
  <c r="T32" i="86"/>
  <c r="U32" i="86" s="1"/>
  <c r="T30" i="110"/>
  <c r="U30" i="110" s="1"/>
  <c r="T30" i="111"/>
  <c r="U30" i="111" s="1"/>
  <c r="T30" i="84"/>
  <c r="U30" i="84" s="1"/>
  <c r="T32" i="107"/>
  <c r="U32" i="107" s="1"/>
  <c r="T32" i="82"/>
  <c r="U32" i="82" s="1"/>
  <c r="T32" i="80"/>
  <c r="U32" i="80" s="1"/>
  <c r="T32" i="105"/>
  <c r="U32" i="105" s="1"/>
  <c r="T32" i="89"/>
  <c r="U32" i="89" s="1"/>
  <c r="T32" i="81"/>
  <c r="U32" i="81" s="1"/>
  <c r="T32" i="108"/>
  <c r="U32" i="108" s="1"/>
  <c r="T30" i="95"/>
  <c r="U30" i="95" s="1"/>
  <c r="T32" i="93"/>
  <c r="U32" i="93" s="1"/>
  <c r="T56" i="111"/>
  <c r="U56" i="111" s="1"/>
  <c r="T56" i="106"/>
  <c r="U56" i="106" s="1"/>
  <c r="T56" i="80"/>
  <c r="U56" i="80" s="1"/>
  <c r="T56" i="87"/>
  <c r="U56" i="87" s="1"/>
  <c r="T56" i="110"/>
  <c r="U56" i="110" s="1"/>
  <c r="T56" i="88"/>
  <c r="U56" i="88" s="1"/>
  <c r="T56" i="81"/>
  <c r="U56" i="81" s="1"/>
  <c r="T56" i="82"/>
  <c r="U56" i="82" s="1"/>
  <c r="T56" i="86"/>
  <c r="U56" i="86" s="1"/>
  <c r="T56" i="104"/>
  <c r="U56" i="104" s="1"/>
  <c r="G91" i="48"/>
  <c r="M91" i="48" s="1"/>
  <c r="H91" i="48" s="1"/>
  <c r="T56" i="105"/>
  <c r="U56" i="105" s="1"/>
  <c r="T56" i="107"/>
  <c r="U56" i="107" s="1"/>
  <c r="T56" i="85"/>
  <c r="U56" i="85" s="1"/>
  <c r="G210" i="48"/>
  <c r="M210" i="48" s="1"/>
  <c r="H210" i="48" s="1"/>
  <c r="F12" i="16"/>
  <c r="G12" i="16" s="1"/>
  <c r="F24" i="75"/>
  <c r="G24" i="75" s="1"/>
  <c r="T49" i="110"/>
  <c r="U49" i="110" s="1"/>
  <c r="T49" i="111"/>
  <c r="U49" i="111" s="1"/>
  <c r="M41" i="48"/>
  <c r="H41" i="48" s="1"/>
  <c r="H13" i="48"/>
  <c r="M52" i="48"/>
  <c r="H52" i="48" s="1"/>
  <c r="BD18" i="48"/>
  <c r="BD132" i="48"/>
  <c r="F54" i="48"/>
  <c r="BD129" i="48"/>
  <c r="M110" i="48"/>
  <c r="H110" i="48" s="1"/>
  <c r="BD125" i="48"/>
  <c r="L108" i="48"/>
  <c r="BD108" i="48"/>
  <c r="L19" i="48"/>
  <c r="L16" i="48"/>
  <c r="L59" i="48"/>
  <c r="L71" i="48"/>
  <c r="L60" i="48"/>
  <c r="L36" i="48"/>
  <c r="L56" i="48"/>
  <c r="L42" i="48"/>
  <c r="L69" i="48"/>
  <c r="L58" i="48"/>
  <c r="L44" i="48"/>
  <c r="BD16" i="48"/>
  <c r="BD19" i="48"/>
  <c r="BD121" i="48"/>
  <c r="BD120" i="48"/>
  <c r="BD66" i="48"/>
  <c r="BD128" i="48"/>
  <c r="L128" i="48"/>
  <c r="BD15" i="48"/>
  <c r="L127" i="48"/>
  <c r="BD127" i="48"/>
  <c r="K5" i="96"/>
  <c r="J5" i="104"/>
  <c r="J5" i="89"/>
  <c r="J5" i="80"/>
  <c r="J5" i="82"/>
  <c r="K5" i="97"/>
  <c r="J5" i="106"/>
  <c r="K5" i="109"/>
  <c r="K5" i="115"/>
  <c r="J5" i="105"/>
  <c r="K5" i="113"/>
  <c r="K5" i="92"/>
  <c r="K5" i="114"/>
  <c r="J5" i="81"/>
  <c r="J5" i="84"/>
  <c r="J5" i="93"/>
  <c r="J5" i="107"/>
  <c r="J5" i="90"/>
  <c r="J5" i="112"/>
  <c r="J5" i="88"/>
  <c r="J5" i="108"/>
  <c r="J5" i="111"/>
  <c r="J5" i="83"/>
  <c r="J5" i="110"/>
  <c r="J5" i="85"/>
  <c r="J5" i="86"/>
  <c r="J5" i="87"/>
  <c r="J7" i="80"/>
  <c r="J7" i="105"/>
  <c r="J7" i="106"/>
  <c r="J7" i="87"/>
  <c r="K7" i="109"/>
  <c r="K6" i="99"/>
  <c r="K6" i="101"/>
  <c r="BD69" i="48"/>
  <c r="BD71" i="48"/>
  <c r="F109" i="48"/>
  <c r="L109" i="48" s="1"/>
  <c r="F209" i="48"/>
  <c r="L209" i="48" s="1"/>
  <c r="F118" i="48"/>
  <c r="BD118" i="48" s="1"/>
  <c r="F119" i="48"/>
  <c r="BD119" i="48" s="1"/>
  <c r="F67" i="48"/>
  <c r="F57" i="48"/>
  <c r="BD57" i="48" s="1"/>
  <c r="L122" i="48"/>
  <c r="BD122" i="48"/>
  <c r="F117" i="48"/>
  <c r="BD115" i="48"/>
  <c r="F113" i="48"/>
  <c r="L113" i="48" s="1"/>
  <c r="BD107" i="48"/>
  <c r="L107" i="48"/>
  <c r="M254" i="48" l="1"/>
  <c r="H254" i="48" s="1"/>
  <c r="M253" i="48"/>
  <c r="H253" i="48" s="1"/>
  <c r="M252" i="48"/>
  <c r="H252" i="48" s="1"/>
  <c r="G20" i="16"/>
  <c r="U98" i="97"/>
  <c r="L9" i="97" s="1"/>
  <c r="U98" i="115"/>
  <c r="L9" i="115" s="1"/>
  <c r="U98" i="96"/>
  <c r="L9" i="96" s="1"/>
  <c r="U98" i="114"/>
  <c r="L9" i="114" s="1"/>
  <c r="U98" i="113"/>
  <c r="L9" i="113" s="1"/>
  <c r="U98" i="92"/>
  <c r="L9" i="92" s="1"/>
  <c r="U98" i="109"/>
  <c r="L9" i="109" s="1"/>
  <c r="M209" i="48"/>
  <c r="H93" i="48"/>
  <c r="M103" i="48"/>
  <c r="H103" i="48" s="1"/>
  <c r="M107" i="48"/>
  <c r="H107" i="48" s="1"/>
  <c r="T42" i="102"/>
  <c r="K8" i="102" s="1"/>
  <c r="M56" i="48"/>
  <c r="H56" i="48" s="1"/>
  <c r="M102" i="48"/>
  <c r="H102" i="48" s="1"/>
  <c r="M130" i="48"/>
  <c r="H130" i="48" s="1"/>
  <c r="BD103" i="48"/>
  <c r="BD102" i="48"/>
  <c r="M109" i="48"/>
  <c r="H109" i="48" s="1"/>
  <c r="M126" i="48"/>
  <c r="H126" i="48" s="1"/>
  <c r="T43" i="116"/>
  <c r="K8" i="116" s="1"/>
  <c r="M122" i="48"/>
  <c r="H122" i="48" s="1"/>
  <c r="M40" i="48"/>
  <c r="H40" i="48" s="1"/>
  <c r="T42" i="101"/>
  <c r="K8" i="101" s="1"/>
  <c r="M42" i="48"/>
  <c r="H42" i="48" s="1"/>
  <c r="U98" i="95"/>
  <c r="L9" i="95" s="1"/>
  <c r="M36" i="48"/>
  <c r="H36" i="48" s="1"/>
  <c r="T42" i="117"/>
  <c r="K8" i="117" s="1"/>
  <c r="M44" i="48"/>
  <c r="H44" i="48" s="1"/>
  <c r="U43" i="100"/>
  <c r="K8" i="100" s="1"/>
  <c r="M108" i="48"/>
  <c r="H108" i="48" s="1"/>
  <c r="M127" i="48"/>
  <c r="H127" i="48" s="1"/>
  <c r="U67" i="83"/>
  <c r="K9" i="83" s="1"/>
  <c r="L54" i="48"/>
  <c r="M54" i="48" s="1"/>
  <c r="H54" i="48" s="1"/>
  <c r="BD54" i="48"/>
  <c r="M113" i="48"/>
  <c r="H113" i="48" s="1"/>
  <c r="M58" i="48"/>
  <c r="H58" i="48" s="1"/>
  <c r="M16" i="48"/>
  <c r="H16" i="48" s="1"/>
  <c r="G36" i="75"/>
  <c r="U67" i="82"/>
  <c r="K9" i="82" s="1"/>
  <c r="U56" i="108"/>
  <c r="K9" i="108" s="1"/>
  <c r="M19" i="48"/>
  <c r="H19" i="48" s="1"/>
  <c r="U69" i="81"/>
  <c r="K9" i="81" s="1"/>
  <c r="U84" i="107"/>
  <c r="K9" i="107" s="1"/>
  <c r="U71" i="110"/>
  <c r="K9" i="110" s="1"/>
  <c r="G41" i="16"/>
  <c r="U74" i="80"/>
  <c r="K9" i="80" s="1"/>
  <c r="U67" i="85"/>
  <c r="K9" i="85" s="1"/>
  <c r="T42" i="103"/>
  <c r="K8" i="103" s="1"/>
  <c r="M59" i="48"/>
  <c r="H59" i="48" s="1"/>
  <c r="U55" i="112"/>
  <c r="K9" i="112" s="1"/>
  <c r="U44" i="93"/>
  <c r="K9" i="93" s="1"/>
  <c r="U84" i="105"/>
  <c r="K9" i="105" s="1"/>
  <c r="U84" i="106"/>
  <c r="K9" i="106" s="1"/>
  <c r="U67" i="84"/>
  <c r="K9" i="84" s="1"/>
  <c r="U75" i="104"/>
  <c r="K9" i="104" s="1"/>
  <c r="M60" i="48"/>
  <c r="H60" i="48" s="1"/>
  <c r="U87" i="111"/>
  <c r="K9" i="111" s="1"/>
  <c r="U45" i="99"/>
  <c r="K8" i="99" s="1"/>
  <c r="U74" i="88"/>
  <c r="K9" i="88" s="1"/>
  <c r="U44" i="90"/>
  <c r="K9" i="90" s="1"/>
  <c r="U74" i="87"/>
  <c r="K9" i="87" s="1"/>
  <c r="U44" i="89"/>
  <c r="K9" i="89" s="1"/>
  <c r="U68" i="86"/>
  <c r="K9" i="86" s="1"/>
  <c r="M69" i="48"/>
  <c r="H69" i="48" s="1"/>
  <c r="M128" i="48"/>
  <c r="H128" i="48" s="1"/>
  <c r="M71" i="48"/>
  <c r="H71" i="48" s="1"/>
  <c r="BD209" i="48"/>
  <c r="L67" i="48"/>
  <c r="M67" i="48" s="1"/>
  <c r="H67" i="48" s="1"/>
  <c r="L57" i="48"/>
  <c r="M57" i="48" s="1"/>
  <c r="H57" i="48" s="1"/>
  <c r="L119" i="48"/>
  <c r="M119" i="48" s="1"/>
  <c r="H119" i="48" s="1"/>
  <c r="BD113" i="48"/>
  <c r="L118" i="48"/>
  <c r="M118" i="48" s="1"/>
  <c r="H118" i="48" s="1"/>
  <c r="BD109" i="48"/>
  <c r="BD67" i="48"/>
  <c r="L117" i="48"/>
  <c r="M117" i="48" s="1"/>
  <c r="H117" i="48" s="1"/>
  <c r="BD117" i="48"/>
  <c r="M291" i="48" l="1"/>
  <c r="G292" i="48" s="1"/>
  <c r="M6" i="48"/>
  <c r="H209" i="48"/>
  <c r="B294" i="48"/>
</calcChain>
</file>

<file path=xl/sharedStrings.xml><?xml version="1.0" encoding="utf-8"?>
<sst xmlns="http://schemas.openxmlformats.org/spreadsheetml/2006/main" count="3630" uniqueCount="1434">
  <si>
    <t>6a</t>
  </si>
  <si>
    <t>6b</t>
  </si>
  <si>
    <t>ROH</t>
  </si>
  <si>
    <t>7M 442P</t>
  </si>
  <si>
    <t>OR</t>
  </si>
  <si>
    <t>Vlastní zásuvné prvky</t>
  </si>
  <si>
    <t>Máte-li zásuvné prvky vlastní, upravte počty v objednávce</t>
  </si>
  <si>
    <t>Chcete-li jiné složení zásuvných prvků, upravte počty v objednávce</t>
  </si>
  <si>
    <t>Pro délku 600mm jen bočnice M nebo C</t>
  </si>
  <si>
    <t>nahoře</t>
  </si>
  <si>
    <t>dole</t>
  </si>
  <si>
    <t>7N 400P</t>
  </si>
  <si>
    <t>7M 400P</t>
  </si>
  <si>
    <t>7K 400P</t>
  </si>
  <si>
    <t>7M 40VP</t>
  </si>
  <si>
    <t>7C 410P</t>
  </si>
  <si>
    <t>7F 410P</t>
  </si>
  <si>
    <t>7C 41VP</t>
  </si>
  <si>
    <t>7C 41NP</t>
  </si>
  <si>
    <t>7C 31RP</t>
  </si>
  <si>
    <t>7C 442P</t>
  </si>
  <si>
    <t>Dřezové zásuvky a výsuvy</t>
  </si>
  <si>
    <t>7ST CGP</t>
  </si>
  <si>
    <t>7ST CRP</t>
  </si>
  <si>
    <t>AMBIA-LINE</t>
  </si>
  <si>
    <t>Pokud chcete jiné složení, zadejte požadovaný počet 40kg korpusových lišt</t>
  </si>
  <si>
    <t>70kg lišty se dopopočítají</t>
  </si>
  <si>
    <t>Chybí počty zásuvných prvků</t>
  </si>
  <si>
    <t>INGL</t>
  </si>
  <si>
    <t>Ostatní</t>
  </si>
  <si>
    <t>Držák nožů</t>
  </si>
  <si>
    <t>Vyberte způsob montáže čelního kování</t>
  </si>
  <si>
    <t>Vyberte barvu povrchové úpravy</t>
  </si>
  <si>
    <t xml:space="preserve">Zadáte-li slevu s mínusovým znamínkem, zobrazí se ceny o tuto hodnotu vyšší </t>
  </si>
  <si>
    <t>Kliknutím na označení vyberte požadovaný výsuv</t>
  </si>
  <si>
    <t>Z10D01E0.01</t>
  </si>
  <si>
    <t>Z10D01EA.01</t>
  </si>
  <si>
    <t>Z10D0311</t>
  </si>
  <si>
    <t>Z10D7201.01</t>
  </si>
  <si>
    <t>Držák napájecího zdroje - montáž do dna</t>
  </si>
  <si>
    <t>Držák napájecího zdroje - montáž na stěnu</t>
  </si>
  <si>
    <t>Synchronizační kabel 50cm</t>
  </si>
  <si>
    <t>Z10K050S</t>
  </si>
  <si>
    <t>COMBOX</t>
  </si>
  <si>
    <t>Z10ZC00A</t>
  </si>
  <si>
    <t>Informace k objednávání</t>
  </si>
  <si>
    <t>275 - 1200</t>
  </si>
  <si>
    <t>400 - 1200</t>
  </si>
  <si>
    <t>Příčné dělení</t>
  </si>
  <si>
    <t>Držáky talířů</t>
  </si>
  <si>
    <t>Mezistěny</t>
  </si>
  <si>
    <t>Držáky na kořenky</t>
  </si>
  <si>
    <t>pro zásuvky</t>
  </si>
  <si>
    <t>pro čelní výsuvy</t>
  </si>
  <si>
    <t>Zóny DYNAMIC SPACE</t>
  </si>
  <si>
    <t>Vaření / pečení</t>
  </si>
  <si>
    <t>300 mm</t>
  </si>
  <si>
    <t>Vhodné pro</t>
  </si>
  <si>
    <t>2a</t>
  </si>
  <si>
    <t>Příčný reling ke zkrácení</t>
  </si>
  <si>
    <t>Délka relingu</t>
  </si>
  <si>
    <t>Přířezy relingu</t>
  </si>
  <si>
    <t>Podélné dělení pro reling</t>
  </si>
  <si>
    <t>Stabilizace čel</t>
  </si>
  <si>
    <t>Podložka CLIP na vruty</t>
  </si>
  <si>
    <t>Podložka CLIP EXPANDO</t>
  </si>
  <si>
    <t>Podložka CLIP s excentrem</t>
  </si>
  <si>
    <t>Podložka CLIP s excentrem, EXPANDO</t>
  </si>
  <si>
    <t>Podložka CLIP top přímá</t>
  </si>
  <si>
    <t>Podložka CLIP top přímá, EXPANDO</t>
  </si>
  <si>
    <t>BLUMOTION v křížovém adaptéru</t>
  </si>
  <si>
    <t>175H3100</t>
  </si>
  <si>
    <t>174E6100.01</t>
  </si>
  <si>
    <t>177H3100E</t>
  </si>
  <si>
    <t xml:space="preserve">Barva: </t>
  </si>
  <si>
    <t xml:space="preserve">Cena:  </t>
  </si>
  <si>
    <t xml:space="preserve">   Korpusové lišty TIP-ON</t>
  </si>
  <si>
    <t xml:space="preserve">   Synchronizace TIP-ON</t>
  </si>
  <si>
    <t xml:space="preserve">   Držáky zadní stěny</t>
  </si>
  <si>
    <t xml:space="preserve">   Čelní kování</t>
  </si>
  <si>
    <t xml:space="preserve">   Vnitřní výsuvy</t>
  </si>
  <si>
    <t xml:space="preserve">   SERVO-DRIVE</t>
  </si>
  <si>
    <t xml:space="preserve">   Ostatní</t>
  </si>
  <si>
    <t xml:space="preserve">   Závěsy</t>
  </si>
  <si>
    <t xml:space="preserve">Čelní kování:  </t>
  </si>
  <si>
    <t>596 mm</t>
  </si>
  <si>
    <t>1500 mm</t>
  </si>
  <si>
    <t>1380 mm</t>
  </si>
  <si>
    <t>4a</t>
  </si>
  <si>
    <t>4b</t>
  </si>
  <si>
    <t>5b</t>
  </si>
  <si>
    <t>Misky</t>
  </si>
  <si>
    <t>Příčné dělící prvky</t>
  </si>
  <si>
    <t>Pomůcky do kuchyně</t>
  </si>
  <si>
    <t>Cenová hladina</t>
  </si>
  <si>
    <t>Základní ceny</t>
  </si>
  <si>
    <t>Nákupní ceny</t>
  </si>
  <si>
    <t>Se slevou</t>
  </si>
  <si>
    <t>Zadejte výši slevy</t>
  </si>
  <si>
    <t>Ceny s volitelnou slevou</t>
  </si>
  <si>
    <t>Ceny se slevou od prodejce</t>
  </si>
  <si>
    <t>Nastavit</t>
  </si>
  <si>
    <t>Název</t>
  </si>
  <si>
    <t>Číslo artiklu</t>
  </si>
  <si>
    <t>Ks</t>
  </si>
  <si>
    <t>Jednotková cena</t>
  </si>
  <si>
    <t>Celkem</t>
  </si>
  <si>
    <t>Změna</t>
  </si>
  <si>
    <t>Cena celkem bez DPH</t>
  </si>
  <si>
    <t>Kč</t>
  </si>
  <si>
    <t>Šířka korpusu</t>
  </si>
  <si>
    <t>450 mm</t>
  </si>
  <si>
    <t>600 mm</t>
  </si>
  <si>
    <t>Doporučená hodnota</t>
  </si>
  <si>
    <t>na vruty</t>
  </si>
  <si>
    <t>Nápověda</t>
  </si>
  <si>
    <t>Odkazy</t>
  </si>
  <si>
    <t>Objednávka</t>
  </si>
  <si>
    <t>Doplňky</t>
  </si>
  <si>
    <t>Soupis kování</t>
  </si>
  <si>
    <t>Základní údaje</t>
  </si>
  <si>
    <t>Zpět</t>
  </si>
  <si>
    <t>do</t>
  </si>
  <si>
    <t>pro úzké korpusy</t>
  </si>
  <si>
    <t>sestava</t>
  </si>
  <si>
    <t>kusy</t>
  </si>
  <si>
    <t>celkem</t>
  </si>
  <si>
    <t>Výpočet hmotnosti</t>
  </si>
  <si>
    <t>od</t>
  </si>
  <si>
    <t>Verze</t>
  </si>
  <si>
    <t>Platnost ceníku od</t>
  </si>
  <si>
    <t>Sleva</t>
  </si>
  <si>
    <t>Prodejce</t>
  </si>
  <si>
    <t>Sleva od prodejce</t>
  </si>
  <si>
    <t>Ceník</t>
  </si>
  <si>
    <t>označení:</t>
  </si>
  <si>
    <t>bočnice:</t>
  </si>
  <si>
    <t>potřebný prostor:</t>
  </si>
  <si>
    <t>Vzhledem k šířce korpusu je nutné použití synchronizace pro TIP-ON</t>
  </si>
  <si>
    <t>Věnujte pozornost pokynům - zde</t>
  </si>
  <si>
    <t>Synchronizaci vyberte v sekci Doplňky</t>
  </si>
  <si>
    <t>Minimální rozměry přířezu dna</t>
  </si>
  <si>
    <t>Není-li možné minimální rozměry dodržet, nelze použít výsuvy s TIP-ON</t>
  </si>
  <si>
    <t>Firma Blum ani prodejci neručí za jejich správnost.</t>
  </si>
  <si>
    <t>Formulář pro identifikační údaje</t>
  </si>
  <si>
    <t>Odběratel</t>
  </si>
  <si>
    <t>Adresa</t>
  </si>
  <si>
    <t>Dodací adresa</t>
  </si>
  <si>
    <t>IČO, DIČ</t>
  </si>
  <si>
    <t>Telefon, fax, e-mail</t>
  </si>
  <si>
    <t>Číslo objednávky</t>
  </si>
  <si>
    <t>Zakázka</t>
  </si>
  <si>
    <t>Poznámka</t>
  </si>
  <si>
    <t>Zde můžete vložit vlastní položky (následujících 10 řádků, zobrazí se v objednávce)</t>
  </si>
  <si>
    <t>Vytvořit objednávku</t>
  </si>
  <si>
    <r>
      <t>Chcete-li objednávku uložit nebo odeslat jako přílohu,</t>
    </r>
    <r>
      <rPr>
        <sz val="9"/>
        <color indexed="8"/>
        <rFont val="Arial"/>
        <family val="2"/>
        <charset val="238"/>
      </rPr>
      <t xml:space="preserve"> vytvořte nový soubor kliknutím na odkaz</t>
    </r>
  </si>
  <si>
    <t>Před prvním spuštěním</t>
  </si>
  <si>
    <t xml:space="preserve">Přejděte na </t>
  </si>
  <si>
    <t>Identifikační údaje se budou zobrazovat v objednávkách</t>
  </si>
  <si>
    <t>Na úvodní obrazovce vyberte, jaké ceny se budou zobrazovat:</t>
  </si>
  <si>
    <t>Základní (ceníkové) ceny bez slevy</t>
  </si>
  <si>
    <t>Legenda</t>
  </si>
  <si>
    <t>Upozornění</t>
  </si>
  <si>
    <t>Informace a vysvětlivky</t>
  </si>
  <si>
    <t>Tip</t>
  </si>
  <si>
    <t>Odkazy na brožury, montážní návody a instrukážní videa</t>
  </si>
  <si>
    <t>Soubory PDF</t>
  </si>
  <si>
    <t>Po úpravě objenávky odfiltrujte pomocí filtru ve sloupci "Ks" prázné řádky.</t>
  </si>
  <si>
    <t>Údaje pro objednávku, zadání slevy od prodejce</t>
  </si>
  <si>
    <t>jazyk</t>
  </si>
  <si>
    <t>Tato aplikace slouží k snadnějšímu objednávání kování.</t>
  </si>
  <si>
    <t>M</t>
  </si>
  <si>
    <t>Zásuvka</t>
  </si>
  <si>
    <t>Vnitřní zásuvka</t>
  </si>
  <si>
    <t>Čelní výsuv</t>
  </si>
  <si>
    <t>Vnitřní výsuv</t>
  </si>
  <si>
    <t>Dřezová zásuvka</t>
  </si>
  <si>
    <t>Dřezový výsuv</t>
  </si>
  <si>
    <t>N</t>
  </si>
  <si>
    <t>K</t>
  </si>
  <si>
    <t>Úvod</t>
  </si>
  <si>
    <t>106 mm</t>
  </si>
  <si>
    <t>Zásuvky</t>
  </si>
  <si>
    <t>Vnitřní zásuvky</t>
  </si>
  <si>
    <t>Čelní výsuvy</t>
  </si>
  <si>
    <t>Vnitřní výsuvy</t>
  </si>
  <si>
    <t>Dřezové výsuvy</t>
  </si>
  <si>
    <t>označení</t>
  </si>
  <si>
    <t>bočnice</t>
  </si>
  <si>
    <t>potřebný prostor</t>
  </si>
  <si>
    <t>Přehled</t>
  </si>
  <si>
    <t>Vybrané zásuvky</t>
  </si>
  <si>
    <t>hedvábně bílá</t>
  </si>
  <si>
    <t>čiré</t>
  </si>
  <si>
    <t>saténované</t>
  </si>
  <si>
    <t>barva</t>
  </si>
  <si>
    <t>sklo</t>
  </si>
  <si>
    <t>čelní kování</t>
  </si>
  <si>
    <t>Výběr zásuvek a výsuvů</t>
  </si>
  <si>
    <t>Vítejte v aplikaci BOXPLAN</t>
  </si>
  <si>
    <t>List</t>
  </si>
  <si>
    <t>IDNr.</t>
  </si>
  <si>
    <t>pro mezistěnu</t>
  </si>
  <si>
    <t>Přířezy příčky</t>
  </si>
  <si>
    <t>Délky příček</t>
  </si>
  <si>
    <t>Základní prvek</t>
  </si>
  <si>
    <t>Příčky</t>
  </si>
  <si>
    <t>Zpět na</t>
  </si>
  <si>
    <t>Pokračovat na</t>
  </si>
  <si>
    <t>Zásuvky a výsuvy</t>
  </si>
  <si>
    <t>Souhrn</t>
  </si>
  <si>
    <t>Výběr doplňků</t>
  </si>
  <si>
    <t>Volitelně</t>
  </si>
  <si>
    <t>Přířezy prvků</t>
  </si>
  <si>
    <t>Přední díl</t>
  </si>
  <si>
    <t>Příčný reling</t>
  </si>
  <si>
    <t>Pro každý výsuv je započítán jeden přední díl a jeden příčný reling</t>
  </si>
  <si>
    <t>Potřebný počet předních dílů a relingů upravte v objednávce</t>
  </si>
  <si>
    <t>Pro každý výsuv je započítán jeden přední díl</t>
  </si>
  <si>
    <t>Potřebný počet předních dílů upravte v objednávce</t>
  </si>
  <si>
    <t>Zásoby</t>
  </si>
  <si>
    <t>Vyplňte identifikační údaje a výši slevy od prodejce</t>
  </si>
  <si>
    <t>Po vyplnění se vraťte na úvod a subor uložte nebo zavřete s potvrzením změn</t>
  </si>
  <si>
    <t>Ukládání</t>
  </si>
  <si>
    <t>Mytí</t>
  </si>
  <si>
    <t>Příprava</t>
  </si>
  <si>
    <t>Vaření</t>
  </si>
  <si>
    <t>ZN</t>
  </si>
  <si>
    <t>TIP-ON</t>
  </si>
  <si>
    <t>Podélné dělení</t>
  </si>
  <si>
    <t>Počet</t>
  </si>
  <si>
    <t>Mezistěna</t>
  </si>
  <si>
    <t>3b</t>
  </si>
  <si>
    <t>3a</t>
  </si>
  <si>
    <t>1c</t>
  </si>
  <si>
    <t>1b</t>
  </si>
  <si>
    <t>1a</t>
  </si>
  <si>
    <t>Barva</t>
  </si>
  <si>
    <t>Zpět na úvod</t>
  </si>
  <si>
    <t>platnost ceníku od:</t>
  </si>
  <si>
    <t>BL</t>
  </si>
  <si>
    <t>R737</t>
  </si>
  <si>
    <t>NI</t>
  </si>
  <si>
    <t>S</t>
  </si>
  <si>
    <t>Držák talířů</t>
  </si>
  <si>
    <t>Distanční doraz Blum, 5mm</t>
  </si>
  <si>
    <t>993.0530</t>
  </si>
  <si>
    <t>Distanční doraz Blum, 8mm</t>
  </si>
  <si>
    <t>993.0830.01</t>
  </si>
  <si>
    <t>Pohonná servo jednotka</t>
  </si>
  <si>
    <t>Držák nosníku, vlys naležato</t>
  </si>
  <si>
    <t>Držák nosníku, vlys nastojato</t>
  </si>
  <si>
    <t>Držák servo jednotky jednoduchý</t>
  </si>
  <si>
    <t>Držák servo jednotky zdvojený</t>
  </si>
  <si>
    <t>Držák kabelu s Klebesockel</t>
  </si>
  <si>
    <t>Z10K0009</t>
  </si>
  <si>
    <t>NA</t>
  </si>
  <si>
    <t>Synchronizační kabel 8cm</t>
  </si>
  <si>
    <t xml:space="preserve">Z10K008S </t>
  </si>
  <si>
    <t>W</t>
  </si>
  <si>
    <t>Synchronizační kabel 120cm</t>
  </si>
  <si>
    <t>Z10K120S</t>
  </si>
  <si>
    <t>Synchronizační kabel 160cm</t>
  </si>
  <si>
    <t>Z10K160S</t>
  </si>
  <si>
    <t>Elektrokabel, délka 8m + 5 krytek</t>
  </si>
  <si>
    <t>Z10K800AE</t>
  </si>
  <si>
    <t>Napájecí kabel se zástrčkou, 2m</t>
  </si>
  <si>
    <t xml:space="preserve">Z10M200E </t>
  </si>
  <si>
    <t>Z10NG000</t>
  </si>
  <si>
    <t>Z10NG120</t>
  </si>
  <si>
    <t>WGR</t>
  </si>
  <si>
    <t>Propojovací svorka s hroty + krytka</t>
  </si>
  <si>
    <t>Z10V100E.01</t>
  </si>
  <si>
    <t>Alu</t>
  </si>
  <si>
    <t xml:space="preserve">Z10T670AA </t>
  </si>
  <si>
    <t xml:space="preserve">Z10T750AA </t>
  </si>
  <si>
    <t>Nosník 1170mm, bez kabelu</t>
  </si>
  <si>
    <t>Z10T1170A</t>
  </si>
  <si>
    <t xml:space="preserve">Mechanizmus vyhazovače </t>
  </si>
  <si>
    <t>Z10A3H00</t>
  </si>
  <si>
    <t>Horizontální nosník</t>
  </si>
  <si>
    <t>Z10T1143B</t>
  </si>
  <si>
    <t>Adaptér + držák horizont. nosníku</t>
  </si>
  <si>
    <t>Z10D5210</t>
  </si>
  <si>
    <t>SD uno - sada pro výsuv na odpad</t>
  </si>
  <si>
    <t>Držák servo jednotky horní</t>
  </si>
  <si>
    <t>Z10D6252</t>
  </si>
  <si>
    <t>Z96.10E1</t>
  </si>
  <si>
    <t>Tlumící čočka k zavrtání</t>
  </si>
  <si>
    <t>993.706</t>
  </si>
  <si>
    <t>R906</t>
  </si>
  <si>
    <t>173L6100</t>
  </si>
  <si>
    <t>173H7100</t>
  </si>
  <si>
    <t>174H7100E</t>
  </si>
  <si>
    <t>175H5400</t>
  </si>
  <si>
    <t>177H5400E</t>
  </si>
  <si>
    <t>973A7000</t>
  </si>
  <si>
    <t>971A0500</t>
  </si>
  <si>
    <t>SERVO-DRIVE</t>
  </si>
  <si>
    <t xml:space="preserve">Nosník, 670mm, s předmont. kabelem </t>
  </si>
  <si>
    <t xml:space="preserve">Nosník, 750mm, s předmont. kabelem </t>
  </si>
  <si>
    <t>5a</t>
  </si>
  <si>
    <t>3a,3b,4</t>
  </si>
  <si>
    <t>Závěsy pro potravinové skříně</t>
  </si>
  <si>
    <t>Hrnce, poklice</t>
  </si>
  <si>
    <t xml:space="preserve">Ukládání potravin </t>
  </si>
  <si>
    <t>Misky a mísy</t>
  </si>
  <si>
    <t>Hrnce, poklice, náčiní</t>
  </si>
  <si>
    <t>Načatá balení potravin</t>
  </si>
  <si>
    <t>Ukládání talířů</t>
  </si>
  <si>
    <t>Odpadkové koše, mycí prostředky</t>
  </si>
  <si>
    <t>Láhve, načatá balení potravin</t>
  </si>
  <si>
    <t>Koření, načatá balení potravin</t>
  </si>
  <si>
    <t>Koření</t>
  </si>
  <si>
    <t>Láhve, prkýnka na krájení</t>
  </si>
  <si>
    <t>Láhve (oleje, octy)</t>
  </si>
  <si>
    <t>Formy, plechy na pečení</t>
  </si>
  <si>
    <t>Nahoru</t>
  </si>
  <si>
    <t xml:space="preserve"> Výběr doplňků</t>
  </si>
  <si>
    <t>Výběr SERVO-DRIVE</t>
  </si>
  <si>
    <t>Bočnice N 500mm, nerez</t>
  </si>
  <si>
    <t>OG-M</t>
  </si>
  <si>
    <t>SW-M</t>
  </si>
  <si>
    <t>770N5002S</t>
  </si>
  <si>
    <t>770N5002I</t>
  </si>
  <si>
    <t>Bočnice M 500mm, nerez</t>
  </si>
  <si>
    <t>770M5002S</t>
  </si>
  <si>
    <t>770M5002I</t>
  </si>
  <si>
    <t>Bočnice K 500mm, nerez</t>
  </si>
  <si>
    <t>770K5002I</t>
  </si>
  <si>
    <t>770K5002S</t>
  </si>
  <si>
    <t>770C5002S</t>
  </si>
  <si>
    <t>770C5002I</t>
  </si>
  <si>
    <t>Bočnice F 500mm, nerez</t>
  </si>
  <si>
    <t>770F5002S</t>
  </si>
  <si>
    <t>770F5002I</t>
  </si>
  <si>
    <t>Bočnice M 450mm, nerez</t>
  </si>
  <si>
    <t>770M4502S</t>
  </si>
  <si>
    <t>770M4502I</t>
  </si>
  <si>
    <t>Bočnice M 400mm, nerez</t>
  </si>
  <si>
    <t>Korpusové lišty TIP-ON, 500mm, 40kg</t>
  </si>
  <si>
    <t>Korpusové lišty TIP-ON, 500mm, 70kg</t>
  </si>
  <si>
    <t>Korpusové lišty TIP-ON, 400mm, 40kg</t>
  </si>
  <si>
    <t>Korpusové lišty TIP-ON, 450mm, 40kg</t>
  </si>
  <si>
    <t>TIP-ON synchronizace, sada pastorků</t>
  </si>
  <si>
    <t>TIP-ON synchronizace, tyč ke zkrácení</t>
  </si>
  <si>
    <t>Boční stabilizace, sada NL 250-400mm</t>
  </si>
  <si>
    <t>Boční stabilizace, sada NL 450-600mm</t>
  </si>
  <si>
    <t>Držáky zadní stěny N, niklované</t>
  </si>
  <si>
    <t>Držáky zadní stěny M, niklované</t>
  </si>
  <si>
    <t>Držáky zadní stěny K, niklované</t>
  </si>
  <si>
    <t>Držáky zadní stěny C, niklované</t>
  </si>
  <si>
    <t>Držáky zadní stěny F, niklované</t>
  </si>
  <si>
    <t>Čelní kování N, EXPANDO</t>
  </si>
  <si>
    <t>Čelní kování N, na vruty</t>
  </si>
  <si>
    <t>ZF7N70E2</t>
  </si>
  <si>
    <t>ZF7N7002</t>
  </si>
  <si>
    <t>ZB7N000S</t>
  </si>
  <si>
    <t>ZB7M000S</t>
  </si>
  <si>
    <t>ZB7K000S</t>
  </si>
  <si>
    <t>ZB7C000S</t>
  </si>
  <si>
    <t>ZB7F000S</t>
  </si>
  <si>
    <t>Čelní kování M, EXPANDO</t>
  </si>
  <si>
    <t>Čelní kování M, na vruty</t>
  </si>
  <si>
    <t>ZF7M70E2</t>
  </si>
  <si>
    <t>ZF7M7002</t>
  </si>
  <si>
    <t>Čelní kování K, na vruty</t>
  </si>
  <si>
    <t>ZF7K70E2</t>
  </si>
  <si>
    <t>ZF7K7002</t>
  </si>
  <si>
    <t>Čelní kování C, EXPANDO</t>
  </si>
  <si>
    <t>Čelní kování C, na vruty</t>
  </si>
  <si>
    <t>ZF7C70E2</t>
  </si>
  <si>
    <t>ZF7C7002</t>
  </si>
  <si>
    <t>Sada kování vnitřní zásuvky M, hedvábně bílá</t>
  </si>
  <si>
    <t>Sada kování vnitřní zásuvky M, nerez</t>
  </si>
  <si>
    <t>ZI7.0MS0</t>
  </si>
  <si>
    <t>ZI7.0MI0</t>
  </si>
  <si>
    <t>TS-M</t>
  </si>
  <si>
    <t>Sada kování vnitř.výs. C, se zás.prvkem, hedv.bílá</t>
  </si>
  <si>
    <t>Sada kování vnitř.výs. C, se zás.prvkem, nerez</t>
  </si>
  <si>
    <t>ZI7.2CS0</t>
  </si>
  <si>
    <t>ZI7.2CI0</t>
  </si>
  <si>
    <t>ZI7.3CS0</t>
  </si>
  <si>
    <t>ZI7.3CI0</t>
  </si>
  <si>
    <t>Přední díl vnitřní zásuvky, s drážkou, matný nikl</t>
  </si>
  <si>
    <t>Přední díl vnitřní zásuvky, bez drážky, matný nikl</t>
  </si>
  <si>
    <t>NI-M</t>
  </si>
  <si>
    <t>ZV7.1043MN1</t>
  </si>
  <si>
    <t>ZV7.1043C01</t>
  </si>
  <si>
    <t>Sada kování vnitř.výs. C, se zás.prvkem, Orion šedá</t>
  </si>
  <si>
    <t>Sada kování vnitřní zásuvky M, Orion šedá</t>
  </si>
  <si>
    <t>ZI7.0M07</t>
  </si>
  <si>
    <t>ZE7W332G</t>
  </si>
  <si>
    <t>ZE7W782G</t>
  </si>
  <si>
    <t>ZE7W1082G</t>
  </si>
  <si>
    <t>ZE7V332G</t>
  </si>
  <si>
    <t>ZE7V782G</t>
  </si>
  <si>
    <t>ZE7V1082G</t>
  </si>
  <si>
    <t>Příčný reling vnitřní zásuvky, matný nikl</t>
  </si>
  <si>
    <t>ZC7S500BS3</t>
  </si>
  <si>
    <t>SW-M/OG</t>
  </si>
  <si>
    <t>ZC7S500BH3</t>
  </si>
  <si>
    <t>E02G</t>
  </si>
  <si>
    <t>E01S</t>
  </si>
  <si>
    <t>N01T</t>
  </si>
  <si>
    <t>přední reling</t>
  </si>
  <si>
    <t>C</t>
  </si>
  <si>
    <t>F</t>
  </si>
  <si>
    <t>C/M</t>
  </si>
  <si>
    <t>104 mm</t>
  </si>
  <si>
    <t>193 mm</t>
  </si>
  <si>
    <t>191 mm</t>
  </si>
  <si>
    <t>257 mm</t>
  </si>
  <si>
    <t>80 mm</t>
  </si>
  <si>
    <t>144 mm</t>
  </si>
  <si>
    <t>Výběr AMBIA-LINE</t>
  </si>
  <si>
    <t>Orion šedá</t>
  </si>
  <si>
    <t>nízký</t>
  </si>
  <si>
    <t>vysoký</t>
  </si>
  <si>
    <t>Design ocel</t>
  </si>
  <si>
    <t>Design dřevo</t>
  </si>
  <si>
    <t>750.5001T</t>
  </si>
  <si>
    <t>753.5001T</t>
  </si>
  <si>
    <t>750.4001T</t>
  </si>
  <si>
    <t>750.4501T</t>
  </si>
  <si>
    <t>Inox</t>
  </si>
  <si>
    <t xml:space="preserve">Terra černá </t>
  </si>
  <si>
    <t>Sada kování vnitř.výs. C, s relingem, Orion šedá</t>
  </si>
  <si>
    <t>Sada kování vnitř.výs. C, s relingem, hedv.bílá</t>
  </si>
  <si>
    <t>Sada kování vnitř.výs. C, s relingem, nerez</t>
  </si>
  <si>
    <t>7N 400T</t>
  </si>
  <si>
    <t>7N 400B</t>
  </si>
  <si>
    <t>40 kg</t>
  </si>
  <si>
    <t>70 kg</t>
  </si>
  <si>
    <t>BLUMOTION</t>
  </si>
  <si>
    <t>7M 400B</t>
  </si>
  <si>
    <t>7M 700B</t>
  </si>
  <si>
    <t>7M 400T</t>
  </si>
  <si>
    <t>7K 400B</t>
  </si>
  <si>
    <t>7K 700B</t>
  </si>
  <si>
    <t>7K 400T</t>
  </si>
  <si>
    <t>7M 40VB</t>
  </si>
  <si>
    <t>7M 70VB</t>
  </si>
  <si>
    <t>7M 40VT</t>
  </si>
  <si>
    <t>7M 70VT</t>
  </si>
  <si>
    <t>7K 700T</t>
  </si>
  <si>
    <t>7M 700T</t>
  </si>
  <si>
    <t>KLA</t>
  </si>
  <si>
    <t>7C 410B</t>
  </si>
  <si>
    <t>7C 710B</t>
  </si>
  <si>
    <t>7C 410T</t>
  </si>
  <si>
    <t>7C 710T</t>
  </si>
  <si>
    <t>7C 442B</t>
  </si>
  <si>
    <t>7C 742B</t>
  </si>
  <si>
    <t>ZC7S500RS1</t>
  </si>
  <si>
    <t>ZC7S500RS2</t>
  </si>
  <si>
    <t>ZC7S300RSU</t>
  </si>
  <si>
    <t>ZC7A0U0M</t>
  </si>
  <si>
    <t>Adaptér pro dřevěná záda M, Terra černý</t>
  </si>
  <si>
    <t>Adaptér pro dřevěná záda K, Terra černý</t>
  </si>
  <si>
    <t>ZC7F300RSU</t>
  </si>
  <si>
    <t>ZC7Q0U0SS</t>
  </si>
  <si>
    <t>ZC7Q0U0FS</t>
  </si>
  <si>
    <t>Adaptér pro dřevěná záda C, Terra černý</t>
  </si>
  <si>
    <t>Adaptér pro dřevěná záda, š.242mm, Terra černý</t>
  </si>
  <si>
    <t>ZC7A0U0C</t>
  </si>
  <si>
    <t>ZC7A0P0C</t>
  </si>
  <si>
    <t>Adaptér pro dřevěná záda F, Terra černý</t>
  </si>
  <si>
    <t>ZC7A0P0F</t>
  </si>
  <si>
    <t>ZC7Q0P0FS</t>
  </si>
  <si>
    <t xml:space="preserve">   AMBIA-LINE pro zásuvky, kovový design</t>
  </si>
  <si>
    <t xml:space="preserve">  AMBIA-LINE pro čelní výsuvy, kovový design</t>
  </si>
  <si>
    <t xml:space="preserve">   AMBIA-LINE pro zásuvky, dřevěný design</t>
  </si>
  <si>
    <t>ZC7S500RH1</t>
  </si>
  <si>
    <t>ZC7S500RH2</t>
  </si>
  <si>
    <t>ZC7Q010SS</t>
  </si>
  <si>
    <t>ZC7Q020SS</t>
  </si>
  <si>
    <t>Samostatná příčka, 50/100mm, Orion šedá</t>
  </si>
  <si>
    <t>Samostatná příčka, 50/100mm, hedvábně bílá</t>
  </si>
  <si>
    <t>Samostatná příčka, 50/100mm, Terra černá</t>
  </si>
  <si>
    <t>Samostatná příčka, 50/200mm, Orion šedá</t>
  </si>
  <si>
    <t>Samostatná příčka, 50/200mm, hedvábně bílá</t>
  </si>
  <si>
    <t>Samostatná příčka, 50/200mm, Terra černá</t>
  </si>
  <si>
    <t>Samostatná příčka, 50/242mm, Orion šedá</t>
  </si>
  <si>
    <t>Samostatná příčka, 50/242mm, hedvábně bílá</t>
  </si>
  <si>
    <t>Samostatná příčka, 50/242mm, Terra černá</t>
  </si>
  <si>
    <t>Samostatná příčka, 50/100mm, Nebraska dub</t>
  </si>
  <si>
    <t>Samostatná příčka, 50/100mm, Bardolino dub</t>
  </si>
  <si>
    <t>Samostatná příčka, 50/100mm, Tennessee ořech</t>
  </si>
  <si>
    <t>ZC7Q010SH</t>
  </si>
  <si>
    <t>ZC7Q020SH</t>
  </si>
  <si>
    <t>ZC7S300RHU</t>
  </si>
  <si>
    <t>Zásuvkové rámečky, od 270mm, Nebraska/OG-M</t>
  </si>
  <si>
    <t>Zásuvkové rámečky, od 270mm, Bardolino/SW-M</t>
  </si>
  <si>
    <t>Zásuvkové rámečky, od 270mm, Tennessee/TS-M</t>
  </si>
  <si>
    <t>Samostatná příčka, 50/242mm, Nebraska dub</t>
  </si>
  <si>
    <t>Samostatná příčka, 50/242mm, Bardolino dub</t>
  </si>
  <si>
    <t>Samostatná příčka, 50/242mm, Tennessee ořech</t>
  </si>
  <si>
    <t>ZC7Q0U0SH</t>
  </si>
  <si>
    <t>Rámečky pro výsuvy, od 270mm, Nebraska/OG-M</t>
  </si>
  <si>
    <t>Rámečky pro výsuvy, od 270mm, Bardolino/SW-M</t>
  </si>
  <si>
    <t>Rámečky pro výsuvy, od 270mm, Tennessee/TS-M</t>
  </si>
  <si>
    <t xml:space="preserve">   AMBIA-LINE pro čelní výsuvy, dřevěný design</t>
  </si>
  <si>
    <t>Samostatná příčka, 100/242mm, Nebraska dub</t>
  </si>
  <si>
    <t>Samostatná příčka, 100/242mm, Bardolino dub</t>
  </si>
  <si>
    <t>Samostatná příčka, 100/242mm, Tennessee ořech</t>
  </si>
  <si>
    <t>Rámečky pro výsuvy, od 400mm, Nebraska/OG-M</t>
  </si>
  <si>
    <t>Rámečky pro výsuvy, od 400mm, Bardolino/SW-M</t>
  </si>
  <si>
    <t>Rámečky pro výsuvy, od 400mm, Tennessee/TS-M</t>
  </si>
  <si>
    <t>ZC7F300RHU</t>
  </si>
  <si>
    <t>ZC7Q0U0FH</t>
  </si>
  <si>
    <t>ZC7Q0P0SH</t>
  </si>
  <si>
    <t>Samostatná příčka, 100/218mm, Nebraska dub</t>
  </si>
  <si>
    <t>Samostatná příčka, 100/218mm, Bardolino dub</t>
  </si>
  <si>
    <t>Samostatná příčka, 100/218mm, Tennessee ořech</t>
  </si>
  <si>
    <t>ZC7M0200</t>
  </si>
  <si>
    <t>Stojánek na kořenky</t>
  </si>
  <si>
    <t>ZC7G0P0I</t>
  </si>
  <si>
    <t>Řezačka na potravinové folie, s folií</t>
  </si>
  <si>
    <t>ZC7C000</t>
  </si>
  <si>
    <t>ZC7C001</t>
  </si>
  <si>
    <t>ZC7T0350</t>
  </si>
  <si>
    <t>270 mm</t>
  </si>
  <si>
    <t>350 mm</t>
  </si>
  <si>
    <t>400 mm</t>
  </si>
  <si>
    <t>500 mm</t>
  </si>
  <si>
    <t>550 mm</t>
  </si>
  <si>
    <t>cena kování</t>
  </si>
  <si>
    <t>Korpusové lišty TIP-ON, 270mm, 40kg</t>
  </si>
  <si>
    <t>Korpusové lišty TIP-ON, 300mm, 40kg</t>
  </si>
  <si>
    <t>Korpusové lišty TIP-ON, 350mm, 40kg</t>
  </si>
  <si>
    <t>Korpusové lišty TIP-ON, 450mm, 70kg</t>
  </si>
  <si>
    <t>Korpusové lišty TIP-ON, 550mm, 70kg</t>
  </si>
  <si>
    <t>Korpusové lišty TIP-ON, 600mm, 40kg</t>
  </si>
  <si>
    <t>Korpusové lišty TIP-ON, 600mm, 70kg</t>
  </si>
  <si>
    <t>Bočnice N 450mm, nerez</t>
  </si>
  <si>
    <t>Bočnice M 270mm, nerez</t>
  </si>
  <si>
    <t>Bočnice M 300mm, nerez</t>
  </si>
  <si>
    <t>Bočnice M 350mm, nerez</t>
  </si>
  <si>
    <t>770M2702S</t>
  </si>
  <si>
    <t>770M2702I</t>
  </si>
  <si>
    <t>770M3002S</t>
  </si>
  <si>
    <t>770M3002I</t>
  </si>
  <si>
    <t>770M3502S</t>
  </si>
  <si>
    <t>770M3502I</t>
  </si>
  <si>
    <t>770M4002S</t>
  </si>
  <si>
    <t>770M4002I</t>
  </si>
  <si>
    <t>Bočnice M 550mm, nerez</t>
  </si>
  <si>
    <t>770M5502S</t>
  </si>
  <si>
    <t>770M5502I</t>
  </si>
  <si>
    <t>Bočnice M 600mm, nerez</t>
  </si>
  <si>
    <t>770M6002S</t>
  </si>
  <si>
    <t>770M6002I</t>
  </si>
  <si>
    <t>Bočnice K 350mm, nerez</t>
  </si>
  <si>
    <t>Bočnice K 400mm, nerez</t>
  </si>
  <si>
    <t>Bočnice K 450mm, nerez</t>
  </si>
  <si>
    <t>Bočnice K 550mm, nerez</t>
  </si>
  <si>
    <t>770K5502S</t>
  </si>
  <si>
    <t>770K5502I</t>
  </si>
  <si>
    <t>770C2702S</t>
  </si>
  <si>
    <t>770C2702I</t>
  </si>
  <si>
    <t>770C3002S</t>
  </si>
  <si>
    <t>770C3002I</t>
  </si>
  <si>
    <t>770C3502S</t>
  </si>
  <si>
    <t>770C3502I</t>
  </si>
  <si>
    <t>770C4002S</t>
  </si>
  <si>
    <t>770C4002I</t>
  </si>
  <si>
    <t>770C4502S</t>
  </si>
  <si>
    <t>770C4502I</t>
  </si>
  <si>
    <t>770C5502S</t>
  </si>
  <si>
    <t>Bočnice F 450mm, nerez</t>
  </si>
  <si>
    <t>Bočnice F 550mm, nerez</t>
  </si>
  <si>
    <t>Bočnice F 600mm, nerez</t>
  </si>
  <si>
    <t>770F4502S</t>
  </si>
  <si>
    <t>770F4502I</t>
  </si>
  <si>
    <t>770F5502S</t>
  </si>
  <si>
    <t>Korpusové lišty TIP-ON, 550mm, 40kg</t>
  </si>
  <si>
    <t>750.2701T</t>
  </si>
  <si>
    <t>750.3001T</t>
  </si>
  <si>
    <t>750.3501T</t>
  </si>
  <si>
    <t>753.4501T</t>
  </si>
  <si>
    <t>Příborník, 500mm, Terra černý</t>
  </si>
  <si>
    <t>Příborník, 500mm, Nebraska dub/OG-M</t>
  </si>
  <si>
    <t>Příborník, 500mm, Bardolino dub/SW-M</t>
  </si>
  <si>
    <t>Příborník, 500mm, Tennessee ořech/TS-M</t>
  </si>
  <si>
    <t>Příborník, 450mm, Nebraska dub/OG-M</t>
  </si>
  <si>
    <t>Příborník, 450mm, Bardolino dub/SW-M</t>
  </si>
  <si>
    <t>Příborník, 450mm, Tennessee ořech/TS-M</t>
  </si>
  <si>
    <t>ZC7S450BH3</t>
  </si>
  <si>
    <t>Příborník, 550mm, Nebraska dub/OG-M</t>
  </si>
  <si>
    <t>Příborník, 550mm, Bardolino dub/SW-M</t>
  </si>
  <si>
    <t>Příborník, 550mm, Tennessee ořech/TS-M</t>
  </si>
  <si>
    <t>Příborník, 600mm, Nebraska dub/OG-M</t>
  </si>
  <si>
    <t>Příborník, 600mm, Bardolino dub/SW-M</t>
  </si>
  <si>
    <t>Příborník, 600mm, Tennessee ořech/TS-M</t>
  </si>
  <si>
    <t>ZC7S550BH3</t>
  </si>
  <si>
    <t>ZC7S600BH3</t>
  </si>
  <si>
    <t>ZC7S450RH1</t>
  </si>
  <si>
    <t>ZC7S450RH2</t>
  </si>
  <si>
    <t>ZC7S550RH2</t>
  </si>
  <si>
    <t>ZC7S600RH2</t>
  </si>
  <si>
    <t>Zás.rámečky úzké, 450mm, Nebraska dub/OG-M</t>
  </si>
  <si>
    <t>Zás.rámečky úzké, 500mm, Nebraska dub/OG-M</t>
  </si>
  <si>
    <t>Zás.rámečky úzké, 450mm, Bardolino dub/SW-M</t>
  </si>
  <si>
    <t>Zás.rámečky úzké, 450mm, Tennessee oř./TS-M</t>
  </si>
  <si>
    <t>Zás.rámečky úzké, 500mm, Bardolino dub/SW-M</t>
  </si>
  <si>
    <t>Zás.rámečky úzké, 500mm, Tennessee oř./TS-M</t>
  </si>
  <si>
    <t>Zás.rámečky úzké, 550mm, Nebraska dub/OG-M</t>
  </si>
  <si>
    <t>Zás.rámečky úzké, 550mm, Bardolino dub/SW-M</t>
  </si>
  <si>
    <t>Zás.rámečky úzké, 550mm, Tennessee oř./TS-M</t>
  </si>
  <si>
    <t>Zás.rámečky úzké, 600mm, Nebraska dub/OG-M</t>
  </si>
  <si>
    <t>Zás.rámečky úzké, 600mm, Bardolino dub/SW-M</t>
  </si>
  <si>
    <t>Zás.rámečky úzké, 600mm, Tennessee oř./TS-M</t>
  </si>
  <si>
    <t>Zás.rámečky široké, 450mm, Nebraska dub/OG-M</t>
  </si>
  <si>
    <t>Zás.rámečky široké, 450mm, Bardolino dub/SW-M</t>
  </si>
  <si>
    <t>Zás.rámečky široké, 450mm, Tennessee oř./TS-M</t>
  </si>
  <si>
    <t>Zás.rámečky široké, 500mm, Nebraska dub/OG-M</t>
  </si>
  <si>
    <t>Zás.rámečky široké, 500mm, Bardolino dub/SW-M</t>
  </si>
  <si>
    <t>Zás.rámečky široké, 500mm, Tennessee oř./TS-M</t>
  </si>
  <si>
    <t>Zás.rámečky široké, 550mm, Nebraska dub/OG-M</t>
  </si>
  <si>
    <t>Zás.rámečky široké, 550mm, Bardolino dub/SW-M</t>
  </si>
  <si>
    <t>Zás.rámečky široké, 550mm, Tennessee oř./TS-M</t>
  </si>
  <si>
    <t>Zás.rámečky široké, 600mm, Nebraska dub/OG-M</t>
  </si>
  <si>
    <t>Zás.rámečky široké, 600mm, Bardolino dub/SW-M</t>
  </si>
  <si>
    <t>Zás.rámečky široké, 600mm, Tennessee oř./TS-M</t>
  </si>
  <si>
    <t>Příborník, 450mm, Terra černý</t>
  </si>
  <si>
    <t>ZC7S450BS3</t>
  </si>
  <si>
    <t>Příborník, 550mm, Terra černý</t>
  </si>
  <si>
    <t>Příborník, 600mm, Terra černý</t>
  </si>
  <si>
    <t>ZC7S550BS3</t>
  </si>
  <si>
    <t>ZC7S600BS3</t>
  </si>
  <si>
    <t>ZC7S450RS1</t>
  </si>
  <si>
    <t>ZC7S600RS1</t>
  </si>
  <si>
    <t>ZC7S550RS1</t>
  </si>
  <si>
    <t>ZC7S450RS2</t>
  </si>
  <si>
    <t>ZC7S600RS2</t>
  </si>
  <si>
    <t>ZC7S550RS2</t>
  </si>
  <si>
    <t>Řezačka na potravinové folie, bez folie</t>
  </si>
  <si>
    <t xml:space="preserve">  AMBIA-LINE pomůcky do kuchyně</t>
  </si>
  <si>
    <t>Samostatná příčka, 50/200mm, Nebraska dub</t>
  </si>
  <si>
    <t>Samostatná příčka, 50/200mm, Bardolino dub</t>
  </si>
  <si>
    <t>Samostatná příčka, 50/200mm, Tennessee ořech</t>
  </si>
  <si>
    <t>900 mm</t>
  </si>
  <si>
    <t>1200 mm</t>
  </si>
  <si>
    <t>Celkový počet ks</t>
  </si>
  <si>
    <t>770N4502S</t>
  </si>
  <si>
    <t>770N4502I</t>
  </si>
  <si>
    <t>750.5501T</t>
  </si>
  <si>
    <t>753.5501T</t>
  </si>
  <si>
    <t>750.6001T</t>
  </si>
  <si>
    <t>753.6001T</t>
  </si>
  <si>
    <t>7C 41VB</t>
  </si>
  <si>
    <t>7C 71VB</t>
  </si>
  <si>
    <t>7C 41VT</t>
  </si>
  <si>
    <t>7C 71VT</t>
  </si>
  <si>
    <t>7N400P</t>
  </si>
  <si>
    <t>7M400P</t>
  </si>
  <si>
    <t>7K400P</t>
  </si>
  <si>
    <t>7M40VP</t>
  </si>
  <si>
    <t>7F410P</t>
  </si>
  <si>
    <t>7C410P</t>
  </si>
  <si>
    <t>770K3502S</t>
  </si>
  <si>
    <t>770K3502I</t>
  </si>
  <si>
    <t>770K4002S</t>
  </si>
  <si>
    <t>770K4002I</t>
  </si>
  <si>
    <t>770K4502S</t>
  </si>
  <si>
    <t>770K4502I</t>
  </si>
  <si>
    <t>7C 41NB</t>
  </si>
  <si>
    <t>7C 71NB</t>
  </si>
  <si>
    <t>7C 41NT</t>
  </si>
  <si>
    <t>7C 71NT</t>
  </si>
  <si>
    <t>7C 41RB</t>
  </si>
  <si>
    <t>7C 71RB</t>
  </si>
  <si>
    <t>7C 41RT</t>
  </si>
  <si>
    <t>7C 71RT</t>
  </si>
  <si>
    <t>šířka</t>
  </si>
  <si>
    <t>výška</t>
  </si>
  <si>
    <t xml:space="preserve">  Příslušenství</t>
  </si>
  <si>
    <t>Upevňovací šrouby s plochou hlavou 4x15mm</t>
  </si>
  <si>
    <t>61D.1500</t>
  </si>
  <si>
    <t>Podložka CLIP top přímá, ocel.</t>
  </si>
  <si>
    <t>Podložka CLIP top přímá, ocel., EXPANDO</t>
  </si>
  <si>
    <t>770F5502I</t>
  </si>
  <si>
    <t>770F6002S</t>
  </si>
  <si>
    <t>770F6002I</t>
  </si>
  <si>
    <t>ZE7W482G</t>
  </si>
  <si>
    <t>ZE7V482G</t>
  </si>
  <si>
    <t>ZR7.1080U</t>
  </si>
  <si>
    <t>770C5502I</t>
  </si>
  <si>
    <t>770C6002S</t>
  </si>
  <si>
    <t>770C6002I</t>
  </si>
  <si>
    <t>ELN2</t>
  </si>
  <si>
    <t>ZC7A0U0K</t>
  </si>
  <si>
    <t>ZC7F400RSP</t>
  </si>
  <si>
    <t>ZC7F400RHP</t>
  </si>
  <si>
    <t>ZC7S400RHP</t>
  </si>
  <si>
    <t>ZC7S550RH1</t>
  </si>
  <si>
    <t>ZC7S600RH1</t>
  </si>
  <si>
    <t>Samostatná příčka,110/242mm, Orion šedá</t>
  </si>
  <si>
    <t>Samostatná příčka,110/242mm, hedvábně bílá</t>
  </si>
  <si>
    <t>Samostatná příčka,110/242mm, Terra černá</t>
  </si>
  <si>
    <t>Samostatná příčka,110/218mm, Orion šedá</t>
  </si>
  <si>
    <t>Samostatná příčka,110/218mm, hedvábně bílá</t>
  </si>
  <si>
    <t>Samostatná příčka,110/218mm, Terra černá</t>
  </si>
  <si>
    <t>Jmenovitá délka</t>
  </si>
  <si>
    <t>Korpusové lišty</t>
  </si>
  <si>
    <t>Počet skříní</t>
  </si>
  <si>
    <t>Nastavené počty korpusových lišt</t>
  </si>
  <si>
    <t>4 ks*</t>
  </si>
  <si>
    <t>1 ks*</t>
  </si>
  <si>
    <t>Bočnice nahoře</t>
  </si>
  <si>
    <t>Bočnice dole</t>
  </si>
  <si>
    <t>M,K,C</t>
  </si>
  <si>
    <t>M,C</t>
  </si>
  <si>
    <t>Zadejte bočnici pro horní zásuvku - viz možnosti</t>
  </si>
  <si>
    <t>možnosti</t>
  </si>
  <si>
    <t>Výšku bočnic pro horní zásuvku lze změnit</t>
  </si>
  <si>
    <t>7M 442B</t>
  </si>
  <si>
    <t>7M 742B</t>
  </si>
  <si>
    <t>C, M</t>
  </si>
  <si>
    <t>Příborníky</t>
  </si>
  <si>
    <t>Zásuvkové rámečky</t>
  </si>
  <si>
    <t>Rámečky pro čelní výsuv</t>
  </si>
  <si>
    <t>Adaptér pro zadní stěnu</t>
  </si>
  <si>
    <t>Rámečky pro čelní výsuv pro jmenovitu délku od</t>
  </si>
  <si>
    <t xml:space="preserve">Zásuvkové rámečky pro jmenovitou délku od </t>
  </si>
  <si>
    <t>Samostatné příčky - viz Výběr doplňků</t>
  </si>
  <si>
    <t>Řezačka potravinové folie</t>
  </si>
  <si>
    <t>délka</t>
  </si>
  <si>
    <t>Pro zásuvku</t>
  </si>
  <si>
    <t>Pro čení výsuv</t>
  </si>
  <si>
    <t>od jmenovité délky</t>
  </si>
  <si>
    <t>s fólií</t>
  </si>
  <si>
    <t>bez fólie</t>
  </si>
  <si>
    <t>Torxový šroubovák, T20</t>
  </si>
  <si>
    <t>209.093.7</t>
  </si>
  <si>
    <t>7C442P</t>
  </si>
  <si>
    <t>7M442P</t>
  </si>
  <si>
    <t>7STCGP</t>
  </si>
  <si>
    <t>7STCRP</t>
  </si>
  <si>
    <t>7STMGP</t>
  </si>
  <si>
    <t>7STMRP</t>
  </si>
  <si>
    <t>ALds</t>
  </si>
  <si>
    <t>Alpos</t>
  </si>
  <si>
    <t>Aldw</t>
  </si>
  <si>
    <t>Alpow</t>
  </si>
  <si>
    <t>Alkh</t>
  </si>
  <si>
    <t>Acs</t>
  </si>
  <si>
    <t>SD</t>
  </si>
  <si>
    <t>7ST MGP</t>
  </si>
  <si>
    <t>7ST MRP</t>
  </si>
  <si>
    <t>Máte-li zásuvné prvky vlastní, počty nezadávejte</t>
  </si>
  <si>
    <t>Pozor!</t>
  </si>
  <si>
    <t>Zadejte zásuvné prvky</t>
  </si>
  <si>
    <t>Nutno ověřit dostupnost</t>
  </si>
  <si>
    <t>Ověřte dostupnost u svého dodavatele</t>
  </si>
  <si>
    <t>!</t>
  </si>
  <si>
    <t>Dostupnost</t>
  </si>
  <si>
    <t>Availability</t>
  </si>
  <si>
    <t>Objednávka obsahuje artikly s omezenou dostupností</t>
  </si>
  <si>
    <t>Nebraska dub/OG-M</t>
  </si>
  <si>
    <t>Bardolino dub/SW-M</t>
  </si>
  <si>
    <t>Tennessee ořech/TS-M</t>
  </si>
  <si>
    <t>M/C</t>
  </si>
  <si>
    <t>Vybráno celkem</t>
  </si>
  <si>
    <t>zásuvek a výsuvů</t>
  </si>
  <si>
    <t>potravinových skříní</t>
  </si>
  <si>
    <t>prvků AMBIA-LINE</t>
  </si>
  <si>
    <t>Adaptér je nutný pro připojení rámečku k dřevěné zadní stěně</t>
  </si>
  <si>
    <t>Jen pro rámeček</t>
  </si>
  <si>
    <t>650 mm</t>
  </si>
  <si>
    <t>pure</t>
  </si>
  <si>
    <t>free</t>
  </si>
  <si>
    <t>7C 410F</t>
  </si>
  <si>
    <t>7C 442F</t>
  </si>
  <si>
    <t>7C 41VF</t>
  </si>
  <si>
    <t>7C 41NF</t>
  </si>
  <si>
    <t>7C 31RF</t>
  </si>
  <si>
    <t>7C M42P</t>
  </si>
  <si>
    <t>7C M42F</t>
  </si>
  <si>
    <t>7ST CRF</t>
  </si>
  <si>
    <t>7ST CGF</t>
  </si>
  <si>
    <t>7ST MGF</t>
  </si>
  <si>
    <t>7ST MRF</t>
  </si>
  <si>
    <t>Bočnice F 650mm, nerez</t>
  </si>
  <si>
    <t>770F6502S</t>
  </si>
  <si>
    <t>770F6502I</t>
  </si>
  <si>
    <t>770C6502S</t>
  </si>
  <si>
    <t>770C6502I</t>
  </si>
  <si>
    <t>770M6502S</t>
  </si>
  <si>
    <t>770M6502I</t>
  </si>
  <si>
    <t>Korpusové lišty TIP-ON, 650mm, 70kg</t>
  </si>
  <si>
    <t>753.6501T</t>
  </si>
  <si>
    <t>Bočnice C pure, 270mm, nerez</t>
  </si>
  <si>
    <t>Bočnice C pure, 300mm, nerez</t>
  </si>
  <si>
    <t>Bočnice C pure, 350mm, nerez</t>
  </si>
  <si>
    <t>Bočnice C pure, 400mm, nerez</t>
  </si>
  <si>
    <t>Bočnice C pure, 450mm, nerez</t>
  </si>
  <si>
    <t>Bočnice C pure, 500mm, nerez</t>
  </si>
  <si>
    <t>Bočnice C pure, 550mm, nerez</t>
  </si>
  <si>
    <t>Bočnice C pure, 600mm, nerez</t>
  </si>
  <si>
    <t>Bočnice C pure, 650mm, nerez</t>
  </si>
  <si>
    <t>Bočnice C free, 350mm, nerez</t>
  </si>
  <si>
    <t>Bočnice C free, 400mm, nerez</t>
  </si>
  <si>
    <t>Bočnice C free, 450mm, nerez</t>
  </si>
  <si>
    <t>Bočnice C free, 500mm, nerez</t>
  </si>
  <si>
    <t>Bočnice C free, 550mm, nerez</t>
  </si>
  <si>
    <t>Bočnice C free, 600mm, nerez</t>
  </si>
  <si>
    <t>Bočnice C free, 650mm, nerez</t>
  </si>
  <si>
    <t>Transportní pojistka</t>
  </si>
  <si>
    <t>780C0009</t>
  </si>
  <si>
    <t>Boční zásuvné prvky, sklo, pro 350 mm</t>
  </si>
  <si>
    <t>Boční zásuvné prvky, sklo, pro 400 mm</t>
  </si>
  <si>
    <t>Boční zásuvné prvky, sklo, pro 450 mm</t>
  </si>
  <si>
    <t>Boční zásuvné prvky, sklo, pro 500 mm</t>
  </si>
  <si>
    <t>Boční zásuvné prvky, sklo, pro 550 mm</t>
  </si>
  <si>
    <t>Boční zásuvné prvky, sklo, pro 600 mm</t>
  </si>
  <si>
    <t>Boční zásuvné prvky, sklo, pro 650 mm</t>
  </si>
  <si>
    <t>ZE7S238G</t>
  </si>
  <si>
    <t>ZE7S288G</t>
  </si>
  <si>
    <t>ZE7S438G</t>
  </si>
  <si>
    <t>ZE7S488G</t>
  </si>
  <si>
    <t>ZE7S538G</t>
  </si>
  <si>
    <t>ZC7U10E0</t>
  </si>
  <si>
    <t>ZC7U11E0</t>
  </si>
  <si>
    <t>ZC7U10F0</t>
  </si>
  <si>
    <t>Korpusové lišty TIP-ON BLUMOTION, 270mm, 40kg</t>
  </si>
  <si>
    <t>Korpusové lišty TIP-ON BLUMOTION, 300mm, 40kg</t>
  </si>
  <si>
    <t>Korpusové lišty TIP-ON BLUMOTION, 350mm, 40kg</t>
  </si>
  <si>
    <t>Korpusové lišty TIP-ON BLUMOTION, 400mm, 40kg</t>
  </si>
  <si>
    <t>Korpusové lišty TIP-ON BLUMOTION, 450mm, 40kg</t>
  </si>
  <si>
    <t>Korpusové lišty TIP-ON BLUMOTION, 450mm, 70kg</t>
  </si>
  <si>
    <t>Korpusové lišty TIP-ON BLUMOTION, 500mm, 40kg</t>
  </si>
  <si>
    <t>Korpusové lišty TIP-ON BLUMOTION, 500mm, 70kg</t>
  </si>
  <si>
    <t>Korpusové lišty TIP-ON BLUMOTION, 550mm, 40kg</t>
  </si>
  <si>
    <t>Korpusové lišty TIP-ON BLUMOTION, 550mm, 70kg</t>
  </si>
  <si>
    <t>Korpusové lišty TIP-ON BLUMOTION, 600mm, 40kg</t>
  </si>
  <si>
    <t>Korpusové lišty TIP-ON BLUMOTION, 600mm, 70kg</t>
  </si>
  <si>
    <t>Korpusové lišty TIP-ON BLUMOTION, 650mm, 70kg</t>
  </si>
  <si>
    <t>Sada jednotek TIP-ON BLUMOTION, S1</t>
  </si>
  <si>
    <t>750.3001M</t>
  </si>
  <si>
    <t>750.3501M</t>
  </si>
  <si>
    <t>750.4001M</t>
  </si>
  <si>
    <t>750.4501M</t>
  </si>
  <si>
    <t>753.4501M</t>
  </si>
  <si>
    <t>750.5001M</t>
  </si>
  <si>
    <t>753.5001M</t>
  </si>
  <si>
    <t>750.5501M</t>
  </si>
  <si>
    <t>753.5501M</t>
  </si>
  <si>
    <t>750.6001M</t>
  </si>
  <si>
    <t>753.6001M</t>
  </si>
  <si>
    <t>753.6501M</t>
  </si>
  <si>
    <t>Sada jednotek TIP-ON BLUMOTION, L3</t>
  </si>
  <si>
    <t>Sada jednotek TIP-ON BLUMOTION, L5</t>
  </si>
  <si>
    <t>Sada jednotek TIP-ON BLUMOTION, L1</t>
  </si>
  <si>
    <t xml:space="preserve">   Korpusové lišty TIP-ON BLUMOTION</t>
  </si>
  <si>
    <t>GELB</t>
  </si>
  <si>
    <t>956A1004</t>
  </si>
  <si>
    <t>WA</t>
  </si>
  <si>
    <t>TS</t>
  </si>
  <si>
    <t>PG</t>
  </si>
  <si>
    <t>956A1201</t>
  </si>
  <si>
    <t>956A1501</t>
  </si>
  <si>
    <t>ZE7S338G</t>
  </si>
  <si>
    <t>ZE7S388G</t>
  </si>
  <si>
    <t>780C3502S</t>
  </si>
  <si>
    <t>780C3502I</t>
  </si>
  <si>
    <t>780C4002S</t>
  </si>
  <si>
    <t>780C4002I</t>
  </si>
  <si>
    <t>780C4502S</t>
  </si>
  <si>
    <t>780C4502I</t>
  </si>
  <si>
    <t>780C5002S</t>
  </si>
  <si>
    <t>780C5002I</t>
  </si>
  <si>
    <t>780C5502S</t>
  </si>
  <si>
    <t>780C6502I</t>
  </si>
  <si>
    <t>780C5502I</t>
  </si>
  <si>
    <t>780C6002S</t>
  </si>
  <si>
    <t>780C6002I</t>
  </si>
  <si>
    <t>780C6502S</t>
  </si>
  <si>
    <t xml:space="preserve">   Synchronizace TIP-ON BLUMOTION</t>
  </si>
  <si>
    <t>T60.000D</t>
  </si>
  <si>
    <t>SERVO-DRIVE flex - jednotka (sada)</t>
  </si>
  <si>
    <t>Z10C500A</t>
  </si>
  <si>
    <t>R736</t>
  </si>
  <si>
    <t>Z10C5007</t>
  </si>
  <si>
    <t>SERVO-DRIVE flex - bezdrátový přijímač</t>
  </si>
  <si>
    <t>21P5020</t>
  </si>
  <si>
    <t>SW</t>
  </si>
  <si>
    <t>HGR</t>
  </si>
  <si>
    <t>provedení</t>
  </si>
  <si>
    <t>Přední zásuvné prvky</t>
  </si>
  <si>
    <t>přední zásuvný prvek</t>
  </si>
  <si>
    <t>Boční zásuvné prvky</t>
  </si>
  <si>
    <t>Zadejte celkový počet předních zásuvných prvků pro příslušnou šířku korpusu</t>
  </si>
  <si>
    <t>Boční zásuvné prvky se načtou automaticky</t>
  </si>
  <si>
    <t>7C410F</t>
  </si>
  <si>
    <t>7C41VP</t>
  </si>
  <si>
    <t>7C41NP</t>
  </si>
  <si>
    <t>7C41RP</t>
  </si>
  <si>
    <t>7C41VF</t>
  </si>
  <si>
    <t>7C41NF</t>
  </si>
  <si>
    <t>7C41RF</t>
  </si>
  <si>
    <t>7C M52P</t>
  </si>
  <si>
    <t>7C M52F</t>
  </si>
  <si>
    <t>7CM52P</t>
  </si>
  <si>
    <t>7C442F</t>
  </si>
  <si>
    <t>7STCGF</t>
  </si>
  <si>
    <t>Složení čelních zásuvných prvků</t>
  </si>
  <si>
    <t>C+M</t>
  </si>
  <si>
    <t>7C M42B</t>
  </si>
  <si>
    <t>7CM42P</t>
  </si>
  <si>
    <t>7CM42F</t>
  </si>
  <si>
    <t>7CM52F</t>
  </si>
  <si>
    <t>BLUMOTION pro nasazení na závěs 155° a 125°</t>
  </si>
  <si>
    <t>7STCRF</t>
  </si>
  <si>
    <t>7STMGF</t>
  </si>
  <si>
    <t>7STMRF</t>
  </si>
  <si>
    <t>Držák příčného relingu</t>
  </si>
  <si>
    <t>Pure</t>
  </si>
  <si>
    <t>Alrel</t>
  </si>
  <si>
    <t>R735</t>
  </si>
  <si>
    <t>Z10K300A</t>
  </si>
  <si>
    <t>Držák příčného relingu pro pure, Orion šedá</t>
  </si>
  <si>
    <t>Držák příčného relingu pro pure, hedvábně bílá</t>
  </si>
  <si>
    <t>Držák příčného relingu pro pure, Terra černá</t>
  </si>
  <si>
    <t>Držák příčného relingu pro free, Orion šedá</t>
  </si>
  <si>
    <t>Podélné dělení pro reling, Orion šedá</t>
  </si>
  <si>
    <t>Držák příčného relingu pro free, hedvábně bílá</t>
  </si>
  <si>
    <t>Podélné dělení pro reling, hedvábně bílá</t>
  </si>
  <si>
    <t>Držák příčného relingu pro free, Terra černá</t>
  </si>
  <si>
    <t>Podélné dělení pro reling, Terra černá</t>
  </si>
  <si>
    <t>Přední zásuvný prvek vysoký, sklo, KB 450mm</t>
  </si>
  <si>
    <t>Přední zásuvný prvek vysoký, sklo, KB 600mm</t>
  </si>
  <si>
    <t>Přední zásuvný prvek vysoký, sklo, KB 900mm</t>
  </si>
  <si>
    <t>Přední zásuvný prvek vysoký, sklo, KB 1200mm</t>
  </si>
  <si>
    <t>Přední zásuvný prvek nízký, sklo, KB 450mm</t>
  </si>
  <si>
    <t>Přední zásuvný prvek nízký, sklo, KB 600mm</t>
  </si>
  <si>
    <t>Přední zásuvný prvek nízký, sklo, KB 900mm</t>
  </si>
  <si>
    <t>Přední zásuvný prvek nízký, sklo, KB 1200mm</t>
  </si>
  <si>
    <t>65.5631</t>
  </si>
  <si>
    <t>TIP-ON BLUMOTION</t>
  </si>
  <si>
    <t>7M 40VM</t>
  </si>
  <si>
    <t>7M 70VM</t>
  </si>
  <si>
    <t>7M 400M</t>
  </si>
  <si>
    <t>7M 700M</t>
  </si>
  <si>
    <t>Sada jednotek TIP-ON BLUMOTION</t>
  </si>
  <si>
    <t>S1</t>
  </si>
  <si>
    <t>L1</t>
  </si>
  <si>
    <t>L3</t>
  </si>
  <si>
    <t>T60L7140</t>
  </si>
  <si>
    <t>T60L7340</t>
  </si>
  <si>
    <t>T60L7540</t>
  </si>
  <si>
    <t>T60L7570</t>
  </si>
  <si>
    <t>TIP-ON BLM synchronizační adaptér</t>
  </si>
  <si>
    <t>TIP-ON BLM hřídel synchronizace, ke zkrácení</t>
  </si>
  <si>
    <t>T60L1125W</t>
  </si>
  <si>
    <t>Příborník, 650mm, Nebraska dub/OG-M</t>
  </si>
  <si>
    <t>Příborník, 650mm, Bardolino dub/SW-M</t>
  </si>
  <si>
    <t>Příborník, 650mm, Tennessee ořech/TS-M</t>
  </si>
  <si>
    <t>ZC7S650BH3</t>
  </si>
  <si>
    <t>Zás.rámečky úzké, 650mm, Nebraska dub/OG-M</t>
  </si>
  <si>
    <t>Zás.rámečky úzké, 650mm, Bardolino dub/SW-M</t>
  </si>
  <si>
    <t>Zás.rámečky úzké, 650mm, Tennessee oř./TS-M</t>
  </si>
  <si>
    <t>ZC7S650RH1</t>
  </si>
  <si>
    <t>Zás.rámečky široké, 650mm, Nebraska dub/OG-M</t>
  </si>
  <si>
    <t>Zás.rámečky široké, 650mm, Bardolino dub/SW-M</t>
  </si>
  <si>
    <t>Zás.rámečky široké, 650mm, Tennessee oř./TS-M</t>
  </si>
  <si>
    <t>ZC7S650RH2</t>
  </si>
  <si>
    <t>Příborník, 650mm, Terra černý</t>
  </si>
  <si>
    <t>ZC7S650BS3</t>
  </si>
  <si>
    <t>ZC7S650RS1</t>
  </si>
  <si>
    <t>ZC7S650RS2</t>
  </si>
  <si>
    <t xml:space="preserve">   Boční stabilizace</t>
  </si>
  <si>
    <t>Výběr sady jednotek</t>
  </si>
  <si>
    <t>ZST.1160W</t>
  </si>
  <si>
    <t>T57.7400.01</t>
  </si>
  <si>
    <t>Šablona pro nastavení mezery čela</t>
  </si>
  <si>
    <t>Počet jednotek L neodpovídá počtu korpusových lišt</t>
  </si>
  <si>
    <t>270 - 300 mm</t>
  </si>
  <si>
    <t>350 - 650 mm</t>
  </si>
  <si>
    <t>Využití pro</t>
  </si>
  <si>
    <t>Doporučené hodnoty hmotnosti</t>
  </si>
  <si>
    <t>Celková hmotnost výsuvu (hmotnost výsuvu včetně náplně)</t>
  </si>
  <si>
    <t>Jednotka</t>
  </si>
  <si>
    <t>≤ 20 kg</t>
  </si>
  <si>
    <t>a sada unašečů TIP-ON BLUMOTION</t>
  </si>
  <si>
    <t>Doporučené počty korpusových lišt</t>
  </si>
  <si>
    <t>Jednotky TIP-ON BLUMOTION budou přidány automaticky</t>
  </si>
  <si>
    <t>Poté zadejte požadované složení korpusových lišt</t>
  </si>
  <si>
    <t>Zadejte počty 40kg korpusových lišt, 70kg lišty se dopočítají</t>
  </si>
  <si>
    <t>Nelze kombinovat oba typy lišt v jedné skříni!</t>
  </si>
  <si>
    <t xml:space="preserve">       BLUMOTION</t>
  </si>
  <si>
    <t xml:space="preserve">        TIP-ON BLUMOTION</t>
  </si>
  <si>
    <t>Zadejte počty skříní podle šířky korpusu a délky výsuvů</t>
  </si>
  <si>
    <t>Zadejte počet korpusových lišt, pokud chcete jiné, než přednastavené složení</t>
  </si>
  <si>
    <t>BOXPLAN LBX</t>
  </si>
  <si>
    <t xml:space="preserve">   AMBIA-LINE souprava na lahve</t>
  </si>
  <si>
    <t>Souprava na lahve, pro š.rám. 100mm, Orion šedá</t>
  </si>
  <si>
    <t>ZC7B0100S</t>
  </si>
  <si>
    <t>Souprava na lahve, pro š.rám. 100mm, hedv. bílá</t>
  </si>
  <si>
    <t>Souprava na lahve, pro š.rám. 100mm, Terra černá</t>
  </si>
  <si>
    <t>Souprava na lahve, pro š.rám. 200mm, Orion šedá</t>
  </si>
  <si>
    <t>ZC7B0200S</t>
  </si>
  <si>
    <t>Souprava na lahve, pro š.rám. 200mm, hedv. bílá</t>
  </si>
  <si>
    <t>Souprava na lahve, pro š.rám. 200mm, Terra černá</t>
  </si>
  <si>
    <t>Free</t>
  </si>
  <si>
    <t>Souprava na lahve</t>
  </si>
  <si>
    <t>Pro rámeček šířky</t>
  </si>
  <si>
    <t>Není vhodná pro vnitřní výsuv</t>
  </si>
  <si>
    <t>Albot</t>
  </si>
  <si>
    <t>200 - 1200</t>
  </si>
  <si>
    <t>S0 a S1 pouze pro jmenovitou délku 270 a 300 mm</t>
  </si>
  <si>
    <t>Pro výsuvy délky 270 a 300 mm vyberte jednotky S0 nebo S1</t>
  </si>
  <si>
    <t>Počet jednotek S neodpovídá počtu korpusových lišt</t>
  </si>
  <si>
    <t>Pozor! Pro každý výsuv je započítána jedna hřídel. Počet hřídelí upravte v objednávce!</t>
  </si>
  <si>
    <t>Sada jednotek TIP-ON BLUMOTION, S0</t>
  </si>
  <si>
    <t>T60L7040</t>
  </si>
  <si>
    <t>S0</t>
  </si>
  <si>
    <t xml:space="preserve">Synchronizace bude přidána automaticky. </t>
  </si>
  <si>
    <t>≤ 10 kg</t>
  </si>
  <si>
    <t>10-20 kg</t>
  </si>
  <si>
    <t>TIP-ON BLM jednodílná synchronizace, ke zkrácení</t>
  </si>
  <si>
    <t>T60.300D</t>
  </si>
  <si>
    <t>15 - 40 kg</t>
  </si>
  <si>
    <t>35 - 70 kg</t>
  </si>
  <si>
    <t>PS-M</t>
  </si>
  <si>
    <t>barva relingu</t>
  </si>
  <si>
    <t>barva plastových dílů</t>
  </si>
  <si>
    <t>Napájecí zdroj 24W</t>
  </si>
  <si>
    <t>Z10NE030E</t>
  </si>
  <si>
    <t>Z10NA30EE</t>
  </si>
  <si>
    <t>Bočnice F 400mm, nerez</t>
  </si>
  <si>
    <t>770F4002S</t>
  </si>
  <si>
    <t>770F4002I</t>
  </si>
  <si>
    <t>770K6002S</t>
  </si>
  <si>
    <t>770K3002S</t>
  </si>
  <si>
    <t>770N4002S</t>
  </si>
  <si>
    <t>770N5502S</t>
  </si>
  <si>
    <t>Bočnice N 400mm, Orion šedá</t>
  </si>
  <si>
    <t>Bočnice N 440mm, hedvábně bílá</t>
  </si>
  <si>
    <t xml:space="preserve">Bočnice N 400mm, Terra černá </t>
  </si>
  <si>
    <t>Unašeč pro vnirřní zásuvku M, Orion šedá</t>
  </si>
  <si>
    <t>Unašeč pro vnirřní zásuvku M, hedvábně bílá</t>
  </si>
  <si>
    <t>Unašeč pro vnirřní zásuvku M, Terra černá</t>
  </si>
  <si>
    <t>Příčný reling vnitřní zásuvky, Orion šedá</t>
  </si>
  <si>
    <t>Příčný reling vnitřní zásuvky, hedvábně bílá</t>
  </si>
  <si>
    <t>Příčný reling vnitřní zásuvky, Terra černá</t>
  </si>
  <si>
    <t>Bočnice N 450mm, Orion šedá</t>
  </si>
  <si>
    <t>Bočnice N 500mm, Orion šedá</t>
  </si>
  <si>
    <t>Bočnice N 550mm, Orion šedá</t>
  </si>
  <si>
    <t>Bočnice M 270mm, Orion šedá</t>
  </si>
  <si>
    <t>Bočnice M 300mm, Orion šedá</t>
  </si>
  <si>
    <t>Bočnice M 350mm, Orion šedá</t>
  </si>
  <si>
    <t>Bočnice M 400mm, Orion šedá</t>
  </si>
  <si>
    <t>Bočnice M 450mm, Orion šedá</t>
  </si>
  <si>
    <t>Bočnice M 500mm, Orion šedá</t>
  </si>
  <si>
    <t>Bočnice M 550mm, Orion šedá</t>
  </si>
  <si>
    <t>Bočnice M 600mm, Orion šedá</t>
  </si>
  <si>
    <t>Bočnice M 650mm, Orion šedá</t>
  </si>
  <si>
    <t>Bočnice K 300mm, Orion šedá</t>
  </si>
  <si>
    <t>Bočnice K 350mm, Orion šedá</t>
  </si>
  <si>
    <t>Bočnice K 400mm, Orion šedá</t>
  </si>
  <si>
    <t>Bočnice K 450mm, Orion šedá</t>
  </si>
  <si>
    <t>Bočnice K 500mm, Orion šedá</t>
  </si>
  <si>
    <t>Bočnice K 550mm, Orion šedá</t>
  </si>
  <si>
    <t>Bočnice K 600mm, Orion šedá</t>
  </si>
  <si>
    <t>Bočnice C pure, 270mm, Orion šedá</t>
  </si>
  <si>
    <t>Bočnice C pure, 300mm, Orion šedá</t>
  </si>
  <si>
    <t>Bočnice C pure, 350mm, Orion šedá</t>
  </si>
  <si>
    <t>Bočnice C pure, 400mm, Orion šedá</t>
  </si>
  <si>
    <t>Bočnice C pure, 450mm, Orion šedá</t>
  </si>
  <si>
    <t>Bočnice C pure, 500mm, Orion šedá</t>
  </si>
  <si>
    <t>Bočnice C pure, 550mm, Orion šedá</t>
  </si>
  <si>
    <t>Bočnice C pure, 600mm, Orion šedá</t>
  </si>
  <si>
    <t>Bočnice C pure, 650mm, Orion šedá</t>
  </si>
  <si>
    <t>Bočnice C free, 350mm, Orion šedá</t>
  </si>
  <si>
    <t>Bočnice C free, 400mm, Orion šedá</t>
  </si>
  <si>
    <t>Bočnice C free, 450mm, Orion šedá</t>
  </si>
  <si>
    <t>Bočnice C free, 500mm, Orion šedá</t>
  </si>
  <si>
    <t>Bočnice C free, 550mm, Orion šedá</t>
  </si>
  <si>
    <t>Bočnice C free, 600mm, Orion šedá</t>
  </si>
  <si>
    <t>Bočnice C free, 650mm, Orion šedá</t>
  </si>
  <si>
    <t>Bočnice F 400mm, Orion šedá</t>
  </si>
  <si>
    <t>Bočnice F 450mm, Orion šedá</t>
  </si>
  <si>
    <t>Bočnice F 500mm, Orion šedá</t>
  </si>
  <si>
    <t>Bočnice F 550mm, Orion šedá</t>
  </si>
  <si>
    <t>Bočnice F 600mm, Orion šedá</t>
  </si>
  <si>
    <t>Bočnice F 650mm, Orion šedá</t>
  </si>
  <si>
    <t>Držáky zadní stěny N, Orion šedá</t>
  </si>
  <si>
    <t>Držáky zadní stěny M, Orion šedá</t>
  </si>
  <si>
    <t>Držáky zadní stěny K, Orion šedá</t>
  </si>
  <si>
    <t>Držáky zadní stěny C, Orion šedá</t>
  </si>
  <si>
    <t>Držáky zadní stěny F, Orion šedá</t>
  </si>
  <si>
    <t>Zásuvkové rámečky úzké, 450mm, Orion šedá</t>
  </si>
  <si>
    <t>Zásuvkové rámečky úzké, 500mm, Orion šedá</t>
  </si>
  <si>
    <t>Zásuvkové rámečky úzké, 550mm, Orion šedá</t>
  </si>
  <si>
    <t>Zásuvkové rámečky úzké, 600mm, Orion šedá</t>
  </si>
  <si>
    <t>Zásuvkové rámečky úzké, 650mm, Orion šedá</t>
  </si>
  <si>
    <t>Zásuvkové rámečky široké, 450mm, Orion šedá</t>
  </si>
  <si>
    <t>Zásuvkové rámečky široké, 500mm, Orion šedá</t>
  </si>
  <si>
    <t>Zásuvkové rámečky široké, 550mm, Orion šedá</t>
  </si>
  <si>
    <t>Zásuvkové rámečky široké, 600mm, Orion šedá</t>
  </si>
  <si>
    <t>Zásuvkové rámečky široké, 650mm, Orion šedá</t>
  </si>
  <si>
    <t>Zásuvkové rámečky, od 270mm, Orion šedá</t>
  </si>
  <si>
    <t>Rámečky pro čel. výsuvy, od 270mm, Orion šedá</t>
  </si>
  <si>
    <t>Rámečky pro čel. výsuvy, od 400mm, Orion šedá</t>
  </si>
  <si>
    <t>Bočnice N 450mm, hedvábně bílá</t>
  </si>
  <si>
    <t>Bočnice N 500mm, hedvábně bílá</t>
  </si>
  <si>
    <t>Bočnice N 550mm, hedvábně bílá</t>
  </si>
  <si>
    <t>Bočnice M 270mm, hedvábně bílá</t>
  </si>
  <si>
    <t>Bočnice M 300mm, hedvábně bílá</t>
  </si>
  <si>
    <t>Bočnice M 350mm, hedvábně bílá</t>
  </si>
  <si>
    <t>Bočnice M 400mm, hedvábně bílá</t>
  </si>
  <si>
    <t>Bočnice M 450mm, hedvábně bílá</t>
  </si>
  <si>
    <t>Bočnice M 500mm, hedvábně bílá</t>
  </si>
  <si>
    <t>Bočnice M 550mm, hedvábně bílá</t>
  </si>
  <si>
    <t>Bočnice M 600mm, hedvábně bílá</t>
  </si>
  <si>
    <t>Bočnice M 650mm, hedvábně bílá</t>
  </si>
  <si>
    <t>Bočnice K 300mm, hedvábně bílá</t>
  </si>
  <si>
    <t>Bočnice K 350mm, hedvábně bílá</t>
  </si>
  <si>
    <t>Bočnice K 400mm, hedvábně bílá</t>
  </si>
  <si>
    <t>Bočnice K 450mm, hedvábně bílá</t>
  </si>
  <si>
    <t>Bočnice K 500mm, hedvábně bílá</t>
  </si>
  <si>
    <t>Bočnice K 550mm, hedvábně bílá</t>
  </si>
  <si>
    <t>Bočnice K 600mm, hedvábně bílá</t>
  </si>
  <si>
    <t>Bočnice C pure, 270mm, hedvábně bílá</t>
  </si>
  <si>
    <t>Bočnice C pure, 300mm, hedvábně bílá</t>
  </si>
  <si>
    <t>Bočnice C pure, 350mm, hedvábně bílá</t>
  </si>
  <si>
    <t>Bočnice C pure, 400mm, hedvábně bílá</t>
  </si>
  <si>
    <t>Bočnice C pure, 450mm, hedvábně bílá</t>
  </si>
  <si>
    <t>Bočnice C pure, 500mm, hedvábně bílá</t>
  </si>
  <si>
    <t>Bočnice C pure, 550mm, hedvábně bílá</t>
  </si>
  <si>
    <t>Bočnice C pure, 600mm, hedvábně bílá</t>
  </si>
  <si>
    <t>Bočnice C pure, 650mm, hedvábně bílá</t>
  </si>
  <si>
    <t>Bočnice C free, 350mm, hedvábně bílá</t>
  </si>
  <si>
    <t>Bočnice C free, 400mm, hedvábně bílá</t>
  </si>
  <si>
    <t>Bočnice C free, 450mm, hedvábně bílá</t>
  </si>
  <si>
    <t>Bočnice C free, 500mm, hedvábně bílá</t>
  </si>
  <si>
    <t>Bočnice C free, 550mm, hedvábně bílá</t>
  </si>
  <si>
    <t>Bočnice C free, 600mm, hedvábně bílá</t>
  </si>
  <si>
    <t>Bočnice C free, 650mm, hedvábně bílá</t>
  </si>
  <si>
    <t>Bočnice F 400mm, hedvábně bílá</t>
  </si>
  <si>
    <t>Bočnice F 450mm, hedvábně bílá</t>
  </si>
  <si>
    <t>Bočnice F 500mm, hedvábně bílá</t>
  </si>
  <si>
    <t>Bočnice F 550mm, hedvábně bílá</t>
  </si>
  <si>
    <t>Bočnice F 600mm, hedvábně bílá</t>
  </si>
  <si>
    <t>Bočnice F 650mm, hedvábně bílá</t>
  </si>
  <si>
    <t>Držáky zadní stěny N, hedvábně bílá</t>
  </si>
  <si>
    <t>Držáky zadní stěny M, hedvábně bílá</t>
  </si>
  <si>
    <t>Držáky zadní stěny K, hedvábně bílá</t>
  </si>
  <si>
    <t>Držáky zadní stěny C, hedvábně bílá</t>
  </si>
  <si>
    <t>Držáky zadní stěny F, hedvábně bílá</t>
  </si>
  <si>
    <t>Zásuvkové rámečky úzké, 450mm, hedvábně bílá</t>
  </si>
  <si>
    <t>Zásuvkové rámečky úzké, 500mm, hedvábně bílá</t>
  </si>
  <si>
    <t>Zásuvkové rámečky úzké, 550mm, hedvábně bílá</t>
  </si>
  <si>
    <t>Zásuvkové rámečky úzké, 600mm, hedvábně bílá</t>
  </si>
  <si>
    <t>Zásuvkové rámečky úzké, 650mm, hedvábně bílá</t>
  </si>
  <si>
    <t>Zásuvkové rámečky široké, 450mm, hedvábně bílá</t>
  </si>
  <si>
    <t>Zásuvkové rámečky široké, 500mm, hedvábně bílá</t>
  </si>
  <si>
    <t>Zásuvkové rámečky široké, 550mm, hedvábně bílá</t>
  </si>
  <si>
    <t>Zásuvkové rámečky široké, 600mm, hedvábně bílá</t>
  </si>
  <si>
    <t>Zásuvkové rámečky široké, 650mm, hedvábně bílá</t>
  </si>
  <si>
    <t>Zásuvkové rámečky, od 270mm, hedvábně bílá</t>
  </si>
  <si>
    <t>Rámečky pro čel. výsuvy, od 270mm, hedvábně bílá</t>
  </si>
  <si>
    <t>Rámečky pro čel. výsuvy, od 400mm, hedvábně bílá</t>
  </si>
  <si>
    <t>Bočnice N 450mm, Terra černá</t>
  </si>
  <si>
    <t>Bočnice N 500mm, Terra černá</t>
  </si>
  <si>
    <t>Bočnice N 550mm, Terra černá</t>
  </si>
  <si>
    <t>Bočnice M 270mm, Terra černá</t>
  </si>
  <si>
    <t>Bočnice M 300mm, Terra černá</t>
  </si>
  <si>
    <t>Bočnice M 350mm, Terra černá</t>
  </si>
  <si>
    <t>Bočnice M 400mm, Terra černá</t>
  </si>
  <si>
    <t>Bočnice M 450mm, Terra černá</t>
  </si>
  <si>
    <t>Bočnice M 500mm, Terra černá</t>
  </si>
  <si>
    <t>Bočnice M 550mm, Terra černá</t>
  </si>
  <si>
    <t>Bočnice M 600mm, Terra černá</t>
  </si>
  <si>
    <t>Bočnice M 650mm, Terra černá</t>
  </si>
  <si>
    <t>Bočnice K 300mm, Terra černá</t>
  </si>
  <si>
    <t>Bočnice K 350mm, Terra černá</t>
  </si>
  <si>
    <t>Bočnice K 400mm, Terra černá</t>
  </si>
  <si>
    <t>Bočnice K 450mm, Terra černá</t>
  </si>
  <si>
    <t>Bočnice K 500mm, Terra černá</t>
  </si>
  <si>
    <t>Bočnice K 550mm, Terra černá</t>
  </si>
  <si>
    <t>Bočnice K 600mm, Terra černá</t>
  </si>
  <si>
    <t>Bočnice C pure, 270mm, Terra černá</t>
  </si>
  <si>
    <t>Bočnice C pure, 300mm, Terra černá</t>
  </si>
  <si>
    <t>Bočnice C pure, 350mm, Terra černá</t>
  </si>
  <si>
    <t>Bočnice C pure, 400mm, Terra černá</t>
  </si>
  <si>
    <t>Bočnice C pure, 450mm, Terra černá</t>
  </si>
  <si>
    <t>Bočnice C pure, 500mm, Terra černá</t>
  </si>
  <si>
    <t>Bočnice C pure, 550mm, Terra černá</t>
  </si>
  <si>
    <t>Bočnice C pure, 600mm, Terra černá</t>
  </si>
  <si>
    <t>Bočnice C pure, 650mm, Terra černá</t>
  </si>
  <si>
    <t>Bočnice C free, 350mm, Terra černá</t>
  </si>
  <si>
    <t>Bočnice C free, 400mm, Terra černá</t>
  </si>
  <si>
    <t>Bočnice C free, 450mm, Terra černá</t>
  </si>
  <si>
    <t>Bočnice C free, 500mm, Terra černá</t>
  </si>
  <si>
    <t>Bočnice C free, 550mm, Terra černá</t>
  </si>
  <si>
    <t>Bočnice C free, 600mm, Terra černá</t>
  </si>
  <si>
    <t>Bočnice C free, 650mm, Terra černá</t>
  </si>
  <si>
    <t>Bočnice F 400mm, Terra černá</t>
  </si>
  <si>
    <t>Bočnice F 450mm, Terra černá</t>
  </si>
  <si>
    <t>Bočnice F 500mm, Terra černá</t>
  </si>
  <si>
    <t>Bočnice F 550mm, Terra černá</t>
  </si>
  <si>
    <t>Bočnice F 600mm, Terra černá</t>
  </si>
  <si>
    <t>Bočnice F 650mm, Terra černá</t>
  </si>
  <si>
    <t>Držáky zadní stěny N, Terra černá</t>
  </si>
  <si>
    <t>Držáky zadní stěny M, Terra černá</t>
  </si>
  <si>
    <t>Držáky zadní stěny K, Terra černá</t>
  </si>
  <si>
    <t>Držáky zadní stěny C, Terra černá</t>
  </si>
  <si>
    <t>Držáky zadní stěny F, Terra černá</t>
  </si>
  <si>
    <t>Zásuvkové rámečky úzké, 450mm, Terra černá</t>
  </si>
  <si>
    <t>Zásuvkové rámečky úzké, 500mm, Terra černá</t>
  </si>
  <si>
    <t>Zásuvkové rámečky úzké, 550mm, Terra černá</t>
  </si>
  <si>
    <t>Zásuvkové rámečky úzké, 600mm, Terra černá</t>
  </si>
  <si>
    <t>Zásuvkové rámečky úzké, 650mm, Terra černá</t>
  </si>
  <si>
    <t>Zásuvkové rámečky široké, 450mm, Terra černá</t>
  </si>
  <si>
    <t>Zásuvkové rámečky široké, 500mm, Terra černá</t>
  </si>
  <si>
    <t>Zásuvkové rámečky široké, 550mm, Terra černá</t>
  </si>
  <si>
    <t>Zásuvkové rámečky široké, 600mm, Terra černá</t>
  </si>
  <si>
    <t>Zásuvkové rámečky široké, 650mm, Terra černá</t>
  </si>
  <si>
    <t>Zásuvkové rámečky, od 270mm, Terra černá</t>
  </si>
  <si>
    <t>Rámečky pro čel. výsuvy, od 270mm, Terra černá</t>
  </si>
  <si>
    <t>Rámečky pro čel. výsuvy, od 400mm, Terra černá</t>
  </si>
  <si>
    <t>Sada kování vnitřní zásuvky M, Terra černá</t>
  </si>
  <si>
    <t>Sada kování vnitř.výs. C, se zás.prvkem, Terra černá</t>
  </si>
  <si>
    <t>Sada kování vnitř.výs. C, s relingem, Terra černá</t>
  </si>
  <si>
    <t>Přední díl vnitřní zásuvky, s drážkou, Terra černá</t>
  </si>
  <si>
    <t>Přední díl vnitřní zásuvky, bez drážky, Terra černá</t>
  </si>
  <si>
    <t>Přední díl vnitřní zásuvky, s drážkou, Orion šedá</t>
  </si>
  <si>
    <t>Přední díl vnitřní zásuvky, bez drážky, Orion šedá</t>
  </si>
  <si>
    <t>Příborník, 450mm, Orion šedá</t>
  </si>
  <si>
    <t>Příborník, 500mm, Orion šedá</t>
  </si>
  <si>
    <t>Příborník, 550mm, Orion šedá</t>
  </si>
  <si>
    <t>Příborník, 600mm, Orion šedá</t>
  </si>
  <si>
    <t>Příborník, 650mm, Orion šedá</t>
  </si>
  <si>
    <t>Adaptér pro dřevěná záda M, Orion šedá</t>
  </si>
  <si>
    <t>Adaptér pro dřevěná záda K, Orion šedá</t>
  </si>
  <si>
    <t>Adaptér pro dřevěná záda, š.242mm, Orion šedá</t>
  </si>
  <si>
    <t>Adaptér pro dřevěná záda C, Orion šedá</t>
  </si>
  <si>
    <t>Adaptér pro dřevěná záda F, Orion šedá</t>
  </si>
  <si>
    <t>Spínač SERVO-DRIVE, světle šedá</t>
  </si>
  <si>
    <t>Synchronizační kabel 300 cm, světle šedá</t>
  </si>
  <si>
    <t>TIP-ON, prodloužená délka, šedá</t>
  </si>
  <si>
    <t>TIP-ON přímý adaptér, prodl.délka, šedá</t>
  </si>
  <si>
    <t>TIP-ON křížový adaptér, šedá</t>
  </si>
  <si>
    <t>Přední díl vnitřní zásuvky, s drážkou, hedvábně bílá</t>
  </si>
  <si>
    <t>Přední díl vnitřní zásuvky, bez drážky, hedvábně bílá</t>
  </si>
  <si>
    <t>Příborník, 450mm, hedvábně bílá/Orion šedá</t>
  </si>
  <si>
    <t>Příborník, 500mm, hedvábně bílá/Orion šedá</t>
  </si>
  <si>
    <t>Příborník, 550mm, hedvábně bílá/Orion šedá</t>
  </si>
  <si>
    <t>Příborník, 600mm, hedvábně bílá/Orion šedá</t>
  </si>
  <si>
    <t>Příborník, 650mm, hedvábně bílá/Orion šedá</t>
  </si>
  <si>
    <t>Adaptér pro dřevěná záda M, hedvábně bílá</t>
  </si>
  <si>
    <t>Adaptér pro dřevěná záda K, hedvábně bílá</t>
  </si>
  <si>
    <t>Adaptér pro dřevěná záda, š.242mm, hedvábně bílá</t>
  </si>
  <si>
    <t>Adaptér pro dřevěná záda C, hedvábně bílá</t>
  </si>
  <si>
    <t>Adaptér pro dřevěná záda F, hedvábně bílá</t>
  </si>
  <si>
    <t>Spínač SERVO-DRIVE, hedvábně bílá</t>
  </si>
  <si>
    <t>TIP-ON, prodloužená délka, hedvábně bílá</t>
  </si>
  <si>
    <t>TIP-ON přímý adaptér, prodl.délka, hedv. bílá</t>
  </si>
  <si>
    <t>TIP-ON, prodloužená délka, Terra černá</t>
  </si>
  <si>
    <t>TIP-ON přímý adaptér, prodl.délka, Terra černá</t>
  </si>
  <si>
    <t xml:space="preserve">   Pozn. Terra a Inox = Terra</t>
  </si>
  <si>
    <t>Pozn. Orion a Polar = Orion;  Terra a Inox = Terra</t>
  </si>
  <si>
    <t>PM/G</t>
  </si>
  <si>
    <t>Barva:</t>
  </si>
  <si>
    <t>nelze</t>
  </si>
  <si>
    <t>Pro výšku N nejsou jmenovité délky 400 a 550 mm v provedení Inox k dispozici</t>
  </si>
  <si>
    <t>Pro výšku K nejsou jmenovité délky 300 a 600 mm v provedení Inox k dispozici</t>
  </si>
  <si>
    <t>Polární stříbrná</t>
  </si>
  <si>
    <t>A-L koncovky reling</t>
  </si>
  <si>
    <t>AMBIA-LINE wood</t>
  </si>
  <si>
    <t>AMBIA-LINE steel</t>
  </si>
  <si>
    <t>Bočnice N 400mm, Polar stříbrná</t>
  </si>
  <si>
    <t>Bočnice N 450mm, Polar stříbrná</t>
  </si>
  <si>
    <t>Bočnice N 500mm, Polar stříbrná</t>
  </si>
  <si>
    <t>Bočnice N 550mm, Polar stříbrná</t>
  </si>
  <si>
    <t xml:space="preserve">Bočnice M 270mm, Polar stříbrná </t>
  </si>
  <si>
    <t xml:space="preserve">Bočnice M 300mm, Polar stříbrná </t>
  </si>
  <si>
    <t>Bočnice M 350mm, Polar stříbrná</t>
  </si>
  <si>
    <t>Bočnice M 400mm, Polar stříbrná</t>
  </si>
  <si>
    <t>Bočnice M 450mm, Polar stříbrná</t>
  </si>
  <si>
    <t>Bočnice M 500mm, Polar stříbrná</t>
  </si>
  <si>
    <t>Bočnice M 550mm, Polar stříbrná</t>
  </si>
  <si>
    <t>Bočnice M 600mm, Polar stříbrná</t>
  </si>
  <si>
    <t>Bočnice M 650mm, Polar stříbrná</t>
  </si>
  <si>
    <t>Bočnice K 300mm, Polar stříbrná</t>
  </si>
  <si>
    <t>Bočnice K 350mm, Polar stříbrná</t>
  </si>
  <si>
    <t>Bočnice K 400mm, Polar stříbrná</t>
  </si>
  <si>
    <t>Bočnice K 450mm, Polar stříbrná</t>
  </si>
  <si>
    <t>Bočnice K 500mm, Polar stříbrná</t>
  </si>
  <si>
    <t>Bočnice K 550mm, Polar stříbrná</t>
  </si>
  <si>
    <t>Bočnice K 600mm, Polar stříbrná</t>
  </si>
  <si>
    <t>Bočnice C pure, 270mm, Polar stříbrná</t>
  </si>
  <si>
    <t>Bočnice C pure, 300mm, Polar stříbrná</t>
  </si>
  <si>
    <t>Bočnice C pure, 350mm, Polar stříbrná</t>
  </si>
  <si>
    <t>Bočnice C pure, 400mm, Polar stříbrná</t>
  </si>
  <si>
    <t>Bočnice C pure, 450mm, Polar stříbrná</t>
  </si>
  <si>
    <t>Bočnice C pure, 500mm, Polar stříbrná</t>
  </si>
  <si>
    <t>Bočnice C pure, 550mm, Polar stříbrná</t>
  </si>
  <si>
    <t>Bočnice C pure, 600mm, Polar stříbrná</t>
  </si>
  <si>
    <t>Bočnice C pure, 650mm, Polar stříbrná</t>
  </si>
  <si>
    <t>Bočnice C free, 350mm, Polar stříbrná</t>
  </si>
  <si>
    <t>Bočnice C free, 400mm, Polar stříbrná</t>
  </si>
  <si>
    <t>Bočnice C free, 450mm, Polar stříbrná</t>
  </si>
  <si>
    <t>Bočnice C free, 500mm, Polar stříbrná</t>
  </si>
  <si>
    <t>Bočnice C free, 550mm, Polar stříbrná</t>
  </si>
  <si>
    <t>Bočnice C free, 600mm, Polar stříbrná</t>
  </si>
  <si>
    <t>Bočnice C free, 650mm, Polar stříbrná</t>
  </si>
  <si>
    <t>Bočnice F 400mm, Polar stříbrná</t>
  </si>
  <si>
    <t>Bočnice F 450mm, Polar stříbrná</t>
  </si>
  <si>
    <t>Bočnice F 500mm, Polar stříbrná</t>
  </si>
  <si>
    <t>Bočnice F 550mm, Polar stříbrná</t>
  </si>
  <si>
    <t>Bočnice F 600mm, Polar stříbrná</t>
  </si>
  <si>
    <t>Bočnice F 650mm, Polar stříbrná</t>
  </si>
  <si>
    <t>Držáky zadní stěny N, Polar stříbrná</t>
  </si>
  <si>
    <t>Držáky zadní stěny M, Polar stříbrná</t>
  </si>
  <si>
    <t>Držáky zadní stěny K, Polar stříbrná</t>
  </si>
  <si>
    <t>Držáky zadní stěny C, Polar stříbrná</t>
  </si>
  <si>
    <t>Držáky zadní stěny F, Polar stříbrná</t>
  </si>
  <si>
    <t>Sada kování vnitřní zásuvky M, Polar stříbrná</t>
  </si>
  <si>
    <t>Sada kování vnitř.výs. C, se zás.prvkem, Polar stříbrná</t>
  </si>
  <si>
    <t>Sada kování vnitř.výs. C, s relingem, Polar stříbrná</t>
  </si>
  <si>
    <t>Přední díl vnitřní zásuvky, s drážkou, Polar stříbrná</t>
  </si>
  <si>
    <t>Přední díl vnitřní zásuvky, bez drážky, Polar stříbrná</t>
  </si>
  <si>
    <t>Unašeč pro vnirřní zásuvku M, Polar stříbrná</t>
  </si>
  <si>
    <t>Příčný reling vnitřní zásuvky, Polar stříbrná</t>
  </si>
  <si>
    <t>Z10A3000.03</t>
  </si>
  <si>
    <t>Držák příčného relingu pro pure, Polar stříbrná</t>
  </si>
  <si>
    <t>Držák příčného relingu pro free, Polar stříbrná</t>
  </si>
  <si>
    <t>Podélné dělení pro reling, Polar stříbrná</t>
  </si>
  <si>
    <t>ZS7M400LU</t>
  </si>
  <si>
    <t>ZS7M650LU</t>
  </si>
  <si>
    <t>provedení čel</t>
  </si>
  <si>
    <t>Standardní materiály</t>
  </si>
  <si>
    <t>Tenké materiály</t>
  </si>
  <si>
    <t>Materiály tloušťky 8 až 14 mm</t>
  </si>
  <si>
    <t>Vyberte, z čeho budou vyrobeny čela</t>
  </si>
  <si>
    <t>materiály tloušťky od 15 mm</t>
  </si>
  <si>
    <t>materiály tloušťky od 8 do 14 mm</t>
  </si>
  <si>
    <t>Volby</t>
  </si>
  <si>
    <t xml:space="preserve">   Korpusové lišty BLUMOTION S</t>
  </si>
  <si>
    <t>Korpusové lišty BLUMOTION S, 270mm, 40kg</t>
  </si>
  <si>
    <t>Korpusové lišty BLUMOTION S, 300mm, 40kg</t>
  </si>
  <si>
    <t>Korpusové lišty BLUMOTION S, 350mm, 40kg</t>
  </si>
  <si>
    <t>Korpusové lišty BLUMOTION S, 400mm, 40kg</t>
  </si>
  <si>
    <t>Korpusové lišty BLUMOTION S, 450mm, 40kg</t>
  </si>
  <si>
    <t>Korpusové lišty BLUMOTION S, 450mm, 70kg</t>
  </si>
  <si>
    <t>Korpusové lišty BLUMOTION S, 500mm, 40kg</t>
  </si>
  <si>
    <t>Korpusové lišty BLUMOTION S, 500mm, 70kg</t>
  </si>
  <si>
    <t>Korpusové lišty BLUMOTION S, 550mm, 40kg</t>
  </si>
  <si>
    <t>Korpusové lišty BLUMOTION S, 550mm, 70kg</t>
  </si>
  <si>
    <t>Korpusové lišty BLUMOTION S, 600mm, 40kg</t>
  </si>
  <si>
    <t>Korpusové lišty BLUMOTION S, 600mm, 70kg</t>
  </si>
  <si>
    <t>Korpusové lišty BLUMOTION S, 650mm, 70kg</t>
  </si>
  <si>
    <t>750.2701S</t>
  </si>
  <si>
    <t>750.3001S</t>
  </si>
  <si>
    <t>750.3501S</t>
  </si>
  <si>
    <t>750.4001S</t>
  </si>
  <si>
    <t>750.4501S</t>
  </si>
  <si>
    <t>753.4501S</t>
  </si>
  <si>
    <t>750.5001S</t>
  </si>
  <si>
    <t>753.5001S</t>
  </si>
  <si>
    <t>750.5501S</t>
  </si>
  <si>
    <t>753.5501S</t>
  </si>
  <si>
    <t>750.6001S</t>
  </si>
  <si>
    <t>753.6001S</t>
  </si>
  <si>
    <t>753.6501S</t>
  </si>
  <si>
    <t xml:space="preserve">Čelní kování K, EXPANDO </t>
  </si>
  <si>
    <t>Čelní kování N, EXPANDO T (tenké mat.)</t>
  </si>
  <si>
    <t>Čelní kování M, EXPANDO T  (tenké mat.)</t>
  </si>
  <si>
    <t>Čelní kování K, EXPANDO T (tenké mat.)</t>
  </si>
  <si>
    <t>Čelní kování C, EXPANDO T (tenké mat.)</t>
  </si>
  <si>
    <t xml:space="preserve">Čela:  </t>
  </si>
  <si>
    <t>Sada jednotek TOB, dřezový výsuv, L1</t>
  </si>
  <si>
    <t>Sada jednotek TOB, dřezový výsuv, L3</t>
  </si>
  <si>
    <t>T60L9340 </t>
  </si>
  <si>
    <t>T60L9540</t>
  </si>
  <si>
    <t>Jednotky L1 nelze kombinovat s lištami se zvýšenou nosností (70 kg)</t>
  </si>
  <si>
    <t>Jednotky L5 nelze kombinovat s lištami se základní nosností (40 kg)</t>
  </si>
  <si>
    <t>CLIP top BLUMOTION 155° s nulovým přesahem</t>
  </si>
  <si>
    <t>CLIP top BLUMOTION 155° s nul. přes., EXPANDO</t>
  </si>
  <si>
    <t>CLIP top BLUMOTION 125° s nulovým přesahem</t>
  </si>
  <si>
    <t>71B7550</t>
  </si>
  <si>
    <t>71B758E</t>
  </si>
  <si>
    <t>70T7550.TL</t>
  </si>
  <si>
    <t>71B7550D</t>
  </si>
  <si>
    <t>CLIP top BLUMOTION 110° pro tenké materiály</t>
  </si>
  <si>
    <t>71B453T</t>
  </si>
  <si>
    <t>70T753T.TL</t>
  </si>
  <si>
    <t>Lišty 450 / 40kg</t>
  </si>
  <si>
    <t>Lišty 450 / 70kg</t>
  </si>
  <si>
    <t>Lišty 500 / 40kg</t>
  </si>
  <si>
    <t>Lišty 500 / 70kg</t>
  </si>
  <si>
    <t>Lišty 550 / 40kg</t>
  </si>
  <si>
    <t>Lišty 550 / 70kg</t>
  </si>
  <si>
    <t>Standard</t>
  </si>
  <si>
    <t>Otevírání dveří</t>
  </si>
  <si>
    <r>
      <t>materiály</t>
    </r>
    <r>
      <rPr>
        <sz val="10"/>
        <color indexed="8"/>
        <rFont val="Calibri"/>
        <family val="2"/>
        <charset val="238"/>
      </rPr>
      <t>↑</t>
    </r>
  </si>
  <si>
    <r>
      <t xml:space="preserve">počty </t>
    </r>
    <r>
      <rPr>
        <sz val="10"/>
        <color indexed="8"/>
        <rFont val="Calibri"/>
        <family val="2"/>
        <charset val="238"/>
      </rPr>
      <t>↑</t>
    </r>
  </si>
  <si>
    <t>provedení dveří</t>
  </si>
  <si>
    <t>ZF7N70T2</t>
  </si>
  <si>
    <t>ZF7M70T2</t>
  </si>
  <si>
    <t>ZF7K70T2</t>
  </si>
  <si>
    <t>ZF7C70T2</t>
  </si>
  <si>
    <t>Stabilizace čel, pro tenké materiály</t>
  </si>
  <si>
    <t>Z96.00T1</t>
  </si>
  <si>
    <t>EXPANDO T, samostatná hmoždinka</t>
  </si>
  <si>
    <t>70T4532T</t>
  </si>
  <si>
    <t>DGR</t>
  </si>
  <si>
    <t>3c</t>
  </si>
  <si>
    <t>7a</t>
  </si>
  <si>
    <t>7b</t>
  </si>
  <si>
    <t>Montážní podložka - boční adaptér</t>
  </si>
  <si>
    <t>Z10C5005</t>
  </si>
  <si>
    <t>OK</t>
  </si>
  <si>
    <t>ok</t>
  </si>
  <si>
    <t>EXPANDO T</t>
  </si>
  <si>
    <t>450 - 650 mm</t>
  </si>
  <si>
    <t>T60L9340</t>
  </si>
  <si>
    <t>L1**</t>
  </si>
  <si>
    <t>400 - 550 mm</t>
  </si>
  <si>
    <t>L5***</t>
  </si>
  <si>
    <t>L5**</t>
  </si>
  <si>
    <t>400 - 650 mm</t>
  </si>
  <si>
    <t>CLIP top 155° s nulovým přesahem, bez pružiny</t>
  </si>
  <si>
    <t>CLIP top 110°, pro tenké materiály, bez pružiny</t>
  </si>
  <si>
    <t>2.2.1</t>
  </si>
  <si>
    <t>-</t>
  </si>
  <si>
    <t>Démos trade a.s.</t>
  </si>
  <si>
    <t>Škrobálkova 630/13</t>
  </si>
  <si>
    <t>Ostrava - Kunčice 718 00</t>
  </si>
  <si>
    <t>objednavky@demos-trade.com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</si>
</sst>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#,##0.00\ _K_č"/>
    <numFmt numFmtId="166" formatCode="###0.00"/>
    <numFmt numFmtId="167" formatCode="#\ ##0.00"/>
    <numFmt numFmtId="170" formatCode="_-* #,##0.00\ &quot;Kč&quot;_-;\-* #,##0.00\ &quot;Kč&quot;_-;_-* &quot;-&quot;??\ &quot;Kč&quot;_-;_-@_-"/>
    <numFmt numFmtId="173" formatCode="_-* #,##0.00\ [$Kč-405]_-;\-* #,##0.00\ [$Kč-405]_-;_-* &quot;-&quot;??\ [$Kč-405]_-;_-@_-"/>
    <numFmt numFmtId="175" formatCode="_-* #,##0\ _K_č_-;\-* #,##0\ _K_č_-;_-* &quot;-&quot;??\ _K_č_-;_-@_-"/>
  </numFmts>
  <fonts count="1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color indexed="55"/>
      <name val="Arial CE"/>
      <family val="2"/>
      <charset val="238"/>
    </font>
    <font>
      <b/>
      <sz val="9"/>
      <color indexed="22"/>
      <name val="Arial CE"/>
      <charset val="238"/>
    </font>
    <font>
      <sz val="9"/>
      <color indexed="8"/>
      <name val="Arial CE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color indexed="22"/>
      <name val="Arial CE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u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color indexed="8"/>
      <name val="Arial"/>
      <family val="2"/>
      <charset val="238"/>
    </font>
    <font>
      <sz val="9"/>
      <color indexed="22"/>
      <name val="Arial CE"/>
      <charset val="238"/>
    </font>
    <font>
      <sz val="8"/>
      <color indexed="9"/>
      <name val="Verdana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22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indexed="3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0"/>
      <color indexed="46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22"/>
      <name val="Arial CE"/>
      <family val="2"/>
      <charset val="238"/>
    </font>
    <font>
      <sz val="10"/>
      <color indexed="22"/>
      <name val="Arial CE"/>
      <family val="2"/>
      <charset val="238"/>
    </font>
    <font>
      <b/>
      <sz val="11"/>
      <color indexed="53"/>
      <name val="Arial"/>
      <family val="2"/>
      <charset val="238"/>
    </font>
    <font>
      <sz val="11"/>
      <color indexed="55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2"/>
      <name val="Arial"/>
      <family val="2"/>
    </font>
    <font>
      <sz val="11"/>
      <color indexed="8"/>
      <name val="Calibri"/>
      <family val="2"/>
    </font>
    <font>
      <b/>
      <sz val="9"/>
      <color indexed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b/>
      <sz val="10"/>
      <color theme="2" tint="-0.249977111117893"/>
      <name val="Arial CE"/>
      <charset val="238"/>
    </font>
    <font>
      <b/>
      <sz val="10"/>
      <color theme="2" tint="-0.249977111117893"/>
      <name val="Arial CE"/>
      <family val="2"/>
      <charset val="238"/>
    </font>
    <font>
      <sz val="10"/>
      <color theme="2" tint="-0.249977111117893"/>
      <name val="Arial"/>
      <family val="2"/>
    </font>
    <font>
      <sz val="10"/>
      <color theme="2" tint="-0.249977111117893"/>
      <name val="Arial CE"/>
      <family val="2"/>
      <charset val="238"/>
    </font>
    <font>
      <sz val="10"/>
      <color theme="2" tint="-9.9978637043366805E-2"/>
      <name val="Arial"/>
      <family val="2"/>
      <charset val="238"/>
    </font>
    <font>
      <sz val="10"/>
      <color theme="0" tint="-0.14999847407452621"/>
      <name val="Arial CE"/>
      <family val="2"/>
      <charset val="238"/>
    </font>
    <font>
      <b/>
      <sz val="10"/>
      <color theme="0" tint="-0.14999847407452621"/>
      <name val="Arial CE"/>
      <charset val="238"/>
    </font>
    <font>
      <b/>
      <sz val="10"/>
      <color theme="0" tint="-0.14999847407452621"/>
      <name val="Arial CE"/>
      <family val="2"/>
      <charset val="238"/>
    </font>
    <font>
      <sz val="10"/>
      <color theme="0" tint="-0.1499984740745262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8"/>
      <color theme="5" tint="0.39997558519241921"/>
      <name val="Verdana"/>
      <family val="2"/>
      <charset val="238"/>
    </font>
    <font>
      <sz val="16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0"/>
      <name val="Arial"/>
      <family val="2"/>
    </font>
    <font>
      <i/>
      <sz val="9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9"/>
      </right>
      <top/>
      <bottom style="medium">
        <color indexed="22"/>
      </bottom>
      <diagonal/>
    </border>
    <border>
      <left style="medium">
        <color indexed="9"/>
      </left>
      <right/>
      <top/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 style="medium">
        <color indexed="22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 style="medium">
        <color theme="0"/>
      </bottom>
      <diagonal/>
    </border>
    <border>
      <left style="medium">
        <color indexed="22"/>
      </left>
      <right/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44" fontId="51" fillId="0" borderId="0" applyFont="0" applyFill="0" applyBorder="0" applyAlignment="0" applyProtection="0"/>
    <xf numFmtId="0" fontId="90" fillId="0" borderId="0"/>
    <xf numFmtId="0" fontId="17" fillId="0" borderId="0"/>
    <xf numFmtId="0" fontId="87" fillId="0" borderId="0"/>
    <xf numFmtId="0" fontId="37" fillId="0" borderId="0"/>
    <xf numFmtId="0" fontId="10" fillId="0" borderId="0"/>
    <xf numFmtId="43" fontId="114" fillId="0" borderId="0" applyFont="0" applyFill="0" applyBorder="0" applyAlignment="0" applyProtection="0"/>
    <xf numFmtId="0" fontId="115" fillId="0" borderId="0"/>
    <xf numFmtId="0" fontId="114" fillId="0" borderId="0"/>
    <xf numFmtId="170" fontId="51" fillId="0" borderId="0" applyFont="0" applyFill="0" applyBorder="0" applyAlignment="0" applyProtection="0"/>
    <xf numFmtId="0" fontId="1" fillId="0" borderId="0"/>
    <xf numFmtId="0" fontId="115" fillId="0" borderId="0"/>
  </cellStyleXfs>
  <cellXfs count="949">
    <xf numFmtId="0" fontId="0" fillId="0" borderId="0" xfId="0"/>
    <xf numFmtId="0" fontId="4" fillId="0" borderId="0" xfId="0" applyFont="1"/>
    <xf numFmtId="0" fontId="5" fillId="0" borderId="0" xfId="0" applyFont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horizontal="center"/>
      <protection locked="0" hidden="1"/>
    </xf>
    <xf numFmtId="0" fontId="9" fillId="0" borderId="0" xfId="0" applyFont="1" applyAlignment="1">
      <alignment horizontal="right"/>
    </xf>
    <xf numFmtId="0" fontId="12" fillId="0" borderId="3" xfId="0" applyFont="1" applyBorder="1" applyProtection="1">
      <protection hidden="1"/>
    </xf>
    <xf numFmtId="0" fontId="13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14" fillId="3" borderId="3" xfId="0" applyFont="1" applyFill="1" applyBorder="1" applyAlignment="1" applyProtection="1">
      <alignment horizontal="left" vertical="center"/>
      <protection hidden="1"/>
    </xf>
    <xf numFmtId="0" fontId="15" fillId="0" borderId="3" xfId="0" applyFont="1" applyFill="1" applyBorder="1" applyAlignment="1" applyProtection="1">
      <protection hidden="1"/>
    </xf>
    <xf numFmtId="2" fontId="16" fillId="0" borderId="1" xfId="0" applyNumberFormat="1" applyFont="1" applyFill="1" applyBorder="1" applyAlignment="1" applyProtection="1">
      <alignment horizontal="center"/>
      <protection hidden="1"/>
    </xf>
    <xf numFmtId="14" fontId="13" fillId="0" borderId="5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3" fillId="0" borderId="0" xfId="0" applyNumberFormat="1" applyFont="1" applyBorder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0" fillId="0" borderId="0" xfId="0" applyBorder="1"/>
    <xf numFmtId="0" fontId="17" fillId="0" borderId="0" xfId="0" applyFont="1" applyFill="1" applyBorder="1" applyProtection="1">
      <protection hidden="1"/>
    </xf>
    <xf numFmtId="0" fontId="2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 applyProtection="1"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14" fontId="10" fillId="0" borderId="5" xfId="0" applyNumberFormat="1" applyFont="1" applyFill="1" applyBorder="1" applyAlignment="1" applyProtection="1">
      <alignment horizontal="center" vertical="center"/>
      <protection hidden="1"/>
    </xf>
    <xf numFmtId="0" fontId="27" fillId="3" borderId="3" xfId="0" applyFont="1" applyFill="1" applyBorder="1" applyAlignment="1" applyProtection="1">
      <alignment horizontal="left" vertical="center"/>
      <protection hidden="1"/>
    </xf>
    <xf numFmtId="0" fontId="28" fillId="0" borderId="3" xfId="0" applyFont="1" applyFill="1" applyBorder="1" applyAlignment="1" applyProtection="1">
      <protection hidden="1"/>
    </xf>
    <xf numFmtId="2" fontId="30" fillId="0" borderId="1" xfId="0" applyNumberFormat="1" applyFont="1" applyFill="1" applyBorder="1" applyAlignment="1" applyProtection="1">
      <alignment horizontal="left"/>
      <protection hidden="1"/>
    </xf>
    <xf numFmtId="0" fontId="31" fillId="3" borderId="3" xfId="0" applyFont="1" applyFill="1" applyBorder="1" applyAlignment="1" applyProtection="1">
      <alignment horizontal="left" vertical="center"/>
      <protection hidden="1"/>
    </xf>
    <xf numFmtId="1" fontId="30" fillId="0" borderId="1" xfId="0" applyNumberFormat="1" applyFont="1" applyFill="1" applyBorder="1" applyAlignment="1" applyProtection="1">
      <alignment horizontal="center"/>
      <protection hidden="1"/>
    </xf>
    <xf numFmtId="0" fontId="32" fillId="0" borderId="4" xfId="0" applyFont="1" applyFill="1" applyBorder="1" applyAlignment="1" applyProtection="1">
      <alignment horizontal="center" vertical="center"/>
      <protection hidden="1"/>
    </xf>
    <xf numFmtId="0" fontId="10" fillId="0" borderId="6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6" xfId="0" applyFont="1" applyFill="1" applyBorder="1" applyAlignment="1" applyProtection="1">
      <alignment wrapText="1"/>
      <protection hidden="1"/>
    </xf>
    <xf numFmtId="0" fontId="28" fillId="0" borderId="3" xfId="0" applyFont="1" applyFill="1" applyBorder="1" applyAlignment="1" applyProtection="1">
      <alignment vertical="center"/>
      <protection hidden="1"/>
    </xf>
    <xf numFmtId="0" fontId="10" fillId="0" borderId="6" xfId="0" applyFont="1" applyFill="1" applyBorder="1" applyAlignment="1" applyProtection="1">
      <alignment wrapText="1"/>
      <protection hidden="1"/>
    </xf>
    <xf numFmtId="0" fontId="28" fillId="0" borderId="3" xfId="0" applyFont="1" applyFill="1" applyBorder="1" applyProtection="1">
      <protection hidden="1"/>
    </xf>
    <xf numFmtId="0" fontId="10" fillId="0" borderId="6" xfId="0" applyFont="1" applyFill="1" applyBorder="1" applyProtection="1">
      <protection hidden="1"/>
    </xf>
    <xf numFmtId="0" fontId="10" fillId="0" borderId="6" xfId="0" applyFont="1" applyBorder="1" applyAlignment="1" applyProtection="1">
      <alignment horizontal="left"/>
      <protection hidden="1"/>
    </xf>
    <xf numFmtId="0" fontId="36" fillId="0" borderId="0" xfId="0" applyFont="1" applyProtection="1"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0" fontId="10" fillId="0" borderId="0" xfId="8" applyFont="1" applyFill="1" applyBorder="1" applyProtection="1">
      <protection hidden="1"/>
    </xf>
    <xf numFmtId="11" fontId="27" fillId="3" borderId="3" xfId="0" applyNumberFormat="1" applyFont="1" applyFill="1" applyBorder="1" applyAlignment="1" applyProtection="1">
      <alignment horizontal="left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10" fillId="0" borderId="0" xfId="0" applyFont="1" applyFill="1" applyBorder="1" applyAlignment="1" applyProtection="1">
      <alignment horizontal="right" vertical="center"/>
      <protection hidden="1"/>
    </xf>
    <xf numFmtId="0" fontId="11" fillId="0" borderId="6" xfId="0" applyFont="1" applyBorder="1" applyProtection="1">
      <protection hidden="1"/>
    </xf>
    <xf numFmtId="2" fontId="12" fillId="0" borderId="1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1" fillId="0" borderId="10" xfId="0" applyFont="1" applyBorder="1" applyProtection="1">
      <protection hidden="1"/>
    </xf>
    <xf numFmtId="0" fontId="13" fillId="0" borderId="10" xfId="0" applyFont="1" applyFill="1" applyBorder="1" applyProtection="1">
      <protection hidden="1"/>
    </xf>
    <xf numFmtId="1" fontId="19" fillId="0" borderId="0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Border="1" applyAlignment="1" applyProtection="1">
      <alignment horizontal="center"/>
      <protection hidden="1"/>
    </xf>
    <xf numFmtId="2" fontId="16" fillId="0" borderId="0" xfId="0" applyNumberFormat="1" applyFont="1" applyFill="1" applyBorder="1" applyAlignment="1" applyProtection="1">
      <alignment horizontal="center"/>
      <protection hidden="1"/>
    </xf>
    <xf numFmtId="2" fontId="23" fillId="0" borderId="0" xfId="0" applyNumberFormat="1" applyFont="1" applyFill="1" applyBorder="1" applyAlignment="1" applyProtection="1">
      <alignment horizontal="center"/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/>
      <protection locked="0"/>
    </xf>
    <xf numFmtId="1" fontId="16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protection hidden="1"/>
    </xf>
    <xf numFmtId="2" fontId="19" fillId="0" borderId="0" xfId="0" applyNumberFormat="1" applyFont="1" applyFill="1" applyBorder="1" applyAlignment="1" applyProtection="1">
      <alignment horizontal="left"/>
      <protection hidden="1"/>
    </xf>
    <xf numFmtId="2" fontId="16" fillId="0" borderId="0" xfId="0" applyNumberFormat="1" applyFont="1" applyFill="1" applyBorder="1" applyAlignment="1" applyProtection="1">
      <alignment horizontal="left"/>
      <protection hidden="1"/>
    </xf>
    <xf numFmtId="0" fontId="18" fillId="0" borderId="0" xfId="0" applyFont="1" applyBorder="1" applyProtection="1"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0" fontId="11" fillId="0" borderId="0" xfId="0" applyFont="1" applyBorder="1" applyProtection="1">
      <protection hidden="1"/>
    </xf>
    <xf numFmtId="0" fontId="13" fillId="0" borderId="11" xfId="0" applyFont="1" applyFill="1" applyBorder="1" applyProtection="1">
      <protection hidden="1"/>
    </xf>
    <xf numFmtId="0" fontId="14" fillId="3" borderId="11" xfId="0" applyFont="1" applyFill="1" applyBorder="1" applyAlignment="1" applyProtection="1">
      <alignment horizontal="left" vertical="center"/>
      <protection hidden="1"/>
    </xf>
    <xf numFmtId="0" fontId="15" fillId="0" borderId="11" xfId="0" applyFont="1" applyFill="1" applyBorder="1" applyAlignment="1" applyProtection="1">
      <protection hidden="1"/>
    </xf>
    <xf numFmtId="2" fontId="16" fillId="0" borderId="11" xfId="0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Protection="1"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5" fillId="0" borderId="1" xfId="0" applyFont="1" applyFill="1" applyBorder="1" applyAlignment="1" applyProtection="1">
      <protection hidden="1"/>
    </xf>
    <xf numFmtId="164" fontId="5" fillId="0" borderId="3" xfId="0" applyNumberFormat="1" applyFont="1" applyBorder="1" applyAlignment="1">
      <alignment horizontal="center"/>
    </xf>
    <xf numFmtId="0" fontId="13" fillId="5" borderId="11" xfId="0" applyFont="1" applyFill="1" applyBorder="1" applyProtection="1">
      <protection hidden="1"/>
    </xf>
    <xf numFmtId="0" fontId="38" fillId="0" borderId="0" xfId="4" applyFont="1" applyFill="1" applyAlignment="1">
      <alignment horizontal="left"/>
    </xf>
    <xf numFmtId="0" fontId="90" fillId="0" borderId="0" xfId="4"/>
    <xf numFmtId="0" fontId="90" fillId="0" borderId="0" xfId="4" applyFill="1"/>
    <xf numFmtId="0" fontId="90" fillId="6" borderId="0" xfId="4" applyFill="1"/>
    <xf numFmtId="0" fontId="39" fillId="0" borderId="0" xfId="4" applyFont="1" applyFill="1"/>
    <xf numFmtId="0" fontId="13" fillId="0" borderId="0" xfId="5" applyFont="1" applyFill="1" applyProtection="1">
      <protection hidden="1"/>
    </xf>
    <xf numFmtId="0" fontId="90" fillId="0" borderId="0" xfId="4" applyAlignment="1">
      <alignment vertical="center"/>
    </xf>
    <xf numFmtId="0" fontId="90" fillId="0" borderId="0" xfId="4" applyFill="1" applyAlignment="1">
      <alignment vertical="center"/>
    </xf>
    <xf numFmtId="0" fontId="90" fillId="5" borderId="0" xfId="4" applyFill="1"/>
    <xf numFmtId="0" fontId="40" fillId="0" borderId="0" xfId="0" applyFont="1" applyAlignment="1" applyProtection="1">
      <alignment horizontal="center"/>
      <protection locked="0" hidden="1"/>
    </xf>
    <xf numFmtId="0" fontId="41" fillId="0" borderId="0" xfId="5" applyFont="1" applyAlignment="1" applyProtection="1">
      <alignment horizontal="center"/>
      <protection hidden="1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horizontal="center"/>
      <protection locked="0"/>
    </xf>
    <xf numFmtId="0" fontId="35" fillId="0" borderId="0" xfId="0" applyFont="1"/>
    <xf numFmtId="0" fontId="48" fillId="0" borderId="0" xfId="5" applyFont="1" applyAlignment="1" applyProtection="1">
      <alignment horizontal="center"/>
      <protection hidden="1"/>
    </xf>
    <xf numFmtId="0" fontId="45" fillId="0" borderId="0" xfId="1" applyFont="1" applyAlignment="1" applyProtection="1">
      <alignment horizontal="center"/>
    </xf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" fontId="5" fillId="0" borderId="1" xfId="0" applyNumberFormat="1" applyFont="1" applyBorder="1" applyAlignment="1" applyProtection="1">
      <alignment horizontal="right"/>
      <protection hidden="1"/>
    </xf>
    <xf numFmtId="4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5" fillId="0" borderId="2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5" borderId="0" xfId="0" applyFont="1" applyFill="1" applyBorder="1" applyAlignment="1" applyProtection="1">
      <alignment vertical="center"/>
      <protection hidden="1"/>
    </xf>
    <xf numFmtId="164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12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5" fillId="0" borderId="14" xfId="0" applyFont="1" applyBorder="1" applyProtection="1">
      <protection hidden="1"/>
    </xf>
    <xf numFmtId="0" fontId="47" fillId="0" borderId="0" xfId="0" applyFont="1" applyProtection="1">
      <protection hidden="1"/>
    </xf>
    <xf numFmtId="0" fontId="5" fillId="0" borderId="0" xfId="0" applyNumberFormat="1" applyFont="1" applyProtection="1">
      <protection hidden="1"/>
    </xf>
    <xf numFmtId="49" fontId="5" fillId="0" borderId="0" xfId="0" applyNumberFormat="1" applyFont="1" applyProtection="1">
      <protection hidden="1"/>
    </xf>
    <xf numFmtId="0" fontId="45" fillId="0" borderId="0" xfId="2" applyFont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6" fillId="0" borderId="0" xfId="2" applyFont="1" applyFill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43" fillId="0" borderId="2" xfId="0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44" fillId="0" borderId="15" xfId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15" xfId="0" applyFont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42" fillId="0" borderId="16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0" fillId="5" borderId="17" xfId="1" applyFont="1" applyFill="1" applyBorder="1" applyProtection="1">
      <protection hidden="1"/>
    </xf>
    <xf numFmtId="0" fontId="10" fillId="5" borderId="18" xfId="1" applyFont="1" applyFill="1" applyBorder="1" applyProtection="1">
      <protection hidden="1"/>
    </xf>
    <xf numFmtId="0" fontId="5" fillId="0" borderId="0" xfId="0" applyFont="1" applyAlignment="1"/>
    <xf numFmtId="4" fontId="5" fillId="0" borderId="0" xfId="0" applyNumberFormat="1" applyFont="1" applyBorder="1" applyProtection="1">
      <protection hidden="1"/>
    </xf>
    <xf numFmtId="0" fontId="10" fillId="5" borderId="0" xfId="1" applyFont="1" applyFill="1" applyBorder="1" applyProtection="1">
      <protection hidden="1"/>
    </xf>
    <xf numFmtId="0" fontId="10" fillId="5" borderId="0" xfId="1" applyFont="1" applyFill="1" applyBorder="1" applyAlignment="1" applyProtection="1">
      <alignment vertical="center"/>
      <protection hidden="1"/>
    </xf>
    <xf numFmtId="0" fontId="49" fillId="0" borderId="0" xfId="1" applyFont="1" applyAlignment="1" applyProtection="1">
      <alignment horizontal="right"/>
      <protection hidden="1"/>
    </xf>
    <xf numFmtId="0" fontId="38" fillId="0" borderId="0" xfId="0" applyFont="1" applyAlignment="1" applyProtection="1">
      <alignment horizontal="center"/>
      <protection locked="0"/>
    </xf>
    <xf numFmtId="0" fontId="50" fillId="0" borderId="2" xfId="0" applyFont="1" applyBorder="1" applyAlignment="1" applyProtection="1">
      <alignment horizontal="right"/>
      <protection hidden="1"/>
    </xf>
    <xf numFmtId="0" fontId="7" fillId="5" borderId="15" xfId="0" applyFont="1" applyFill="1" applyBorder="1" applyAlignment="1" applyProtection="1">
      <alignment horizontal="center"/>
      <protection hidden="1"/>
    </xf>
    <xf numFmtId="0" fontId="45" fillId="0" borderId="0" xfId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3" fillId="0" borderId="0" xfId="4" applyFont="1" applyFill="1"/>
    <xf numFmtId="0" fontId="11" fillId="0" borderId="10" xfId="0" applyFont="1" applyBorder="1" applyAlignment="1" applyProtection="1">
      <alignment horizontal="center"/>
      <protection hidden="1"/>
    </xf>
    <xf numFmtId="164" fontId="5" fillId="0" borderId="0" xfId="0" applyNumberFormat="1" applyFont="1" applyBorder="1" applyAlignment="1">
      <alignment horizontal="center"/>
    </xf>
    <xf numFmtId="0" fontId="54" fillId="3" borderId="11" xfId="0" applyFont="1" applyFill="1" applyBorder="1" applyAlignment="1" applyProtection="1">
      <alignment horizontal="center" vertical="center"/>
      <protection hidden="1"/>
    </xf>
    <xf numFmtId="0" fontId="54" fillId="3" borderId="1" xfId="0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alignment horizontal="center" vertical="center"/>
      <protection hidden="1"/>
    </xf>
    <xf numFmtId="0" fontId="54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Alignment="1"/>
    <xf numFmtId="0" fontId="5" fillId="0" borderId="19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43" fillId="0" borderId="0" xfId="0" applyFont="1" applyProtection="1">
      <protection hidden="1"/>
    </xf>
    <xf numFmtId="0" fontId="5" fillId="0" borderId="16" xfId="0" applyFont="1" applyBorder="1" applyProtection="1">
      <protection hidden="1"/>
    </xf>
    <xf numFmtId="0" fontId="5" fillId="0" borderId="15" xfId="0" applyFont="1" applyFill="1" applyBorder="1" applyProtection="1">
      <protection hidden="1"/>
    </xf>
    <xf numFmtId="0" fontId="59" fillId="0" borderId="0" xfId="4" applyFont="1"/>
    <xf numFmtId="0" fontId="59" fillId="0" borderId="0" xfId="4" applyFont="1" applyFill="1"/>
    <xf numFmtId="0" fontId="7" fillId="0" borderId="0" xfId="0" applyFont="1" applyProtection="1">
      <protection hidden="1"/>
    </xf>
    <xf numFmtId="0" fontId="62" fillId="0" borderId="2" xfId="0" applyFont="1" applyBorder="1" applyAlignment="1">
      <alignment horizontal="right"/>
    </xf>
    <xf numFmtId="0" fontId="61" fillId="0" borderId="1" xfId="1" applyFont="1" applyFill="1" applyBorder="1" applyProtection="1">
      <protection hidden="1"/>
    </xf>
    <xf numFmtId="0" fontId="63" fillId="0" borderId="2" xfId="0" applyFont="1" applyBorder="1" applyProtection="1">
      <protection hidden="1"/>
    </xf>
    <xf numFmtId="0" fontId="5" fillId="0" borderId="19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63" fillId="0" borderId="2" xfId="0" applyFont="1" applyBorder="1" applyAlignment="1">
      <alignment horizontal="center"/>
    </xf>
    <xf numFmtId="0" fontId="7" fillId="0" borderId="0" xfId="0" applyFont="1" applyBorder="1" applyAlignment="1" applyProtection="1">
      <alignment horizontal="right"/>
      <protection hidden="1"/>
    </xf>
    <xf numFmtId="0" fontId="62" fillId="0" borderId="0" xfId="0" applyFont="1" applyAlignment="1" applyProtection="1">
      <alignment horizontal="right"/>
      <protection hidden="1"/>
    </xf>
    <xf numFmtId="0" fontId="50" fillId="0" borderId="2" xfId="0" applyFont="1" applyBorder="1" applyProtection="1">
      <protection hidden="1"/>
    </xf>
    <xf numFmtId="0" fontId="61" fillId="0" borderId="0" xfId="1" applyFont="1" applyFill="1" applyBorder="1" applyProtection="1">
      <protection hidden="1"/>
    </xf>
    <xf numFmtId="0" fontId="50" fillId="0" borderId="2" xfId="0" applyFont="1" applyBorder="1"/>
    <xf numFmtId="0" fontId="18" fillId="0" borderId="20" xfId="0" applyFont="1" applyFill="1" applyBorder="1" applyAlignment="1" applyProtection="1">
      <alignment horizontal="center" vertical="center"/>
      <protection hidden="1"/>
    </xf>
    <xf numFmtId="0" fontId="18" fillId="0" borderId="13" xfId="0" applyFont="1" applyFill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right"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63" fillId="0" borderId="12" xfId="0" applyFont="1" applyBorder="1" applyProtection="1">
      <protection hidden="1"/>
    </xf>
    <xf numFmtId="4" fontId="9" fillId="0" borderId="0" xfId="0" applyNumberFormat="1" applyFont="1" applyAlignment="1" applyProtection="1">
      <alignment horizontal="right"/>
      <protection hidden="1"/>
    </xf>
    <xf numFmtId="0" fontId="3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49" fontId="5" fillId="0" borderId="12" xfId="0" applyNumberFormat="1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63" fillId="0" borderId="20" xfId="0" applyFont="1" applyBorder="1" applyProtection="1">
      <protection hidden="1"/>
    </xf>
    <xf numFmtId="49" fontId="5" fillId="0" borderId="20" xfId="0" applyNumberFormat="1" applyFont="1" applyBorder="1" applyProtection="1">
      <protection hidden="1"/>
    </xf>
    <xf numFmtId="0" fontId="5" fillId="0" borderId="20" xfId="0" applyFont="1" applyBorder="1" applyProtection="1">
      <protection hidden="1"/>
    </xf>
    <xf numFmtId="0" fontId="63" fillId="0" borderId="0" xfId="0" applyFont="1" applyProtection="1">
      <protection hidden="1"/>
    </xf>
    <xf numFmtId="0" fontId="37" fillId="0" borderId="2" xfId="0" applyFont="1" applyBorder="1" applyProtection="1">
      <protection hidden="1"/>
    </xf>
    <xf numFmtId="0" fontId="55" fillId="0" borderId="1" xfId="0" applyFont="1" applyBorder="1" applyAlignment="1" applyProtection="1">
      <alignment wrapText="1"/>
      <protection hidden="1"/>
    </xf>
    <xf numFmtId="0" fontId="55" fillId="0" borderId="1" xfId="0" applyFont="1" applyBorder="1" applyAlignment="1" applyProtection="1">
      <alignment horizontal="center" wrapText="1"/>
      <protection hidden="1"/>
    </xf>
    <xf numFmtId="0" fontId="37" fillId="0" borderId="0" xfId="0" applyFont="1" applyAlignment="1" applyProtection="1">
      <alignment horizontal="center"/>
      <protection hidden="1"/>
    </xf>
    <xf numFmtId="0" fontId="37" fillId="0" borderId="20" xfId="0" applyFont="1" applyBorder="1" applyProtection="1">
      <protection hidden="1"/>
    </xf>
    <xf numFmtId="2" fontId="37" fillId="0" borderId="20" xfId="0" applyNumberFormat="1" applyFont="1" applyBorder="1" applyAlignment="1" applyProtection="1">
      <alignment horizontal="center"/>
      <protection hidden="1"/>
    </xf>
    <xf numFmtId="0" fontId="37" fillId="0" borderId="20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7" fillId="0" borderId="13" xfId="0" applyFont="1" applyBorder="1" applyProtection="1">
      <protection hidden="1"/>
    </xf>
    <xf numFmtId="2" fontId="37" fillId="0" borderId="13" xfId="0" applyNumberFormat="1" applyFont="1" applyBorder="1" applyAlignment="1" applyProtection="1">
      <alignment horizontal="center"/>
      <protection hidden="1"/>
    </xf>
    <xf numFmtId="4" fontId="37" fillId="0" borderId="13" xfId="0" applyNumberFormat="1" applyFont="1" applyBorder="1" applyProtection="1">
      <protection hidden="1"/>
    </xf>
    <xf numFmtId="0" fontId="37" fillId="0" borderId="13" xfId="0" applyFont="1" applyBorder="1" applyAlignment="1" applyProtection="1">
      <alignment horizontal="center"/>
      <protection hidden="1"/>
    </xf>
    <xf numFmtId="0" fontId="37" fillId="0" borderId="0" xfId="0" applyFont="1" applyFill="1" applyAlignment="1" applyProtection="1">
      <alignment horizontal="center"/>
      <protection hidden="1"/>
    </xf>
    <xf numFmtId="2" fontId="37" fillId="0" borderId="13" xfId="0" applyNumberFormat="1" applyFont="1" applyBorder="1" applyProtection="1">
      <protection hidden="1"/>
    </xf>
    <xf numFmtId="2" fontId="37" fillId="0" borderId="0" xfId="0" applyNumberFormat="1" applyFont="1" applyBorder="1" applyProtection="1">
      <protection hidden="1"/>
    </xf>
    <xf numFmtId="0" fontId="0" fillId="0" borderId="13" xfId="0" applyBorder="1" applyProtection="1">
      <protection hidden="1"/>
    </xf>
    <xf numFmtId="0" fontId="6" fillId="0" borderId="13" xfId="0" applyFont="1" applyBorder="1" applyAlignment="1" applyProtection="1">
      <protection hidden="1"/>
    </xf>
    <xf numFmtId="0" fontId="6" fillId="0" borderId="13" xfId="0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1" fontId="37" fillId="2" borderId="13" xfId="0" applyNumberFormat="1" applyFont="1" applyFill="1" applyBorder="1" applyAlignment="1" applyProtection="1">
      <alignment horizontal="center"/>
      <protection locked="0"/>
    </xf>
    <xf numFmtId="0" fontId="63" fillId="0" borderId="0" xfId="0" applyFont="1"/>
    <xf numFmtId="0" fontId="65" fillId="0" borderId="0" xfId="0" applyFont="1"/>
    <xf numFmtId="0" fontId="10" fillId="5" borderId="18" xfId="1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1" fontId="37" fillId="2" borderId="20" xfId="0" applyNumberFormat="1" applyFont="1" applyFill="1" applyBorder="1" applyAlignment="1" applyProtection="1">
      <alignment horizontal="center"/>
      <protection locked="0"/>
    </xf>
    <xf numFmtId="1" fontId="37" fillId="0" borderId="0" xfId="0" applyNumberFormat="1" applyFont="1" applyAlignment="1" applyProtection="1">
      <alignment horizontal="center"/>
      <protection hidden="1"/>
    </xf>
    <xf numFmtId="1" fontId="18" fillId="0" borderId="13" xfId="0" applyNumberFormat="1" applyFont="1" applyFill="1" applyBorder="1" applyAlignment="1" applyProtection="1">
      <alignment horizontal="center" vertical="center"/>
      <protection hidden="1"/>
    </xf>
    <xf numFmtId="44" fontId="5" fillId="0" borderId="0" xfId="3" applyFont="1" applyAlignment="1" applyProtection="1">
      <protection hidden="1"/>
    </xf>
    <xf numFmtId="0" fontId="59" fillId="5" borderId="0" xfId="4" applyFont="1" applyFill="1"/>
    <xf numFmtId="0" fontId="10" fillId="7" borderId="18" xfId="1" applyFont="1" applyFill="1" applyBorder="1" applyProtection="1">
      <protection hidden="1"/>
    </xf>
    <xf numFmtId="0" fontId="5" fillId="0" borderId="2" xfId="0" applyFont="1" applyBorder="1" applyAlignment="1" applyProtection="1">
      <alignment horizontal="right"/>
      <protection hidden="1"/>
    </xf>
    <xf numFmtId="49" fontId="13" fillId="0" borderId="3" xfId="0" applyNumberFormat="1" applyFont="1" applyFill="1" applyBorder="1" applyAlignment="1" applyProtection="1">
      <alignment horizontal="center" vertical="center"/>
      <protection hidden="1"/>
    </xf>
    <xf numFmtId="49" fontId="10" fillId="0" borderId="4" xfId="0" applyNumberFormat="1" applyFont="1" applyFill="1" applyBorder="1" applyAlignment="1" applyProtection="1">
      <alignment horizontal="center" vertical="center"/>
      <protection hidden="1"/>
    </xf>
    <xf numFmtId="49" fontId="30" fillId="0" borderId="3" xfId="0" applyNumberFormat="1" applyFont="1" applyFill="1" applyBorder="1" applyAlignment="1" applyProtection="1">
      <alignment horizontal="center"/>
      <protection hidden="1"/>
    </xf>
    <xf numFmtId="49" fontId="10" fillId="0" borderId="3" xfId="0" applyNumberFormat="1" applyFont="1" applyFill="1" applyBorder="1" applyAlignment="1" applyProtection="1">
      <alignment horizontal="center" vertical="center"/>
      <protection hidden="1"/>
    </xf>
    <xf numFmtId="1" fontId="37" fillId="2" borderId="22" xfId="0" applyNumberFormat="1" applyFont="1" applyFill="1" applyBorder="1" applyAlignment="1" applyProtection="1">
      <alignment horizontal="center"/>
      <protection locked="0"/>
    </xf>
    <xf numFmtId="1" fontId="37" fillId="2" borderId="23" xfId="0" applyNumberFormat="1" applyFont="1" applyFill="1" applyBorder="1" applyAlignment="1" applyProtection="1">
      <alignment horizontal="center"/>
      <protection locked="0"/>
    </xf>
    <xf numFmtId="1" fontId="30" fillId="0" borderId="19" xfId="0" applyNumberFormat="1" applyFont="1" applyFill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49" fontId="13" fillId="0" borderId="4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/>
      <protection hidden="1"/>
    </xf>
    <xf numFmtId="4" fontId="5" fillId="0" borderId="20" xfId="0" applyNumberFormat="1" applyFont="1" applyBorder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4" fontId="5" fillId="0" borderId="13" xfId="0" applyNumberFormat="1" applyFont="1" applyBorder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4" fontId="5" fillId="0" borderId="21" xfId="0" applyNumberFormat="1" applyFont="1" applyBorder="1" applyProtection="1">
      <protection hidden="1"/>
    </xf>
    <xf numFmtId="4" fontId="5" fillId="0" borderId="13" xfId="0" applyNumberFormat="1" applyFont="1" applyBorder="1" applyAlignment="1" applyProtection="1">
      <alignment horizontal="right"/>
      <protection hidden="1"/>
    </xf>
    <xf numFmtId="4" fontId="5" fillId="0" borderId="21" xfId="0" applyNumberFormat="1" applyFont="1" applyBorder="1" applyAlignment="1" applyProtection="1">
      <alignment horizontal="right"/>
      <protection hidden="1"/>
    </xf>
    <xf numFmtId="0" fontId="10" fillId="0" borderId="7" xfId="0" applyFont="1" applyFill="1" applyBorder="1" applyProtection="1">
      <protection hidden="1"/>
    </xf>
    <xf numFmtId="0" fontId="27" fillId="3" borderId="7" xfId="0" applyFont="1" applyFill="1" applyBorder="1" applyAlignment="1" applyProtection="1">
      <alignment horizontal="left" vertical="center"/>
      <protection hidden="1"/>
    </xf>
    <xf numFmtId="0" fontId="28" fillId="0" borderId="7" xfId="0" applyFont="1" applyFill="1" applyBorder="1" applyAlignment="1" applyProtection="1">
      <protection hidden="1"/>
    </xf>
    <xf numFmtId="0" fontId="10" fillId="0" borderId="8" xfId="0" applyFont="1" applyFill="1" applyBorder="1" applyProtection="1">
      <protection hidden="1"/>
    </xf>
    <xf numFmtId="0" fontId="27" fillId="3" borderId="8" xfId="0" applyFont="1" applyFill="1" applyBorder="1" applyAlignment="1" applyProtection="1">
      <alignment horizontal="left" vertical="center"/>
      <protection hidden="1"/>
    </xf>
    <xf numFmtId="0" fontId="28" fillId="0" borderId="8" xfId="0" applyFont="1" applyFill="1" applyBorder="1" applyAlignment="1" applyProtection="1">
      <protection hidden="1"/>
    </xf>
    <xf numFmtId="0" fontId="31" fillId="3" borderId="8" xfId="0" applyFont="1" applyFill="1" applyBorder="1" applyAlignment="1" applyProtection="1">
      <alignment horizontal="left" vertical="center"/>
      <protection hidden="1"/>
    </xf>
    <xf numFmtId="2" fontId="30" fillId="0" borderId="21" xfId="0" applyNumberFormat="1" applyFont="1" applyFill="1" applyBorder="1" applyAlignment="1" applyProtection="1">
      <alignment horizontal="left"/>
      <protection hidden="1"/>
    </xf>
    <xf numFmtId="0" fontId="31" fillId="3" borderId="9" xfId="0" applyFont="1" applyFill="1" applyBorder="1" applyAlignment="1" applyProtection="1">
      <alignment horizontal="left" vertical="center"/>
      <protection hidden="1"/>
    </xf>
    <xf numFmtId="0" fontId="28" fillId="0" borderId="9" xfId="0" applyFont="1" applyFill="1" applyBorder="1" applyAlignment="1" applyProtection="1">
      <protection hidden="1"/>
    </xf>
    <xf numFmtId="1" fontId="30" fillId="0" borderId="21" xfId="0" applyNumberFormat="1" applyFont="1" applyFill="1" applyBorder="1" applyAlignment="1" applyProtection="1">
      <alignment horizontal="center"/>
      <protection hidden="1"/>
    </xf>
    <xf numFmtId="2" fontId="30" fillId="0" borderId="2" xfId="0" applyNumberFormat="1" applyFont="1" applyFill="1" applyBorder="1" applyAlignment="1" applyProtection="1">
      <alignment horizontal="left"/>
      <protection hidden="1"/>
    </xf>
    <xf numFmtId="0" fontId="31" fillId="3" borderId="24" xfId="0" applyFont="1" applyFill="1" applyBorder="1" applyAlignment="1" applyProtection="1">
      <alignment horizontal="left" vertical="center"/>
      <protection hidden="1"/>
    </xf>
    <xf numFmtId="0" fontId="10" fillId="0" borderId="25" xfId="0" applyFont="1" applyBorder="1" applyProtection="1">
      <protection hidden="1"/>
    </xf>
    <xf numFmtId="0" fontId="28" fillId="0" borderId="7" xfId="0" applyFont="1" applyFill="1" applyBorder="1" applyProtection="1">
      <protection hidden="1"/>
    </xf>
    <xf numFmtId="0" fontId="10" fillId="0" borderId="26" xfId="0" applyFont="1" applyBorder="1" applyProtection="1">
      <protection hidden="1"/>
    </xf>
    <xf numFmtId="0" fontId="28" fillId="0" borderId="8" xfId="0" applyFont="1" applyFill="1" applyBorder="1" applyProtection="1">
      <protection hidden="1"/>
    </xf>
    <xf numFmtId="0" fontId="28" fillId="0" borderId="9" xfId="0" applyFont="1" applyFill="1" applyBorder="1" applyProtection="1">
      <protection hidden="1"/>
    </xf>
    <xf numFmtId="0" fontId="28" fillId="0" borderId="24" xfId="0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0" fontId="6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/>
    <xf numFmtId="0" fontId="5" fillId="0" borderId="0" xfId="0" applyFont="1" applyFill="1" applyBorder="1" applyAlignment="1" applyProtection="1">
      <alignment horizontal="center"/>
      <protection hidden="1"/>
    </xf>
    <xf numFmtId="0" fontId="58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68" fillId="0" borderId="0" xfId="0" applyFont="1" applyFill="1" applyBorder="1" applyAlignment="1" applyProtection="1">
      <alignment horizontal="center"/>
      <protection locked="0"/>
    </xf>
    <xf numFmtId="0" fontId="70" fillId="8" borderId="0" xfId="0" applyFont="1" applyFill="1" applyBorder="1" applyAlignment="1" applyProtection="1">
      <alignment horizontal="center" vertical="center"/>
      <protection hidden="1"/>
    </xf>
    <xf numFmtId="0" fontId="70" fillId="9" borderId="27" xfId="0" applyFont="1" applyFill="1" applyBorder="1" applyAlignment="1" applyProtection="1">
      <alignment horizontal="center" vertical="center"/>
      <protection hidden="1"/>
    </xf>
    <xf numFmtId="0" fontId="69" fillId="0" borderId="27" xfId="0" applyFont="1" applyBorder="1" applyAlignment="1">
      <alignment horizontal="center"/>
    </xf>
    <xf numFmtId="0" fontId="68" fillId="2" borderId="28" xfId="0" applyFont="1" applyFill="1" applyBorder="1" applyAlignment="1" applyProtection="1">
      <alignment horizontal="center"/>
      <protection locked="0"/>
    </xf>
    <xf numFmtId="0" fontId="68" fillId="2" borderId="29" xfId="0" applyFont="1" applyFill="1" applyBorder="1" applyAlignment="1" applyProtection="1">
      <alignment horizontal="center"/>
      <protection locked="0"/>
    </xf>
    <xf numFmtId="0" fontId="70" fillId="8" borderId="30" xfId="0" applyFont="1" applyFill="1" applyBorder="1" applyAlignment="1" applyProtection="1">
      <alignment horizontal="center" vertical="center"/>
      <protection hidden="1"/>
    </xf>
    <xf numFmtId="0" fontId="69" fillId="0" borderId="31" xfId="0" applyFont="1" applyBorder="1"/>
    <xf numFmtId="0" fontId="68" fillId="2" borderId="32" xfId="0" applyFont="1" applyFill="1" applyBorder="1" applyAlignment="1" applyProtection="1">
      <alignment horizontal="center"/>
      <protection locked="0"/>
    </xf>
    <xf numFmtId="0" fontId="68" fillId="2" borderId="33" xfId="0" applyFont="1" applyFill="1" applyBorder="1" applyAlignment="1" applyProtection="1">
      <alignment horizontal="center"/>
      <protection locked="0"/>
    </xf>
    <xf numFmtId="0" fontId="69" fillId="6" borderId="34" xfId="0" applyFont="1" applyFill="1" applyBorder="1" applyAlignment="1">
      <alignment horizontal="center"/>
    </xf>
    <xf numFmtId="0" fontId="68" fillId="6" borderId="34" xfId="0" applyFont="1" applyFill="1" applyBorder="1" applyAlignment="1" applyProtection="1">
      <alignment horizontal="center"/>
      <protection locked="0"/>
    </xf>
    <xf numFmtId="0" fontId="69" fillId="6" borderId="35" xfId="0" applyFont="1" applyFill="1" applyBorder="1" applyAlignment="1">
      <alignment horizontal="center"/>
    </xf>
    <xf numFmtId="0" fontId="69" fillId="6" borderId="36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69" fillId="0" borderId="1" xfId="0" applyFont="1" applyBorder="1" applyAlignment="1" applyProtection="1">
      <alignment horizontal="center"/>
      <protection hidden="1"/>
    </xf>
    <xf numFmtId="0" fontId="69" fillId="0" borderId="37" xfId="0" applyFont="1" applyBorder="1" applyAlignment="1" applyProtection="1">
      <alignment horizontal="center"/>
      <protection hidden="1"/>
    </xf>
    <xf numFmtId="0" fontId="71" fillId="0" borderId="2" xfId="0" applyFont="1" applyFill="1" applyBorder="1" applyAlignment="1" applyProtection="1">
      <alignment horizontal="left" vertical="center"/>
      <protection hidden="1"/>
    </xf>
    <xf numFmtId="0" fontId="72" fillId="0" borderId="2" xfId="0" applyFont="1" applyBorder="1" applyAlignment="1" applyProtection="1">
      <alignment horizontal="left"/>
      <protection hidden="1"/>
    </xf>
    <xf numFmtId="0" fontId="73" fillId="6" borderId="34" xfId="0" applyFont="1" applyFill="1" applyBorder="1" applyAlignment="1" applyProtection="1">
      <alignment horizontal="center"/>
      <protection locked="0"/>
    </xf>
    <xf numFmtId="0" fontId="70" fillId="0" borderId="0" xfId="0" applyFont="1" applyFill="1" applyBorder="1" applyAlignment="1" applyProtection="1">
      <alignment horizontal="center" vertical="center"/>
      <protection hidden="1"/>
    </xf>
    <xf numFmtId="0" fontId="69" fillId="0" borderId="0" xfId="0" applyFont="1" applyFill="1" applyBorder="1" applyAlignment="1" applyProtection="1">
      <alignment horizontal="center"/>
      <protection hidden="1"/>
    </xf>
    <xf numFmtId="0" fontId="68" fillId="2" borderId="36" xfId="0" applyFont="1" applyFill="1" applyBorder="1" applyAlignment="1" applyProtection="1">
      <alignment horizontal="center"/>
      <protection locked="0"/>
    </xf>
    <xf numFmtId="0" fontId="68" fillId="2" borderId="35" xfId="0" applyFont="1" applyFill="1" applyBorder="1" applyAlignment="1" applyProtection="1">
      <alignment horizontal="center"/>
      <protection locked="0"/>
    </xf>
    <xf numFmtId="0" fontId="69" fillId="0" borderId="0" xfId="0" applyFont="1" applyBorder="1" applyAlignment="1">
      <alignment horizontal="left"/>
    </xf>
    <xf numFmtId="0" fontId="73" fillId="0" borderId="2" xfId="0" applyFont="1" applyFill="1" applyBorder="1" applyAlignment="1" applyProtection="1">
      <alignment horizontal="right" vertical="center"/>
      <protection hidden="1"/>
    </xf>
    <xf numFmtId="0" fontId="72" fillId="0" borderId="0" xfId="0" applyFont="1" applyBorder="1" applyAlignment="1">
      <alignment horizontal="left"/>
    </xf>
    <xf numFmtId="0" fontId="69" fillId="0" borderId="0" xfId="0" applyFont="1" applyBorder="1" applyAlignment="1">
      <alignment horizontal="right"/>
    </xf>
    <xf numFmtId="2" fontId="16" fillId="0" borderId="19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Protection="1">
      <protection hidden="1"/>
    </xf>
    <xf numFmtId="0" fontId="13" fillId="6" borderId="11" xfId="0" applyFont="1" applyFill="1" applyBorder="1" applyProtection="1">
      <protection hidden="1"/>
    </xf>
    <xf numFmtId="0" fontId="15" fillId="6" borderId="11" xfId="0" applyFont="1" applyFill="1" applyBorder="1" applyAlignment="1" applyProtection="1">
      <protection hidden="1"/>
    </xf>
    <xf numFmtId="2" fontId="16" fillId="6" borderId="11" xfId="0" applyNumberFormat="1" applyFont="1" applyFill="1" applyBorder="1" applyAlignment="1" applyProtection="1">
      <alignment horizontal="center"/>
      <protection hidden="1"/>
    </xf>
    <xf numFmtId="2" fontId="16" fillId="6" borderId="0" xfId="0" applyNumberFormat="1" applyFont="1" applyFill="1" applyBorder="1" applyAlignment="1" applyProtection="1">
      <alignment horizontal="center"/>
      <protection hidden="1"/>
    </xf>
    <xf numFmtId="0" fontId="14" fillId="6" borderId="11" xfId="0" applyFont="1" applyFill="1" applyBorder="1" applyAlignment="1" applyProtection="1">
      <alignment horizontal="left" vertical="center"/>
      <protection hidden="1"/>
    </xf>
    <xf numFmtId="0" fontId="54" fillId="6" borderId="11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4" fontId="5" fillId="0" borderId="12" xfId="0" applyNumberFormat="1" applyFont="1" applyBorder="1" applyProtection="1">
      <protection hidden="1"/>
    </xf>
    <xf numFmtId="0" fontId="32" fillId="0" borderId="1" xfId="0" applyFont="1" applyBorder="1" applyAlignment="1" applyProtection="1">
      <alignment horizontal="center"/>
      <protection hidden="1"/>
    </xf>
    <xf numFmtId="4" fontId="5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protection hidden="1"/>
    </xf>
    <xf numFmtId="0" fontId="7" fillId="0" borderId="13" xfId="0" applyFont="1" applyBorder="1" applyProtection="1">
      <protection hidden="1"/>
    </xf>
    <xf numFmtId="4" fontId="7" fillId="0" borderId="13" xfId="0" applyNumberFormat="1" applyFont="1" applyBorder="1" applyAlignment="1" applyProtection="1">
      <alignment horizontal="right"/>
      <protection hidden="1"/>
    </xf>
    <xf numFmtId="4" fontId="7" fillId="0" borderId="13" xfId="0" applyNumberFormat="1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7" fillId="0" borderId="20" xfId="0" applyFont="1" applyBorder="1" applyAlignment="1" applyProtection="1">
      <alignment horizontal="center"/>
      <protection hidden="1"/>
    </xf>
    <xf numFmtId="4" fontId="7" fillId="0" borderId="20" xfId="0" applyNumberFormat="1" applyFont="1" applyBorder="1" applyProtection="1">
      <protection hidden="1"/>
    </xf>
    <xf numFmtId="0" fontId="71" fillId="0" borderId="0" xfId="0" applyFont="1" applyFill="1" applyBorder="1" applyAlignment="1" applyProtection="1">
      <alignment horizontal="left" vertical="center"/>
      <protection hidden="1"/>
    </xf>
    <xf numFmtId="0" fontId="73" fillId="0" borderId="0" xfId="0" applyFont="1" applyFill="1" applyBorder="1" applyAlignment="1" applyProtection="1">
      <alignment horizontal="right" vertical="center"/>
      <protection hidden="1"/>
    </xf>
    <xf numFmtId="0" fontId="69" fillId="0" borderId="0" xfId="0" applyFont="1" applyFill="1" applyBorder="1" applyAlignment="1">
      <alignment horizontal="center"/>
    </xf>
    <xf numFmtId="0" fontId="73" fillId="0" borderId="0" xfId="0" applyFont="1" applyFill="1" applyBorder="1" applyAlignment="1" applyProtection="1">
      <alignment horizontal="center"/>
      <protection locked="0"/>
    </xf>
    <xf numFmtId="0" fontId="69" fillId="0" borderId="0" xfId="0" applyFont="1" applyFill="1" applyBorder="1" applyAlignment="1">
      <alignment horizontal="left"/>
    </xf>
    <xf numFmtId="0" fontId="69" fillId="0" borderId="0" xfId="0" applyFont="1" applyFill="1" applyBorder="1" applyAlignment="1">
      <alignment horizontal="right"/>
    </xf>
    <xf numFmtId="0" fontId="68" fillId="0" borderId="28" xfId="0" applyFont="1" applyFill="1" applyBorder="1" applyAlignment="1" applyProtection="1">
      <alignment horizontal="center"/>
    </xf>
    <xf numFmtId="4" fontId="5" fillId="0" borderId="0" xfId="0" applyNumberFormat="1" applyFont="1"/>
    <xf numFmtId="0" fontId="68" fillId="0" borderId="27" xfId="0" applyFont="1" applyFill="1" applyBorder="1" applyAlignment="1" applyProtection="1">
      <alignment horizontal="center"/>
    </xf>
    <xf numFmtId="0" fontId="37" fillId="5" borderId="0" xfId="0" applyFont="1" applyFill="1" applyAlignment="1" applyProtection="1">
      <alignment horizontal="center"/>
      <protection hidden="1"/>
    </xf>
    <xf numFmtId="2" fontId="5" fillId="0" borderId="1" xfId="0" applyNumberFormat="1" applyFont="1" applyBorder="1" applyAlignment="1">
      <alignment horizontal="right"/>
    </xf>
    <xf numFmtId="0" fontId="72" fillId="0" borderId="0" xfId="0" applyFont="1" applyFill="1" applyBorder="1" applyAlignment="1" applyProtection="1">
      <alignment horizontal="left"/>
      <protection hidden="1"/>
    </xf>
    <xf numFmtId="0" fontId="69" fillId="0" borderId="0" xfId="0" applyFont="1" applyFill="1" applyBorder="1"/>
    <xf numFmtId="0" fontId="60" fillId="0" borderId="13" xfId="0" applyFont="1" applyBorder="1" applyProtection="1">
      <protection hidden="1"/>
    </xf>
    <xf numFmtId="0" fontId="60" fillId="0" borderId="13" xfId="0" applyFont="1" applyBorder="1" applyAlignment="1" applyProtection="1">
      <alignment horizontal="center"/>
      <protection hidden="1"/>
    </xf>
    <xf numFmtId="4" fontId="60" fillId="0" borderId="13" xfId="0" applyNumberFormat="1" applyFont="1" applyBorder="1" applyAlignment="1" applyProtection="1">
      <alignment horizontal="right"/>
      <protection hidden="1"/>
    </xf>
    <xf numFmtId="4" fontId="60" fillId="0" borderId="13" xfId="0" applyNumberFormat="1" applyFont="1" applyBorder="1" applyProtection="1">
      <protection hidden="1"/>
    </xf>
    <xf numFmtId="0" fontId="60" fillId="0" borderId="20" xfId="0" applyFont="1" applyBorder="1" applyProtection="1">
      <protection hidden="1"/>
    </xf>
    <xf numFmtId="0" fontId="60" fillId="0" borderId="20" xfId="0" applyFont="1" applyBorder="1" applyAlignment="1" applyProtection="1">
      <alignment horizontal="center"/>
      <protection hidden="1"/>
    </xf>
    <xf numFmtId="4" fontId="60" fillId="0" borderId="20" xfId="0" applyNumberFormat="1" applyFont="1" applyBorder="1" applyProtection="1">
      <protection hidden="1"/>
    </xf>
    <xf numFmtId="0" fontId="60" fillId="0" borderId="1" xfId="0" applyFont="1" applyBorder="1" applyProtection="1">
      <protection hidden="1"/>
    </xf>
    <xf numFmtId="0" fontId="60" fillId="0" borderId="1" xfId="0" applyFont="1" applyBorder="1" applyAlignment="1" applyProtection="1">
      <alignment horizontal="center"/>
      <protection hidden="1"/>
    </xf>
    <xf numFmtId="4" fontId="60" fillId="0" borderId="1" xfId="0" applyNumberFormat="1" applyFont="1" applyBorder="1" applyProtection="1">
      <protection hidden="1"/>
    </xf>
    <xf numFmtId="0" fontId="68" fillId="0" borderId="31" xfId="0" applyFont="1" applyFill="1" applyBorder="1" applyAlignment="1" applyProtection="1">
      <alignment horizontal="center"/>
    </xf>
    <xf numFmtId="0" fontId="68" fillId="2" borderId="0" xfId="0" applyFont="1" applyFill="1" applyBorder="1" applyAlignment="1" applyProtection="1">
      <alignment horizontal="center"/>
      <protection locked="0"/>
    </xf>
    <xf numFmtId="0" fontId="69" fillId="0" borderId="2" xfId="0" applyFont="1" applyBorder="1"/>
    <xf numFmtId="0" fontId="73" fillId="0" borderId="38" xfId="0" applyFont="1" applyFill="1" applyBorder="1" applyAlignment="1" applyProtection="1">
      <alignment horizontal="right" vertical="center"/>
      <protection hidden="1"/>
    </xf>
    <xf numFmtId="0" fontId="69" fillId="0" borderId="1" xfId="0" applyFont="1" applyBorder="1" applyAlignment="1">
      <alignment horizontal="center"/>
    </xf>
    <xf numFmtId="0" fontId="75" fillId="0" borderId="13" xfId="0" applyFont="1" applyBorder="1" applyProtection="1">
      <protection hidden="1"/>
    </xf>
    <xf numFmtId="0" fontId="75" fillId="0" borderId="13" xfId="0" applyFont="1" applyBorder="1" applyAlignment="1" applyProtection="1">
      <alignment horizontal="center"/>
      <protection hidden="1"/>
    </xf>
    <xf numFmtId="4" fontId="75" fillId="0" borderId="13" xfId="0" applyNumberFormat="1" applyFont="1" applyBorder="1" applyAlignment="1" applyProtection="1">
      <alignment horizontal="right"/>
      <protection hidden="1"/>
    </xf>
    <xf numFmtId="4" fontId="75" fillId="0" borderId="13" xfId="0" applyNumberFormat="1" applyFont="1" applyBorder="1" applyProtection="1">
      <protection hidden="1"/>
    </xf>
    <xf numFmtId="0" fontId="75" fillId="0" borderId="20" xfId="0" applyFont="1" applyFill="1" applyBorder="1" applyProtection="1">
      <protection hidden="1"/>
    </xf>
    <xf numFmtId="0" fontId="75" fillId="0" borderId="20" xfId="0" applyFont="1" applyFill="1" applyBorder="1" applyAlignment="1" applyProtection="1">
      <alignment horizontal="center"/>
      <protection hidden="1"/>
    </xf>
    <xf numFmtId="4" fontId="75" fillId="0" borderId="20" xfId="0" applyNumberFormat="1" applyFont="1" applyFill="1" applyBorder="1" applyProtection="1">
      <protection hidden="1"/>
    </xf>
    <xf numFmtId="0" fontId="69" fillId="0" borderId="37" xfId="0" applyFont="1" applyBorder="1" applyAlignment="1">
      <alignment horizontal="center"/>
    </xf>
    <xf numFmtId="0" fontId="69" fillId="0" borderId="0" xfId="0" applyFont="1" applyFill="1" applyBorder="1" applyAlignment="1" applyProtection="1">
      <alignment horizontal="left"/>
      <protection hidden="1"/>
    </xf>
    <xf numFmtId="0" fontId="69" fillId="0" borderId="27" xfId="0" applyNumberFormat="1" applyFont="1" applyBorder="1" applyAlignment="1">
      <alignment horizontal="center"/>
    </xf>
    <xf numFmtId="0" fontId="5" fillId="0" borderId="20" xfId="0" applyNumberFormat="1" applyFont="1" applyBorder="1" applyAlignment="1" applyProtection="1">
      <alignment horizontal="center"/>
      <protection hidden="1"/>
    </xf>
    <xf numFmtId="0" fontId="73" fillId="0" borderId="39" xfId="0" applyFont="1" applyFill="1" applyBorder="1" applyAlignment="1" applyProtection="1">
      <alignment horizontal="center"/>
    </xf>
    <xf numFmtId="0" fontId="73" fillId="2" borderId="36" xfId="0" applyFont="1" applyFill="1" applyBorder="1" applyAlignment="1" applyProtection="1">
      <alignment horizontal="center"/>
      <protection locked="0"/>
    </xf>
    <xf numFmtId="0" fontId="73" fillId="2" borderId="0" xfId="0" applyFont="1" applyFill="1" applyBorder="1" applyAlignment="1" applyProtection="1">
      <alignment horizontal="center"/>
      <protection locked="0"/>
    </xf>
    <xf numFmtId="0" fontId="73" fillId="2" borderId="28" xfId="0" applyFont="1" applyFill="1" applyBorder="1" applyAlignment="1" applyProtection="1">
      <alignment horizontal="center"/>
      <protection locked="0"/>
    </xf>
    <xf numFmtId="0" fontId="73" fillId="2" borderId="29" xfId="0" applyFont="1" applyFill="1" applyBorder="1" applyAlignment="1" applyProtection="1">
      <alignment horizontal="center"/>
      <protection locked="0"/>
    </xf>
    <xf numFmtId="0" fontId="67" fillId="0" borderId="0" xfId="0" applyFont="1" applyFill="1" applyBorder="1" applyAlignment="1" applyProtection="1">
      <alignment horizontal="left"/>
      <protection hidden="1"/>
    </xf>
    <xf numFmtId="0" fontId="68" fillId="0" borderId="0" xfId="0" applyFont="1" applyFill="1" applyBorder="1" applyAlignment="1" applyProtection="1">
      <alignment horizontal="center"/>
    </xf>
    <xf numFmtId="0" fontId="73" fillId="0" borderId="27" xfId="0" applyFont="1" applyFill="1" applyBorder="1" applyAlignment="1" applyProtection="1">
      <alignment horizontal="left" vertical="center"/>
      <protection hidden="1"/>
    </xf>
    <xf numFmtId="0" fontId="73" fillId="0" borderId="31" xfId="0" applyFont="1" applyFill="1" applyBorder="1" applyAlignment="1" applyProtection="1">
      <alignment horizontal="left" vertical="center"/>
      <protection hidden="1"/>
    </xf>
    <xf numFmtId="0" fontId="69" fillId="0" borderId="31" xfId="0" applyFont="1" applyBorder="1" applyAlignment="1">
      <alignment horizontal="center"/>
    </xf>
    <xf numFmtId="0" fontId="7" fillId="0" borderId="0" xfId="0" applyFont="1" applyBorder="1" applyAlignment="1" applyProtection="1">
      <protection hidden="1"/>
    </xf>
    <xf numFmtId="0" fontId="10" fillId="0" borderId="13" xfId="0" applyFont="1" applyBorder="1" applyProtection="1">
      <protection hidden="1"/>
    </xf>
    <xf numFmtId="4" fontId="10" fillId="0" borderId="13" xfId="0" applyNumberFormat="1" applyFont="1" applyBorder="1" applyProtection="1">
      <protection hidden="1"/>
    </xf>
    <xf numFmtId="0" fontId="10" fillId="0" borderId="21" xfId="0" applyFont="1" applyBorder="1" applyProtection="1">
      <protection hidden="1"/>
    </xf>
    <xf numFmtId="4" fontId="10" fillId="0" borderId="21" xfId="0" applyNumberFormat="1" applyFont="1" applyBorder="1" applyProtection="1">
      <protection hidden="1"/>
    </xf>
    <xf numFmtId="4" fontId="5" fillId="0" borderId="12" xfId="0" applyNumberFormat="1" applyFont="1" applyBorder="1" applyAlignment="1" applyProtection="1">
      <alignment horizontal="right"/>
      <protection hidden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0" fillId="0" borderId="1" xfId="0" applyBorder="1"/>
    <xf numFmtId="0" fontId="0" fillId="0" borderId="2" xfId="0" applyBorder="1"/>
    <xf numFmtId="0" fontId="0" fillId="0" borderId="2" xfId="0" applyBorder="1"/>
    <xf numFmtId="0" fontId="71" fillId="0" borderId="0" xfId="0" applyFont="1" applyFill="1" applyBorder="1" applyAlignment="1" applyProtection="1">
      <alignment horizontal="left"/>
      <protection hidden="1"/>
    </xf>
    <xf numFmtId="0" fontId="70" fillId="0" borderId="31" xfId="0" applyFont="1" applyFill="1" applyBorder="1" applyAlignment="1" applyProtection="1">
      <alignment horizontal="center" vertical="center"/>
      <protection hidden="1"/>
    </xf>
    <xf numFmtId="0" fontId="69" fillId="0" borderId="31" xfId="0" applyFont="1" applyFill="1" applyBorder="1" applyAlignment="1" applyProtection="1">
      <alignment horizontal="center"/>
      <protection hidden="1"/>
    </xf>
    <xf numFmtId="0" fontId="69" fillId="0" borderId="46" xfId="0" applyFont="1" applyFill="1" applyBorder="1" applyProtection="1"/>
    <xf numFmtId="0" fontId="69" fillId="0" borderId="46" xfId="0" applyFont="1" applyBorder="1"/>
    <xf numFmtId="0" fontId="60" fillId="0" borderId="12" xfId="0" applyFont="1" applyBorder="1" applyProtection="1">
      <protection hidden="1"/>
    </xf>
    <xf numFmtId="4" fontId="60" fillId="0" borderId="12" xfId="0" applyNumberFormat="1" applyFont="1" applyBorder="1" applyProtection="1">
      <protection hidden="1"/>
    </xf>
    <xf numFmtId="0" fontId="60" fillId="0" borderId="21" xfId="0" applyFont="1" applyBorder="1" applyAlignment="1" applyProtection="1">
      <alignment horizontal="center"/>
      <protection hidden="1"/>
    </xf>
    <xf numFmtId="2" fontId="60" fillId="0" borderId="12" xfId="0" applyNumberFormat="1" applyFont="1" applyBorder="1" applyProtection="1">
      <protection hidden="1"/>
    </xf>
    <xf numFmtId="2" fontId="60" fillId="0" borderId="13" xfId="0" applyNumberFormat="1" applyFont="1" applyBorder="1" applyProtection="1">
      <protection hidden="1"/>
    </xf>
    <xf numFmtId="2" fontId="10" fillId="0" borderId="13" xfId="0" applyNumberFormat="1" applyFont="1" applyBorder="1" applyProtection="1">
      <protection hidden="1"/>
    </xf>
    <xf numFmtId="0" fontId="76" fillId="0" borderId="0" xfId="0" applyFont="1" applyFill="1" applyBorder="1" applyAlignment="1">
      <alignment horizontal="left"/>
    </xf>
    <xf numFmtId="0" fontId="76" fillId="0" borderId="0" xfId="0" applyFont="1" applyFill="1" applyBorder="1" applyAlignment="1">
      <alignment horizontal="right"/>
    </xf>
    <xf numFmtId="0" fontId="10" fillId="0" borderId="13" xfId="0" applyFont="1" applyBorder="1" applyAlignment="1" applyProtection="1">
      <alignment horizontal="center"/>
      <protection hidden="1"/>
    </xf>
    <xf numFmtId="4" fontId="10" fillId="0" borderId="13" xfId="0" applyNumberFormat="1" applyFont="1" applyBorder="1" applyAlignment="1" applyProtection="1">
      <alignment horizontal="right"/>
      <protection hidden="1"/>
    </xf>
    <xf numFmtId="0" fontId="10" fillId="0" borderId="20" xfId="0" applyFont="1" applyFill="1" applyBorder="1" applyProtection="1">
      <protection hidden="1"/>
    </xf>
    <xf numFmtId="4" fontId="10" fillId="0" borderId="20" xfId="0" applyNumberFormat="1" applyFont="1" applyFill="1" applyBorder="1" applyProtection="1">
      <protection hidden="1"/>
    </xf>
    <xf numFmtId="0" fontId="60" fillId="0" borderId="20" xfId="0" applyNumberFormat="1" applyFont="1" applyBorder="1" applyAlignment="1" applyProtection="1">
      <alignment horizontal="center"/>
      <protection hidden="1"/>
    </xf>
    <xf numFmtId="0" fontId="43" fillId="6" borderId="34" xfId="0" applyFont="1" applyFill="1" applyBorder="1" applyAlignment="1">
      <alignment horizontal="center"/>
    </xf>
    <xf numFmtId="0" fontId="60" fillId="0" borderId="21" xfId="0" applyFont="1" applyBorder="1" applyProtection="1">
      <protection hidden="1"/>
    </xf>
    <xf numFmtId="4" fontId="60" fillId="0" borderId="21" xfId="0" applyNumberFormat="1" applyFont="1" applyBorder="1" applyProtection="1">
      <protection hidden="1"/>
    </xf>
    <xf numFmtId="0" fontId="68" fillId="0" borderId="46" xfId="0" applyFont="1" applyFill="1" applyBorder="1" applyAlignment="1" applyProtection="1">
      <alignment horizontal="center"/>
    </xf>
    <xf numFmtId="0" fontId="69" fillId="0" borderId="46" xfId="0" applyFont="1" applyBorder="1" applyAlignment="1">
      <alignment horizontal="center"/>
    </xf>
    <xf numFmtId="0" fontId="69" fillId="0" borderId="46" xfId="0" applyFont="1" applyBorder="1" applyAlignment="1">
      <alignment horizontal="left"/>
    </xf>
    <xf numFmtId="0" fontId="69" fillId="0" borderId="27" xfId="0" applyFont="1" applyBorder="1" applyAlignment="1">
      <alignment horizontal="left"/>
    </xf>
    <xf numFmtId="0" fontId="10" fillId="0" borderId="13" xfId="0" applyFont="1" applyFill="1" applyBorder="1" applyProtection="1">
      <protection hidden="1"/>
    </xf>
    <xf numFmtId="0" fontId="10" fillId="0" borderId="13" xfId="0" applyFont="1" applyFill="1" applyBorder="1" applyAlignment="1" applyProtection="1">
      <alignment horizontal="center"/>
      <protection hidden="1"/>
    </xf>
    <xf numFmtId="4" fontId="10" fillId="0" borderId="13" xfId="0" applyNumberFormat="1" applyFont="1" applyFill="1" applyBorder="1" applyProtection="1">
      <protection hidden="1"/>
    </xf>
    <xf numFmtId="0" fontId="10" fillId="0" borderId="21" xfId="0" applyFont="1" applyFill="1" applyBorder="1" applyProtection="1">
      <protection hidden="1"/>
    </xf>
    <xf numFmtId="0" fontId="10" fillId="0" borderId="21" xfId="0" applyFont="1" applyFill="1" applyBorder="1" applyAlignment="1" applyProtection="1">
      <alignment horizontal="center"/>
      <protection hidden="1"/>
    </xf>
    <xf numFmtId="4" fontId="10" fillId="0" borderId="21" xfId="0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10" fillId="0" borderId="1" xfId="0" applyFont="1" applyFill="1" applyBorder="1" applyAlignment="1" applyProtection="1">
      <alignment horizontal="center"/>
      <protection hidden="1"/>
    </xf>
    <xf numFmtId="4" fontId="10" fillId="0" borderId="1" xfId="0" applyNumberFormat="1" applyFont="1" applyFill="1" applyBorder="1" applyProtection="1">
      <protection hidden="1"/>
    </xf>
    <xf numFmtId="0" fontId="58" fillId="0" borderId="0" xfId="0" applyFont="1" applyAlignment="1" applyProtection="1">
      <protection hidden="1"/>
    </xf>
    <xf numFmtId="2" fontId="5" fillId="0" borderId="13" xfId="0" applyNumberFormat="1" applyFont="1" applyBorder="1" applyProtection="1">
      <protection hidden="1"/>
    </xf>
    <xf numFmtId="2" fontId="5" fillId="0" borderId="1" xfId="0" applyNumberFormat="1" applyFont="1" applyBorder="1" applyAlignment="1" applyProtection="1">
      <alignment horizontal="right"/>
      <protection hidden="1"/>
    </xf>
    <xf numFmtId="2" fontId="5" fillId="0" borderId="1" xfId="0" applyNumberFormat="1" applyFont="1" applyBorder="1" applyProtection="1">
      <protection hidden="1"/>
    </xf>
    <xf numFmtId="0" fontId="69" fillId="0" borderId="2" xfId="0" applyFont="1" applyBorder="1" applyAlignment="1">
      <alignment horizontal="center"/>
    </xf>
    <xf numFmtId="0" fontId="69" fillId="0" borderId="2" xfId="0" applyFont="1" applyBorder="1" applyAlignment="1">
      <alignment horizontal="left"/>
    </xf>
    <xf numFmtId="0" fontId="68" fillId="0" borderId="2" xfId="0" applyFont="1" applyFill="1" applyBorder="1" applyAlignment="1" applyProtection="1">
      <alignment horizontal="center"/>
    </xf>
    <xf numFmtId="0" fontId="69" fillId="0" borderId="1" xfId="0" applyFont="1" applyBorder="1" applyAlignment="1">
      <alignment horizontal="left"/>
    </xf>
    <xf numFmtId="0" fontId="68" fillId="0" borderId="1" xfId="0" applyFont="1" applyFill="1" applyBorder="1" applyAlignment="1" applyProtection="1">
      <alignment horizontal="center"/>
    </xf>
    <xf numFmtId="0" fontId="10" fillId="0" borderId="12" xfId="0" applyFont="1" applyFill="1" applyBorder="1" applyProtection="1">
      <protection hidden="1"/>
    </xf>
    <xf numFmtId="0" fontId="10" fillId="0" borderId="12" xfId="0" applyFont="1" applyFill="1" applyBorder="1" applyAlignment="1" applyProtection="1">
      <alignment horizontal="center"/>
      <protection hidden="1"/>
    </xf>
    <xf numFmtId="4" fontId="10" fillId="0" borderId="12" xfId="0" applyNumberFormat="1" applyFont="1" applyFill="1" applyBorder="1" applyProtection="1">
      <protection hidden="1"/>
    </xf>
    <xf numFmtId="0" fontId="5" fillId="0" borderId="0" xfId="0" applyFont="1" applyBorder="1" applyAlignment="1">
      <alignment horizontal="left"/>
    </xf>
    <xf numFmtId="0" fontId="68" fillId="2" borderId="27" xfId="0" applyFont="1" applyFill="1" applyBorder="1" applyAlignment="1" applyProtection="1">
      <alignment horizontal="center"/>
      <protection locked="0"/>
    </xf>
    <xf numFmtId="0" fontId="68" fillId="0" borderId="32" xfId="0" applyFont="1" applyFill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right"/>
      <protection hidden="1"/>
    </xf>
    <xf numFmtId="0" fontId="60" fillId="0" borderId="21" xfId="0" applyFont="1" applyFill="1" applyBorder="1" applyProtection="1">
      <protection hidden="1"/>
    </xf>
    <xf numFmtId="0" fontId="60" fillId="0" borderId="21" xfId="0" applyFont="1" applyFill="1" applyBorder="1" applyAlignment="1" applyProtection="1">
      <alignment horizontal="center"/>
      <protection hidden="1"/>
    </xf>
    <xf numFmtId="4" fontId="60" fillId="0" borderId="21" xfId="0" applyNumberFormat="1" applyFont="1" applyFill="1" applyBorder="1" applyProtection="1">
      <protection hidden="1"/>
    </xf>
    <xf numFmtId="0" fontId="13" fillId="5" borderId="0" xfId="0" applyFont="1" applyFill="1" applyAlignment="1" applyProtection="1">
      <alignment horizontal="center"/>
      <protection hidden="1"/>
    </xf>
    <xf numFmtId="0" fontId="37" fillId="6" borderId="0" xfId="0" applyFont="1" applyFill="1" applyProtection="1">
      <protection hidden="1"/>
    </xf>
    <xf numFmtId="0" fontId="37" fillId="6" borderId="0" xfId="0" applyFont="1" applyFill="1" applyAlignment="1" applyProtection="1">
      <alignment horizontal="center"/>
      <protection hidden="1"/>
    </xf>
    <xf numFmtId="0" fontId="57" fillId="5" borderId="0" xfId="0" applyFont="1" applyFill="1" applyAlignment="1" applyProtection="1">
      <alignment horizontal="center" textRotation="90"/>
      <protection hidden="1"/>
    </xf>
    <xf numFmtId="0" fontId="60" fillId="0" borderId="6" xfId="0" applyFont="1" applyBorder="1" applyProtection="1">
      <protection hidden="1"/>
    </xf>
    <xf numFmtId="0" fontId="77" fillId="0" borderId="3" xfId="0" applyFon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44" fillId="0" borderId="0" xfId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76" fillId="0" borderId="0" xfId="0" applyFont="1" applyProtection="1">
      <protection hidden="1"/>
    </xf>
    <xf numFmtId="0" fontId="67" fillId="0" borderId="0" xfId="0" applyFont="1" applyFill="1" applyBorder="1" applyAlignment="1" applyProtection="1">
      <alignment horizontal="left" vertical="center"/>
      <protection hidden="1"/>
    </xf>
    <xf numFmtId="0" fontId="80" fillId="6" borderId="34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81" fillId="0" borderId="0" xfId="0" applyFont="1" applyAlignment="1">
      <alignment horizontal="right"/>
    </xf>
    <xf numFmtId="0" fontId="70" fillId="0" borderId="0" xfId="0" applyFont="1" applyFill="1" applyBorder="1" applyAlignment="1" applyProtection="1">
      <alignment horizontal="left"/>
      <protection hidden="1"/>
    </xf>
    <xf numFmtId="0" fontId="68" fillId="2" borderId="31" xfId="0" applyFont="1" applyFill="1" applyBorder="1" applyAlignment="1" applyProtection="1">
      <alignment horizontal="center"/>
      <protection locked="0"/>
    </xf>
    <xf numFmtId="0" fontId="60" fillId="0" borderId="0" xfId="0" applyFont="1" applyBorder="1" applyAlignment="1">
      <alignment horizontal="left"/>
    </xf>
    <xf numFmtId="2" fontId="29" fillId="0" borderId="13" xfId="0" applyNumberFormat="1" applyFont="1" applyFill="1" applyBorder="1" applyAlignment="1" applyProtection="1">
      <alignment horizontal="left"/>
      <protection hidden="1"/>
    </xf>
    <xf numFmtId="0" fontId="28" fillId="3" borderId="8" xfId="0" applyFont="1" applyFill="1" applyBorder="1" applyAlignment="1" applyProtection="1">
      <alignment horizontal="left" vertical="center"/>
      <protection hidden="1"/>
    </xf>
    <xf numFmtId="1" fontId="29" fillId="0" borderId="13" xfId="0" applyNumberFormat="1" applyFont="1" applyFill="1" applyBorder="1" applyAlignment="1" applyProtection="1">
      <alignment horizontal="center"/>
      <protection hidden="1"/>
    </xf>
    <xf numFmtId="0" fontId="31" fillId="3" borderId="7" xfId="0" applyFont="1" applyFill="1" applyBorder="1" applyAlignment="1" applyProtection="1">
      <alignment horizontal="left" vertical="center"/>
      <protection hidden="1"/>
    </xf>
    <xf numFmtId="0" fontId="77" fillId="0" borderId="7" xfId="0" applyFont="1" applyFill="1" applyBorder="1" applyAlignment="1" applyProtection="1">
      <protection hidden="1"/>
    </xf>
    <xf numFmtId="0" fontId="77" fillId="0" borderId="8" xfId="0" applyFont="1" applyFill="1" applyBorder="1" applyAlignment="1" applyProtection="1">
      <protection hidden="1"/>
    </xf>
    <xf numFmtId="2" fontId="29" fillId="0" borderId="21" xfId="0" applyNumberFormat="1" applyFont="1" applyFill="1" applyBorder="1" applyAlignment="1" applyProtection="1">
      <alignment horizontal="left"/>
      <protection hidden="1"/>
    </xf>
    <xf numFmtId="0" fontId="28" fillId="3" borderId="9" xfId="0" applyFont="1" applyFill="1" applyBorder="1" applyAlignment="1" applyProtection="1">
      <alignment horizontal="left" vertical="center"/>
      <protection hidden="1"/>
    </xf>
    <xf numFmtId="0" fontId="27" fillId="3" borderId="9" xfId="0" applyFont="1" applyFill="1" applyBorder="1" applyAlignment="1" applyProtection="1">
      <alignment horizontal="left" vertical="center"/>
      <protection hidden="1"/>
    </xf>
    <xf numFmtId="0" fontId="60" fillId="0" borderId="25" xfId="0" applyFont="1" applyBorder="1" applyProtection="1">
      <protection hidden="1"/>
    </xf>
    <xf numFmtId="0" fontId="77" fillId="0" borderId="7" xfId="0" applyFont="1" applyFill="1" applyBorder="1" applyProtection="1">
      <protection hidden="1"/>
    </xf>
    <xf numFmtId="0" fontId="60" fillId="0" borderId="26" xfId="0" applyFont="1" applyBorder="1" applyProtection="1">
      <protection hidden="1"/>
    </xf>
    <xf numFmtId="0" fontId="77" fillId="0" borderId="8" xfId="0" applyFont="1" applyFill="1" applyBorder="1" applyProtection="1">
      <protection hidden="1"/>
    </xf>
    <xf numFmtId="2" fontId="78" fillId="0" borderId="21" xfId="0" applyNumberFormat="1" applyFont="1" applyFill="1" applyBorder="1" applyAlignment="1" applyProtection="1">
      <alignment horizontal="left"/>
      <protection hidden="1"/>
    </xf>
    <xf numFmtId="0" fontId="77" fillId="0" borderId="9" xfId="0" applyFont="1" applyFill="1" applyBorder="1" applyProtection="1">
      <protection hidden="1"/>
    </xf>
    <xf numFmtId="0" fontId="77" fillId="3" borderId="9" xfId="0" applyFont="1" applyFill="1" applyBorder="1" applyAlignment="1" applyProtection="1">
      <alignment horizontal="left" vertical="center"/>
      <protection hidden="1"/>
    </xf>
    <xf numFmtId="0" fontId="77" fillId="0" borderId="9" xfId="0" applyFont="1" applyFill="1" applyBorder="1" applyAlignment="1" applyProtection="1">
      <protection hidden="1"/>
    </xf>
    <xf numFmtId="1" fontId="78" fillId="0" borderId="21" xfId="0" applyNumberFormat="1" applyFont="1" applyFill="1" applyBorder="1" applyAlignment="1" applyProtection="1">
      <alignment horizontal="center"/>
      <protection hidden="1"/>
    </xf>
    <xf numFmtId="2" fontId="78" fillId="0" borderId="13" xfId="0" applyNumberFormat="1" applyFont="1" applyFill="1" applyBorder="1" applyAlignment="1" applyProtection="1">
      <alignment horizontal="left"/>
      <protection hidden="1"/>
    </xf>
    <xf numFmtId="0" fontId="77" fillId="3" borderId="8" xfId="0" applyFont="1" applyFill="1" applyBorder="1" applyAlignment="1" applyProtection="1">
      <alignment horizontal="left" vertical="center"/>
      <protection hidden="1"/>
    </xf>
    <xf numFmtId="2" fontId="78" fillId="0" borderId="20" xfId="0" applyNumberFormat="1" applyFont="1" applyFill="1" applyBorder="1" applyAlignment="1" applyProtection="1">
      <alignment horizontal="left"/>
      <protection hidden="1"/>
    </xf>
    <xf numFmtId="0" fontId="77" fillId="3" borderId="7" xfId="0" applyFont="1" applyFill="1" applyBorder="1" applyAlignment="1" applyProtection="1">
      <alignment horizontal="left" vertical="center"/>
      <protection hidden="1"/>
    </xf>
    <xf numFmtId="0" fontId="58" fillId="0" borderId="15" xfId="0" applyFont="1" applyFill="1" applyBorder="1" applyAlignment="1" applyProtection="1">
      <alignment horizontal="right" vertical="center"/>
      <protection hidden="1"/>
    </xf>
    <xf numFmtId="0" fontId="76" fillId="0" borderId="31" xfId="0" applyFont="1" applyBorder="1" applyAlignment="1">
      <alignment horizontal="right"/>
    </xf>
    <xf numFmtId="0" fontId="73" fillId="7" borderId="18" xfId="1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Border="1" applyAlignment="1">
      <alignment horizontal="center"/>
    </xf>
    <xf numFmtId="0" fontId="31" fillId="3" borderId="7" xfId="0" applyFont="1" applyFill="1" applyBorder="1" applyAlignment="1" applyProtection="1">
      <alignment horizontal="center" vertical="center"/>
      <protection hidden="1"/>
    </xf>
    <xf numFmtId="0" fontId="31" fillId="3" borderId="8" xfId="0" applyFont="1" applyFill="1" applyBorder="1" applyAlignment="1" applyProtection="1">
      <alignment horizontal="center" vertical="center"/>
      <protection hidden="1"/>
    </xf>
    <xf numFmtId="0" fontId="77" fillId="3" borderId="8" xfId="0" applyFont="1" applyFill="1" applyBorder="1" applyAlignment="1" applyProtection="1">
      <alignment horizontal="center" vertical="center"/>
      <protection hidden="1"/>
    </xf>
    <xf numFmtId="0" fontId="77" fillId="3" borderId="9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wrapText="1"/>
      <protection hidden="1"/>
    </xf>
    <xf numFmtId="0" fontId="5" fillId="0" borderId="0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textRotation="90"/>
      <protection hidden="1"/>
    </xf>
    <xf numFmtId="0" fontId="27" fillId="3" borderId="7" xfId="0" applyFont="1" applyFill="1" applyBorder="1" applyAlignment="1" applyProtection="1">
      <alignment horizontal="center" vertical="center"/>
      <protection hidden="1"/>
    </xf>
    <xf numFmtId="0" fontId="27" fillId="3" borderId="8" xfId="0" applyFont="1" applyFill="1" applyBorder="1" applyAlignment="1" applyProtection="1">
      <alignment horizontal="center" vertical="center"/>
      <protection hidden="1"/>
    </xf>
    <xf numFmtId="0" fontId="28" fillId="3" borderId="8" xfId="0" applyFont="1" applyFill="1" applyBorder="1" applyAlignment="1" applyProtection="1">
      <alignment horizontal="center" vertical="center"/>
      <protection hidden="1"/>
    </xf>
    <xf numFmtId="0" fontId="27" fillId="3" borderId="3" xfId="0" applyFont="1" applyFill="1" applyBorder="1" applyAlignment="1" applyProtection="1">
      <alignment horizontal="center" vertical="center"/>
      <protection hidden="1"/>
    </xf>
    <xf numFmtId="0" fontId="31" fillId="3" borderId="3" xfId="0" applyFont="1" applyFill="1" applyBorder="1" applyAlignment="1" applyProtection="1">
      <alignment horizontal="center" vertical="center"/>
      <protection hidden="1"/>
    </xf>
    <xf numFmtId="0" fontId="77" fillId="3" borderId="7" xfId="0" applyFont="1" applyFill="1" applyBorder="1" applyAlignment="1" applyProtection="1">
      <alignment horizontal="center" vertical="center"/>
      <protection hidden="1"/>
    </xf>
    <xf numFmtId="0" fontId="28" fillId="3" borderId="9" xfId="0" applyFont="1" applyFill="1" applyBorder="1" applyAlignment="1" applyProtection="1">
      <alignment horizontal="center" vertical="center"/>
      <protection hidden="1"/>
    </xf>
    <xf numFmtId="0" fontId="27" fillId="3" borderId="9" xfId="0" applyFont="1" applyFill="1" applyBorder="1" applyAlignment="1" applyProtection="1">
      <alignment horizontal="center" vertical="center"/>
      <protection hidden="1"/>
    </xf>
    <xf numFmtId="0" fontId="31" fillId="3" borderId="9" xfId="0" applyFont="1" applyFill="1" applyBorder="1" applyAlignment="1" applyProtection="1">
      <alignment horizontal="center" vertical="center"/>
      <protection hidden="1"/>
    </xf>
    <xf numFmtId="0" fontId="31" fillId="3" borderId="24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/>
    </xf>
    <xf numFmtId="0" fontId="54" fillId="3" borderId="3" xfId="0" applyFont="1" applyFill="1" applyBorder="1" applyAlignment="1" applyProtection="1">
      <alignment horizontal="center" vertical="center"/>
      <protection hidden="1"/>
    </xf>
    <xf numFmtId="0" fontId="83" fillId="0" borderId="0" xfId="0" applyFont="1" applyAlignment="1">
      <alignment horizontal="center"/>
    </xf>
    <xf numFmtId="0" fontId="14" fillId="3" borderId="11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/>
    </xf>
    <xf numFmtId="0" fontId="77" fillId="0" borderId="3" xfId="0" applyFont="1" applyFill="1" applyBorder="1" applyAlignment="1" applyProtection="1">
      <protection hidden="1"/>
    </xf>
    <xf numFmtId="1" fontId="37" fillId="0" borderId="13" xfId="0" applyNumberFormat="1" applyFont="1" applyFill="1" applyBorder="1" applyAlignment="1" applyProtection="1">
      <alignment horizontal="center"/>
    </xf>
    <xf numFmtId="2" fontId="22" fillId="0" borderId="0" xfId="0" applyNumberFormat="1" applyFont="1" applyBorder="1" applyProtection="1">
      <protection hidden="1"/>
    </xf>
    <xf numFmtId="0" fontId="37" fillId="10" borderId="0" xfId="0" applyFont="1" applyFill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62" fillId="0" borderId="0" xfId="0" applyFont="1" applyBorder="1" applyAlignment="1" applyProtection="1">
      <alignment horizontal="right"/>
      <protection hidden="1"/>
    </xf>
    <xf numFmtId="0" fontId="67" fillId="0" borderId="0" xfId="0" applyFont="1" applyFill="1"/>
    <xf numFmtId="49" fontId="10" fillId="0" borderId="3" xfId="0" applyNumberFormat="1" applyFont="1" applyBorder="1" applyAlignment="1" applyProtection="1">
      <alignment horizontal="center" vertical="center"/>
      <protection hidden="1"/>
    </xf>
    <xf numFmtId="0" fontId="55" fillId="0" borderId="1" xfId="0" applyFont="1" applyBorder="1" applyAlignment="1" applyProtection="1">
      <alignment horizontal="center" textRotation="90" wrapText="1"/>
      <protection hidden="1"/>
    </xf>
    <xf numFmtId="49" fontId="63" fillId="0" borderId="12" xfId="0" applyNumberFormat="1" applyFont="1" applyBorder="1" applyProtection="1">
      <protection hidden="1"/>
    </xf>
    <xf numFmtId="49" fontId="5" fillId="0" borderId="13" xfId="0" applyNumberFormat="1" applyFont="1" applyBorder="1" applyAlignment="1" applyProtection="1">
      <alignment horizontal="left"/>
      <protection hidden="1"/>
    </xf>
    <xf numFmtId="49" fontId="63" fillId="0" borderId="20" xfId="0" applyNumberFormat="1" applyFont="1" applyBorder="1" applyProtection="1">
      <protection hidden="1"/>
    </xf>
    <xf numFmtId="49" fontId="5" fillId="0" borderId="21" xfId="0" applyNumberFormat="1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5" fillId="0" borderId="0" xfId="0" applyFont="1" applyFill="1"/>
    <xf numFmtId="0" fontId="37" fillId="0" borderId="0" xfId="4" applyFont="1" applyFill="1"/>
    <xf numFmtId="0" fontId="0" fillId="0" borderId="0" xfId="0" applyFill="1"/>
    <xf numFmtId="0" fontId="59" fillId="0" borderId="0" xfId="4" applyFont="1" applyFill="1" applyAlignment="1">
      <alignment horizontal="left" vertical="center" wrapText="1"/>
    </xf>
    <xf numFmtId="0" fontId="13" fillId="0" borderId="0" xfId="5" applyFont="1" applyFill="1" applyAlignment="1" applyProtection="1">
      <alignment vertical="center"/>
      <protection hidden="1"/>
    </xf>
    <xf numFmtId="0" fontId="53" fillId="0" borderId="0" xfId="4" applyFont="1" applyFill="1" applyAlignment="1">
      <alignment vertical="top" wrapText="1"/>
    </xf>
    <xf numFmtId="0" fontId="90" fillId="0" borderId="0" xfId="4" applyFill="1" applyAlignment="1">
      <alignment vertical="top" wrapText="1"/>
    </xf>
    <xf numFmtId="0" fontId="37" fillId="0" borderId="0" xfId="4" applyFont="1" applyFill="1" applyAlignment="1">
      <alignment wrapText="1"/>
    </xf>
    <xf numFmtId="0" fontId="91" fillId="0" borderId="0" xfId="0" applyFont="1" applyFill="1" applyBorder="1" applyAlignment="1" applyProtection="1">
      <alignment horizontal="center"/>
      <protection hidden="1"/>
    </xf>
    <xf numFmtId="0" fontId="60" fillId="0" borderId="0" xfId="0" applyFont="1" applyBorder="1" applyProtection="1">
      <protection hidden="1"/>
    </xf>
    <xf numFmtId="0" fontId="60" fillId="0" borderId="0" xfId="0" applyFont="1" applyBorder="1" applyAlignment="1" applyProtection="1">
      <alignment horizontal="center"/>
      <protection hidden="1"/>
    </xf>
    <xf numFmtId="4" fontId="60" fillId="0" borderId="0" xfId="0" applyNumberFormat="1" applyFont="1" applyBorder="1" applyProtection="1">
      <protection hidden="1"/>
    </xf>
    <xf numFmtId="0" fontId="68" fillId="0" borderId="29" xfId="0" applyFont="1" applyFill="1" applyBorder="1" applyAlignment="1" applyProtection="1">
      <alignment horizontal="center"/>
    </xf>
    <xf numFmtId="2" fontId="10" fillId="0" borderId="21" xfId="0" applyNumberFormat="1" applyFont="1" applyBorder="1" applyProtection="1">
      <protection hidden="1"/>
    </xf>
    <xf numFmtId="2" fontId="29" fillId="0" borderId="1" xfId="0" applyNumberFormat="1" applyFont="1" applyFill="1" applyBorder="1" applyAlignment="1" applyProtection="1">
      <alignment horizontal="left"/>
      <protection hidden="1"/>
    </xf>
    <xf numFmtId="0" fontId="28" fillId="3" borderId="3" xfId="0" applyFont="1" applyFill="1" applyBorder="1" applyAlignment="1" applyProtection="1">
      <alignment horizontal="left" vertical="center"/>
      <protection hidden="1"/>
    </xf>
    <xf numFmtId="0" fontId="28" fillId="3" borderId="3" xfId="0" applyFont="1" applyFill="1" applyBorder="1" applyAlignment="1" applyProtection="1">
      <alignment horizontal="center" vertical="center"/>
      <protection hidden="1"/>
    </xf>
    <xf numFmtId="0" fontId="92" fillId="0" borderId="25" xfId="0" applyFont="1" applyBorder="1" applyProtection="1">
      <protection hidden="1"/>
    </xf>
    <xf numFmtId="0" fontId="93" fillId="3" borderId="7" xfId="0" applyFont="1" applyFill="1" applyBorder="1" applyAlignment="1" applyProtection="1">
      <alignment horizontal="left" vertical="center"/>
      <protection hidden="1"/>
    </xf>
    <xf numFmtId="0" fontId="93" fillId="3" borderId="7" xfId="0" applyFont="1" applyFill="1" applyBorder="1" applyAlignment="1" applyProtection="1">
      <alignment horizontal="center" vertical="center"/>
      <protection hidden="1"/>
    </xf>
    <xf numFmtId="0" fontId="94" fillId="0" borderId="7" xfId="0" applyFont="1" applyFill="1" applyBorder="1" applyProtection="1">
      <protection hidden="1"/>
    </xf>
    <xf numFmtId="0" fontId="92" fillId="0" borderId="26" xfId="0" applyFont="1" applyBorder="1" applyProtection="1">
      <protection hidden="1"/>
    </xf>
    <xf numFmtId="0" fontId="93" fillId="3" borderId="8" xfId="0" applyFont="1" applyFill="1" applyBorder="1" applyAlignment="1" applyProtection="1">
      <alignment horizontal="left" vertical="center"/>
      <protection hidden="1"/>
    </xf>
    <xf numFmtId="0" fontId="93" fillId="3" borderId="8" xfId="0" applyFont="1" applyFill="1" applyBorder="1" applyAlignment="1" applyProtection="1">
      <alignment horizontal="center" vertical="center"/>
      <protection hidden="1"/>
    </xf>
    <xf numFmtId="0" fontId="94" fillId="0" borderId="8" xfId="0" applyFont="1" applyFill="1" applyBorder="1" applyProtection="1">
      <protection hidden="1"/>
    </xf>
    <xf numFmtId="2" fontId="96" fillId="0" borderId="21" xfId="0" applyNumberFormat="1" applyFont="1" applyFill="1" applyBorder="1" applyAlignment="1" applyProtection="1">
      <alignment horizontal="left"/>
      <protection hidden="1"/>
    </xf>
    <xf numFmtId="0" fontId="93" fillId="3" borderId="9" xfId="0" applyFont="1" applyFill="1" applyBorder="1" applyAlignment="1" applyProtection="1">
      <alignment horizontal="left" vertical="center"/>
      <protection hidden="1"/>
    </xf>
    <xf numFmtId="0" fontId="93" fillId="3" borderId="9" xfId="0" applyFont="1" applyFill="1" applyBorder="1" applyAlignment="1" applyProtection="1">
      <alignment horizontal="center" vertical="center"/>
      <protection hidden="1"/>
    </xf>
    <xf numFmtId="0" fontId="94" fillId="0" borderId="9" xfId="0" applyFont="1" applyFill="1" applyBorder="1" applyProtection="1">
      <protection hidden="1"/>
    </xf>
    <xf numFmtId="0" fontId="94" fillId="3" borderId="9" xfId="0" applyFont="1" applyFill="1" applyBorder="1" applyAlignment="1" applyProtection="1">
      <alignment horizontal="left" vertical="center"/>
      <protection hidden="1"/>
    </xf>
    <xf numFmtId="0" fontId="94" fillId="3" borderId="9" xfId="0" applyFont="1" applyFill="1" applyBorder="1" applyAlignment="1" applyProtection="1">
      <alignment horizontal="center" vertical="center"/>
      <protection hidden="1"/>
    </xf>
    <xf numFmtId="0" fontId="94" fillId="0" borderId="9" xfId="0" applyFont="1" applyFill="1" applyBorder="1" applyAlignment="1" applyProtection="1">
      <protection hidden="1"/>
    </xf>
    <xf numFmtId="0" fontId="92" fillId="0" borderId="6" xfId="0" applyFont="1" applyBorder="1" applyProtection="1">
      <protection hidden="1"/>
    </xf>
    <xf numFmtId="0" fontId="93" fillId="3" borderId="3" xfId="0" applyFont="1" applyFill="1" applyBorder="1" applyAlignment="1" applyProtection="1">
      <alignment horizontal="left" vertical="center"/>
      <protection hidden="1"/>
    </xf>
    <xf numFmtId="0" fontId="93" fillId="3" borderId="3" xfId="0" applyFont="1" applyFill="1" applyBorder="1" applyAlignment="1" applyProtection="1">
      <alignment horizontal="center" vertical="center"/>
      <protection hidden="1"/>
    </xf>
    <xf numFmtId="0" fontId="94" fillId="0" borderId="3" xfId="0" applyFont="1" applyFill="1" applyBorder="1" applyProtection="1">
      <protection hidden="1"/>
    </xf>
    <xf numFmtId="0" fontId="92" fillId="0" borderId="7" xfId="0" applyFont="1" applyFill="1" applyBorder="1" applyProtection="1">
      <protection hidden="1"/>
    </xf>
    <xf numFmtId="0" fontId="94" fillId="0" borderId="7" xfId="0" applyFont="1" applyFill="1" applyBorder="1" applyAlignment="1" applyProtection="1">
      <protection hidden="1"/>
    </xf>
    <xf numFmtId="0" fontId="92" fillId="0" borderId="8" xfId="0" applyFont="1" applyFill="1" applyBorder="1" applyProtection="1">
      <protection hidden="1"/>
    </xf>
    <xf numFmtId="0" fontId="94" fillId="0" borderId="8" xfId="0" applyFont="1" applyFill="1" applyBorder="1" applyAlignment="1" applyProtection="1">
      <protection hidden="1"/>
    </xf>
    <xf numFmtId="2" fontId="96" fillId="0" borderId="13" xfId="0" applyNumberFormat="1" applyFont="1" applyFill="1" applyBorder="1" applyAlignment="1" applyProtection="1">
      <alignment horizontal="left"/>
      <protection hidden="1"/>
    </xf>
    <xf numFmtId="0" fontId="94" fillId="3" borderId="8" xfId="0" applyFont="1" applyFill="1" applyBorder="1" applyAlignment="1" applyProtection="1">
      <alignment horizontal="left" vertical="center"/>
      <protection hidden="1"/>
    </xf>
    <xf numFmtId="0" fontId="94" fillId="3" borderId="8" xfId="0" applyFont="1" applyFill="1" applyBorder="1" applyAlignment="1" applyProtection="1">
      <alignment horizontal="center" vertical="center"/>
      <protection hidden="1"/>
    </xf>
    <xf numFmtId="2" fontId="96" fillId="0" borderId="20" xfId="0" applyNumberFormat="1" applyFont="1" applyFill="1" applyBorder="1" applyAlignment="1" applyProtection="1">
      <alignment horizontal="left"/>
      <protection hidden="1"/>
    </xf>
    <xf numFmtId="0" fontId="94" fillId="3" borderId="7" xfId="0" applyFont="1" applyFill="1" applyBorder="1" applyAlignment="1" applyProtection="1">
      <alignment horizontal="left" vertical="center"/>
      <protection hidden="1"/>
    </xf>
    <xf numFmtId="0" fontId="94" fillId="3" borderId="7" xfId="0" applyFont="1" applyFill="1" applyBorder="1" applyAlignment="1" applyProtection="1">
      <alignment horizontal="center" vertical="center"/>
      <protection hidden="1"/>
    </xf>
    <xf numFmtId="0" fontId="84" fillId="0" borderId="13" xfId="0" applyNumberFormat="1" applyFont="1" applyBorder="1" applyAlignment="1" applyProtection="1">
      <alignment horizontal="center"/>
      <protection hidden="1"/>
    </xf>
    <xf numFmtId="4" fontId="5" fillId="0" borderId="20" xfId="0" applyNumberFormat="1" applyFont="1" applyBorder="1" applyAlignment="1" applyProtection="1">
      <alignment horizontal="right"/>
      <protection hidden="1"/>
    </xf>
    <xf numFmtId="0" fontId="5" fillId="0" borderId="53" xfId="0" applyFont="1" applyBorder="1" applyProtection="1">
      <protection hidden="1"/>
    </xf>
    <xf numFmtId="0" fontId="5" fillId="0" borderId="53" xfId="0" applyFont="1" applyBorder="1" applyAlignment="1" applyProtection="1">
      <alignment horizontal="center"/>
      <protection hidden="1"/>
    </xf>
    <xf numFmtId="4" fontId="5" fillId="0" borderId="53" xfId="0" applyNumberFormat="1" applyFont="1" applyBorder="1" applyAlignment="1" applyProtection="1">
      <alignment horizontal="right"/>
      <protection hidden="1"/>
    </xf>
    <xf numFmtId="4" fontId="5" fillId="0" borderId="53" xfId="0" applyNumberFormat="1" applyFont="1" applyBorder="1" applyProtection="1">
      <protection hidden="1"/>
    </xf>
    <xf numFmtId="0" fontId="81" fillId="0" borderId="0" xfId="0" applyFont="1" applyBorder="1" applyAlignment="1">
      <alignment horizontal="center"/>
    </xf>
    <xf numFmtId="0" fontId="91" fillId="17" borderId="15" xfId="0" applyFont="1" applyFill="1" applyBorder="1" applyAlignment="1" applyProtection="1">
      <alignment horizontal="center" vertical="center"/>
      <protection hidden="1"/>
    </xf>
    <xf numFmtId="0" fontId="7" fillId="5" borderId="15" xfId="0" applyFont="1" applyFill="1" applyBorder="1" applyAlignment="1" applyProtection="1">
      <alignment horizontal="center" vertical="center"/>
      <protection hidden="1"/>
    </xf>
    <xf numFmtId="0" fontId="44" fillId="0" borderId="0" xfId="1" applyFont="1" applyBorder="1" applyAlignment="1" applyProtection="1">
      <alignment horizontal="right"/>
      <protection hidden="1"/>
    </xf>
    <xf numFmtId="0" fontId="43" fillId="0" borderId="0" xfId="0" applyFont="1" applyFill="1" applyBorder="1" applyProtection="1">
      <protection hidden="1"/>
    </xf>
    <xf numFmtId="0" fontId="44" fillId="0" borderId="16" xfId="1" applyFont="1" applyBorder="1" applyAlignment="1" applyProtection="1">
      <alignment horizontal="right"/>
      <protection hidden="1"/>
    </xf>
    <xf numFmtId="0" fontId="0" fillId="0" borderId="19" xfId="0" applyBorder="1" applyAlignment="1" applyProtection="1"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97" fillId="0" borderId="20" xfId="0" applyFont="1" applyBorder="1" applyProtection="1">
      <protection hidden="1"/>
    </xf>
    <xf numFmtId="0" fontId="97" fillId="0" borderId="20" xfId="0" applyFont="1" applyBorder="1" applyAlignment="1" applyProtection="1">
      <alignment horizontal="center"/>
      <protection hidden="1"/>
    </xf>
    <xf numFmtId="4" fontId="97" fillId="0" borderId="20" xfId="0" applyNumberFormat="1" applyFont="1" applyBorder="1" applyAlignment="1" applyProtection="1">
      <alignment horizontal="right"/>
      <protection hidden="1"/>
    </xf>
    <xf numFmtId="4" fontId="97" fillId="0" borderId="20" xfId="0" applyNumberFormat="1" applyFont="1" applyBorder="1" applyProtection="1">
      <protection hidden="1"/>
    </xf>
    <xf numFmtId="0" fontId="97" fillId="0" borderId="13" xfId="0" applyFont="1" applyBorder="1" applyProtection="1">
      <protection hidden="1"/>
    </xf>
    <xf numFmtId="0" fontId="97" fillId="0" borderId="13" xfId="0" applyFont="1" applyBorder="1" applyAlignment="1" applyProtection="1">
      <alignment horizontal="center"/>
      <protection hidden="1"/>
    </xf>
    <xf numFmtId="4" fontId="97" fillId="0" borderId="13" xfId="0" applyNumberFormat="1" applyFont="1" applyBorder="1" applyAlignment="1" applyProtection="1">
      <alignment horizontal="right"/>
      <protection hidden="1"/>
    </xf>
    <xf numFmtId="4" fontId="97" fillId="0" borderId="13" xfId="0" applyNumberFormat="1" applyFont="1" applyBorder="1" applyProtection="1">
      <protection hidden="1"/>
    </xf>
    <xf numFmtId="0" fontId="92" fillId="0" borderId="20" xfId="0" applyFont="1" applyBorder="1" applyProtection="1">
      <protection hidden="1"/>
    </xf>
    <xf numFmtId="0" fontId="92" fillId="0" borderId="20" xfId="0" applyFont="1" applyBorder="1" applyAlignment="1" applyProtection="1">
      <alignment horizontal="center"/>
      <protection hidden="1"/>
    </xf>
    <xf numFmtId="4" fontId="92" fillId="0" borderId="20" xfId="0" applyNumberFormat="1" applyFont="1" applyBorder="1" applyAlignment="1" applyProtection="1">
      <alignment horizontal="right"/>
      <protection hidden="1"/>
    </xf>
    <xf numFmtId="4" fontId="92" fillId="0" borderId="20" xfId="0" applyNumberFormat="1" applyFont="1" applyBorder="1" applyProtection="1">
      <protection hidden="1"/>
    </xf>
    <xf numFmtId="0" fontId="92" fillId="0" borderId="13" xfId="0" applyFont="1" applyBorder="1" applyProtection="1">
      <protection hidden="1"/>
    </xf>
    <xf numFmtId="0" fontId="92" fillId="0" borderId="13" xfId="0" applyFont="1" applyBorder="1" applyAlignment="1" applyProtection="1">
      <alignment horizontal="center"/>
      <protection hidden="1"/>
    </xf>
    <xf numFmtId="4" fontId="92" fillId="0" borderId="13" xfId="0" applyNumberFormat="1" applyFont="1" applyBorder="1" applyAlignment="1" applyProtection="1">
      <alignment horizontal="right"/>
      <protection hidden="1"/>
    </xf>
    <xf numFmtId="4" fontId="92" fillId="0" borderId="13" xfId="0" applyNumberFormat="1" applyFont="1" applyBorder="1" applyProtection="1">
      <protection hidden="1"/>
    </xf>
    <xf numFmtId="0" fontId="0" fillId="0" borderId="19" xfId="0" applyFill="1" applyBorder="1" applyAlignment="1" applyProtection="1">
      <protection hidden="1"/>
    </xf>
    <xf numFmtId="0" fontId="44" fillId="0" borderId="16" xfId="1" applyFont="1" applyFill="1" applyBorder="1" applyAlignment="1" applyProtection="1">
      <alignment horizontal="right"/>
      <protection hidden="1"/>
    </xf>
    <xf numFmtId="0" fontId="7" fillId="0" borderId="15" xfId="0" applyFont="1" applyFill="1" applyBorder="1" applyAlignment="1" applyProtection="1">
      <alignment horizontal="center"/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0" fontId="5" fillId="18" borderId="2" xfId="0" applyFont="1" applyFill="1" applyBorder="1" applyProtection="1">
      <protection hidden="1"/>
    </xf>
    <xf numFmtId="0" fontId="43" fillId="18" borderId="2" xfId="0" applyFont="1" applyFill="1" applyBorder="1" applyProtection="1">
      <protection hidden="1"/>
    </xf>
    <xf numFmtId="0" fontId="44" fillId="18" borderId="0" xfId="1" applyFont="1" applyFill="1" applyBorder="1" applyAlignment="1" applyProtection="1">
      <alignment horizontal="right"/>
      <protection hidden="1"/>
    </xf>
    <xf numFmtId="0" fontId="5" fillId="18" borderId="0" xfId="0" applyFont="1" applyFill="1" applyBorder="1" applyProtection="1">
      <protection hidden="1"/>
    </xf>
    <xf numFmtId="0" fontId="88" fillId="0" borderId="0" xfId="1" applyFill="1" applyBorder="1" applyAlignment="1" applyProtection="1">
      <alignment horizontal="center"/>
      <protection hidden="1"/>
    </xf>
    <xf numFmtId="0" fontId="79" fillId="18" borderId="0" xfId="0" applyFont="1" applyFill="1" applyAlignment="1" applyProtection="1">
      <alignment horizontal="right"/>
      <protection hidden="1"/>
    </xf>
    <xf numFmtId="0" fontId="37" fillId="0" borderId="0" xfId="0" applyFont="1" applyFill="1" applyProtection="1">
      <protection hidden="1"/>
    </xf>
    <xf numFmtId="0" fontId="36" fillId="0" borderId="3" xfId="0" applyFont="1" applyFill="1" applyBorder="1" applyProtection="1">
      <protection hidden="1"/>
    </xf>
    <xf numFmtId="0" fontId="27" fillId="0" borderId="3" xfId="0" applyFont="1" applyFill="1" applyBorder="1" applyAlignment="1" applyProtection="1">
      <alignment horizontal="left" vertical="center"/>
      <protection hidden="1"/>
    </xf>
    <xf numFmtId="0" fontId="27" fillId="0" borderId="3" xfId="0" applyFont="1" applyFill="1" applyBorder="1" applyAlignment="1" applyProtection="1">
      <alignment horizontal="center" vertical="center"/>
      <protection hidden="1"/>
    </xf>
    <xf numFmtId="2" fontId="98" fillId="0" borderId="1" xfId="0" applyNumberFormat="1" applyFont="1" applyFill="1" applyBorder="1" applyAlignment="1" applyProtection="1">
      <alignment horizontal="left"/>
      <protection hidden="1"/>
    </xf>
    <xf numFmtId="0" fontId="99" fillId="3" borderId="3" xfId="0" applyFont="1" applyFill="1" applyBorder="1" applyAlignment="1" applyProtection="1">
      <alignment horizontal="left" vertical="center"/>
      <protection hidden="1"/>
    </xf>
    <xf numFmtId="0" fontId="99" fillId="3" borderId="3" xfId="0" applyFont="1" applyFill="1" applyBorder="1" applyAlignment="1" applyProtection="1">
      <alignment horizontal="center" vertical="center"/>
      <protection hidden="1"/>
    </xf>
    <xf numFmtId="0" fontId="100" fillId="0" borderId="3" xfId="0" applyFont="1" applyFill="1" applyBorder="1" applyAlignment="1" applyProtection="1">
      <alignment vertical="center"/>
      <protection hidden="1"/>
    </xf>
    <xf numFmtId="4" fontId="0" fillId="0" borderId="0" xfId="0" applyNumberFormat="1"/>
    <xf numFmtId="4" fontId="10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29" fillId="0" borderId="1" xfId="0" applyNumberFormat="1" applyFont="1" applyFill="1" applyBorder="1" applyAlignment="1" applyProtection="1">
      <alignment horizontal="right" indent="1"/>
      <protection hidden="1"/>
    </xf>
    <xf numFmtId="4" fontId="30" fillId="0" borderId="3" xfId="0" applyNumberFormat="1" applyFont="1" applyFill="1" applyBorder="1" applyAlignment="1" applyProtection="1">
      <alignment horizontal="right" indent="1"/>
      <protection hidden="1"/>
    </xf>
    <xf numFmtId="4" fontId="10" fillId="0" borderId="4" xfId="0" applyNumberFormat="1" applyFont="1" applyFill="1" applyBorder="1" applyAlignment="1" applyProtection="1">
      <alignment horizontal="right" vertical="center" indent="1"/>
      <protection hidden="1"/>
    </xf>
    <xf numFmtId="0" fontId="73" fillId="0" borderId="0" xfId="0" applyFont="1" applyFill="1"/>
    <xf numFmtId="0" fontId="7" fillId="0" borderId="0" xfId="0" applyFont="1" applyFill="1" applyBorder="1" applyProtection="1">
      <protection hidden="1"/>
    </xf>
    <xf numFmtId="0" fontId="103" fillId="0" borderId="0" xfId="0" applyFont="1" applyFill="1" applyBorder="1" applyAlignment="1">
      <alignment horizontal="center"/>
    </xf>
    <xf numFmtId="0" fontId="103" fillId="0" borderId="0" xfId="0" applyFont="1" applyFill="1" applyBorder="1" applyAlignment="1">
      <alignment wrapText="1"/>
    </xf>
    <xf numFmtId="0" fontId="103" fillId="0" borderId="0" xfId="0" applyFont="1" applyFill="1" applyBorder="1" applyAlignment="1">
      <alignment horizontal="left" indent="1"/>
    </xf>
    <xf numFmtId="0" fontId="104" fillId="0" borderId="0" xfId="0" applyFont="1" applyProtection="1">
      <protection hidden="1"/>
    </xf>
    <xf numFmtId="4" fontId="104" fillId="0" borderId="0" xfId="0" applyNumberFormat="1" applyFont="1"/>
    <xf numFmtId="0" fontId="104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NumberFormat="1" applyFont="1" applyAlignment="1" applyProtection="1">
      <alignment horizontal="center"/>
      <protection hidden="1"/>
    </xf>
    <xf numFmtId="0" fontId="5" fillId="0" borderId="12" xfId="0" applyNumberFormat="1" applyFont="1" applyBorder="1" applyAlignment="1" applyProtection="1">
      <alignment horizontal="center"/>
      <protection hidden="1"/>
    </xf>
    <xf numFmtId="0" fontId="5" fillId="0" borderId="13" xfId="0" applyNumberFormat="1" applyFont="1" applyBorder="1" applyAlignment="1" applyProtection="1">
      <alignment horizontal="center"/>
      <protection hidden="1"/>
    </xf>
    <xf numFmtId="0" fontId="5" fillId="0" borderId="21" xfId="0" applyNumberFormat="1" applyFont="1" applyBorder="1" applyAlignment="1" applyProtection="1">
      <alignment horizontal="center"/>
      <protection hidden="1"/>
    </xf>
    <xf numFmtId="0" fontId="55" fillId="0" borderId="1" xfId="0" applyNumberFormat="1" applyFont="1" applyBorder="1" applyAlignment="1" applyProtection="1">
      <alignment horizontal="left" textRotation="90" wrapText="1"/>
      <protection hidden="1"/>
    </xf>
    <xf numFmtId="0" fontId="84" fillId="0" borderId="20" xfId="0" applyNumberFormat="1" applyFont="1" applyBorder="1" applyAlignment="1" applyProtection="1">
      <alignment horizontal="center"/>
      <protection hidden="1"/>
    </xf>
    <xf numFmtId="0" fontId="85" fillId="0" borderId="13" xfId="0" applyNumberFormat="1" applyFont="1" applyBorder="1" applyAlignment="1" applyProtection="1">
      <alignment horizontal="center"/>
      <protection hidden="1"/>
    </xf>
    <xf numFmtId="0" fontId="0" fillId="0" borderId="0" xfId="0" applyNumberFormat="1"/>
    <xf numFmtId="0" fontId="86" fillId="0" borderId="13" xfId="0" applyNumberFormat="1" applyFont="1" applyBorder="1" applyAlignment="1" applyProtection="1">
      <alignment horizontal="center"/>
      <protection hidden="1"/>
    </xf>
    <xf numFmtId="0" fontId="22" fillId="2" borderId="23" xfId="0" applyNumberFormat="1" applyFont="1" applyFill="1" applyBorder="1" applyAlignment="1" applyProtection="1">
      <alignment horizontal="center"/>
      <protection locked="0"/>
    </xf>
    <xf numFmtId="0" fontId="37" fillId="0" borderId="0" xfId="0" applyNumberFormat="1" applyFont="1" applyAlignment="1" applyProtection="1">
      <alignment horizontal="center"/>
      <protection hidden="1"/>
    </xf>
    <xf numFmtId="0" fontId="6" fillId="0" borderId="13" xfId="0" applyNumberFormat="1" applyFont="1" applyBorder="1" applyAlignment="1" applyProtection="1">
      <alignment horizontal="center"/>
      <protection hidden="1"/>
    </xf>
    <xf numFmtId="0" fontId="90" fillId="19" borderId="0" xfId="4" applyFill="1"/>
    <xf numFmtId="1" fontId="29" fillId="0" borderId="1" xfId="0" applyNumberFormat="1" applyFont="1" applyFill="1" applyBorder="1" applyAlignment="1" applyProtection="1">
      <alignment horizontal="center"/>
      <protection hidden="1"/>
    </xf>
    <xf numFmtId="0" fontId="96" fillId="0" borderId="13" xfId="0" applyNumberFormat="1" applyFont="1" applyFill="1" applyBorder="1" applyAlignment="1" applyProtection="1">
      <alignment horizontal="center"/>
      <protection hidden="1"/>
    </xf>
    <xf numFmtId="0" fontId="96" fillId="0" borderId="21" xfId="0" applyNumberFormat="1" applyFont="1" applyFill="1" applyBorder="1" applyAlignment="1" applyProtection="1">
      <alignment horizontal="center"/>
      <protection hidden="1"/>
    </xf>
    <xf numFmtId="0" fontId="29" fillId="0" borderId="13" xfId="0" applyNumberFormat="1" applyFont="1" applyFill="1" applyBorder="1" applyAlignment="1" applyProtection="1">
      <alignment horizontal="center"/>
      <protection hidden="1"/>
    </xf>
    <xf numFmtId="0" fontId="96" fillId="0" borderId="20" xfId="0" applyNumberFormat="1" applyFont="1" applyFill="1" applyBorder="1" applyAlignment="1" applyProtection="1">
      <alignment horizontal="center"/>
      <protection hidden="1"/>
    </xf>
    <xf numFmtId="0" fontId="30" fillId="0" borderId="21" xfId="0" applyNumberFormat="1" applyFont="1" applyFill="1" applyBorder="1" applyAlignment="1" applyProtection="1">
      <alignment horizontal="center"/>
      <protection hidden="1"/>
    </xf>
    <xf numFmtId="0" fontId="29" fillId="0" borderId="1" xfId="0" applyNumberFormat="1" applyFont="1" applyFill="1" applyBorder="1" applyAlignment="1" applyProtection="1">
      <alignment horizontal="center"/>
      <protection hidden="1"/>
    </xf>
    <xf numFmtId="0" fontId="78" fillId="0" borderId="21" xfId="0" applyNumberFormat="1" applyFont="1" applyFill="1" applyBorder="1" applyAlignment="1" applyProtection="1">
      <alignment horizontal="center"/>
      <protection hidden="1"/>
    </xf>
    <xf numFmtId="0" fontId="78" fillId="0" borderId="20" xfId="0" applyNumberFormat="1" applyFont="1" applyFill="1" applyBorder="1" applyAlignment="1" applyProtection="1">
      <alignment horizontal="center"/>
      <protection hidden="1"/>
    </xf>
    <xf numFmtId="0" fontId="78" fillId="0" borderId="13" xfId="0" applyNumberFormat="1" applyFont="1" applyFill="1" applyBorder="1" applyAlignment="1" applyProtection="1">
      <alignment horizontal="center"/>
      <protection hidden="1"/>
    </xf>
    <xf numFmtId="0" fontId="78" fillId="0" borderId="1" xfId="0" applyNumberFormat="1" applyFont="1" applyFill="1" applyBorder="1" applyAlignment="1" applyProtection="1">
      <alignment horizontal="center"/>
      <protection hidden="1"/>
    </xf>
    <xf numFmtId="0" fontId="78" fillId="0" borderId="19" xfId="0" applyNumberFormat="1" applyFont="1" applyFill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4" fontId="5" fillId="0" borderId="19" xfId="0" applyNumberFormat="1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4" fontId="7" fillId="0" borderId="1" xfId="0" applyNumberFormat="1" applyFont="1" applyBorder="1" applyProtection="1">
      <protection hidden="1"/>
    </xf>
    <xf numFmtId="0" fontId="69" fillId="6" borderId="0" xfId="0" applyFont="1" applyFill="1" applyBorder="1" applyAlignment="1">
      <alignment horizontal="center"/>
    </xf>
    <xf numFmtId="0" fontId="69" fillId="0" borderId="0" xfId="0" applyFont="1" applyBorder="1"/>
    <xf numFmtId="0" fontId="7" fillId="0" borderId="0" xfId="0" applyFont="1" applyFill="1" applyBorder="1" applyAlignment="1" applyProtection="1">
      <alignment horizontal="left" vertical="center"/>
      <protection hidden="1"/>
    </xf>
    <xf numFmtId="0" fontId="69" fillId="0" borderId="0" xfId="0" applyFont="1" applyFill="1" applyBorder="1" applyProtection="1"/>
    <xf numFmtId="0" fontId="5" fillId="21" borderId="0" xfId="0" applyFont="1" applyFill="1"/>
    <xf numFmtId="0" fontId="5" fillId="21" borderId="0" xfId="0" applyFont="1" applyFill="1" applyBorder="1"/>
    <xf numFmtId="0" fontId="5" fillId="21" borderId="57" xfId="0" applyFont="1" applyFill="1" applyBorder="1"/>
    <xf numFmtId="0" fontId="69" fillId="21" borderId="66" xfId="0" applyFont="1" applyFill="1" applyBorder="1" applyAlignment="1">
      <alignment horizontal="left" vertical="center"/>
    </xf>
    <xf numFmtId="0" fontId="69" fillId="21" borderId="66" xfId="0" applyFont="1" applyFill="1" applyBorder="1" applyAlignment="1">
      <alignment horizontal="left" vertical="center" indent="1"/>
    </xf>
    <xf numFmtId="0" fontId="107" fillId="23" borderId="69" xfId="0" applyFont="1" applyFill="1" applyBorder="1" applyAlignment="1">
      <alignment horizontal="center" vertical="center"/>
    </xf>
    <xf numFmtId="0" fontId="5" fillId="21" borderId="64" xfId="0" applyFont="1" applyFill="1" applyBorder="1"/>
    <xf numFmtId="0" fontId="5" fillId="21" borderId="69" xfId="0" applyFont="1" applyFill="1" applyBorder="1"/>
    <xf numFmtId="0" fontId="5" fillId="21" borderId="61" xfId="0" applyFont="1" applyFill="1" applyBorder="1"/>
    <xf numFmtId="0" fontId="10" fillId="5" borderId="18" xfId="1" applyFont="1" applyFill="1" applyBorder="1" applyAlignment="1" applyProtection="1">
      <alignment horizontal="center" vertical="center"/>
      <protection hidden="1"/>
    </xf>
    <xf numFmtId="0" fontId="103" fillId="0" borderId="0" xfId="0" applyFont="1" applyAlignment="1">
      <alignment horizontal="center"/>
    </xf>
    <xf numFmtId="0" fontId="73" fillId="0" borderId="71" xfId="0" applyFont="1" applyFill="1" applyBorder="1" applyAlignment="1" applyProtection="1">
      <alignment horizontal="center"/>
    </xf>
    <xf numFmtId="0" fontId="103" fillId="0" borderId="0" xfId="0" applyFont="1" applyAlignment="1">
      <alignment vertical="top"/>
    </xf>
    <xf numFmtId="0" fontId="0" fillId="21" borderId="0" xfId="0" applyFill="1" applyBorder="1"/>
    <xf numFmtId="0" fontId="0" fillId="21" borderId="0" xfId="0" applyFill="1"/>
    <xf numFmtId="0" fontId="103" fillId="0" borderId="0" xfId="0" applyFont="1" applyAlignment="1">
      <alignment vertical="top" wrapText="1"/>
    </xf>
    <xf numFmtId="0" fontId="71" fillId="0" borderId="2" xfId="0" applyFont="1" applyFill="1" applyBorder="1" applyAlignment="1" applyProtection="1">
      <alignment horizontal="left"/>
      <protection hidden="1"/>
    </xf>
    <xf numFmtId="0" fontId="90" fillId="24" borderId="0" xfId="4" applyFill="1"/>
    <xf numFmtId="0" fontId="37" fillId="5" borderId="0" xfId="0" applyFont="1" applyFill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0" fillId="0" borderId="2" xfId="0" applyFont="1" applyFill="1" applyBorder="1" applyAlignment="1" applyProtection="1">
      <alignment horizontal="right" vertical="center"/>
      <protection hidden="1"/>
    </xf>
    <xf numFmtId="14" fontId="5" fillId="0" borderId="2" xfId="0" applyNumberFormat="1" applyFont="1" applyBorder="1" applyAlignment="1" applyProtection="1">
      <alignment horizontal="right" vertical="center"/>
      <protection hidden="1"/>
    </xf>
    <xf numFmtId="0" fontId="10" fillId="0" borderId="2" xfId="0" applyFont="1" applyFill="1" applyBorder="1" applyAlignment="1" applyProtection="1">
      <alignment vertical="center"/>
      <protection hidden="1"/>
    </xf>
    <xf numFmtId="0" fontId="55" fillId="0" borderId="1" xfId="0" applyFont="1" applyBorder="1" applyAlignment="1" applyProtection="1">
      <alignment horizontal="center" vertical="center" wrapText="1"/>
      <protection hidden="1"/>
    </xf>
    <xf numFmtId="0" fontId="55" fillId="0" borderId="1" xfId="0" applyFont="1" applyBorder="1" applyAlignment="1" applyProtection="1">
      <alignment horizontal="right" wrapText="1" indent="1"/>
      <protection hidden="1"/>
    </xf>
    <xf numFmtId="0" fontId="57" fillId="13" borderId="0" xfId="0" applyFont="1" applyFill="1" applyAlignment="1" applyProtection="1">
      <alignment horizontal="center" textRotation="90"/>
      <protection hidden="1"/>
    </xf>
    <xf numFmtId="0" fontId="37" fillId="22" borderId="0" xfId="0" applyFont="1" applyFill="1" applyAlignment="1" applyProtection="1">
      <alignment horizontal="center"/>
      <protection hidden="1"/>
    </xf>
    <xf numFmtId="0" fontId="64" fillId="0" borderId="0" xfId="0" applyFont="1" applyBorder="1" applyAlignment="1" applyProtection="1">
      <protection hidden="1"/>
    </xf>
    <xf numFmtId="0" fontId="37" fillId="5" borderId="0" xfId="0" applyFont="1" applyFill="1" applyAlignment="1" applyProtection="1">
      <alignment horizontal="center"/>
      <protection hidden="1"/>
    </xf>
    <xf numFmtId="0" fontId="69" fillId="21" borderId="55" xfId="0" applyFont="1" applyFill="1" applyBorder="1" applyAlignment="1">
      <alignment horizontal="center" vertical="center" wrapText="1"/>
    </xf>
    <xf numFmtId="0" fontId="69" fillId="21" borderId="66" xfId="0" applyFont="1" applyFill="1" applyBorder="1" applyAlignment="1">
      <alignment horizontal="left" vertical="center" indent="1"/>
    </xf>
    <xf numFmtId="0" fontId="37" fillId="5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103" fillId="0" borderId="0" xfId="0" applyFont="1" applyFill="1" applyBorder="1" applyAlignment="1">
      <alignment horizontal="left"/>
    </xf>
    <xf numFmtId="0" fontId="108" fillId="0" borderId="0" xfId="0" applyFont="1" applyFill="1" applyBorder="1"/>
    <xf numFmtId="0" fontId="69" fillId="21" borderId="55" xfId="0" applyFont="1" applyFill="1" applyBorder="1" applyAlignment="1">
      <alignment horizontal="center" vertical="center" wrapText="1"/>
    </xf>
    <xf numFmtId="0" fontId="37" fillId="5" borderId="0" xfId="0" applyFont="1" applyFill="1" applyAlignment="1" applyProtection="1">
      <alignment horizontal="center"/>
      <protection hidden="1"/>
    </xf>
    <xf numFmtId="0" fontId="109" fillId="23" borderId="69" xfId="0" applyFont="1" applyFill="1" applyBorder="1" applyAlignment="1">
      <alignment horizontal="center" vertical="center"/>
    </xf>
    <xf numFmtId="0" fontId="110" fillId="23" borderId="69" xfId="0" applyFont="1" applyFill="1" applyBorder="1" applyAlignment="1">
      <alignment horizontal="center" vertical="center"/>
    </xf>
    <xf numFmtId="0" fontId="4" fillId="21" borderId="55" xfId="0" applyFont="1" applyFill="1" applyBorder="1" applyAlignment="1">
      <alignment horizontal="center" vertical="center" wrapText="1"/>
    </xf>
    <xf numFmtId="0" fontId="34" fillId="21" borderId="64" xfId="0" applyFont="1" applyFill="1" applyBorder="1"/>
    <xf numFmtId="0" fontId="34" fillId="21" borderId="69" xfId="0" applyFont="1" applyFill="1" applyBorder="1"/>
    <xf numFmtId="0" fontId="94" fillId="3" borderId="72" xfId="0" applyFont="1" applyFill="1" applyBorder="1" applyAlignment="1" applyProtection="1">
      <alignment horizontal="left" vertical="center"/>
      <protection hidden="1"/>
    </xf>
    <xf numFmtId="0" fontId="94" fillId="3" borderId="72" xfId="0" applyFont="1" applyFill="1" applyBorder="1" applyAlignment="1" applyProtection="1">
      <alignment horizontal="center" vertical="center"/>
      <protection hidden="1"/>
    </xf>
    <xf numFmtId="0" fontId="94" fillId="0" borderId="72" xfId="0" applyFont="1" applyFill="1" applyBorder="1" applyAlignment="1" applyProtection="1">
      <protection hidden="1"/>
    </xf>
    <xf numFmtId="0" fontId="96" fillId="0" borderId="14" xfId="0" applyNumberFormat="1" applyFont="1" applyFill="1" applyBorder="1" applyAlignment="1" applyProtection="1">
      <alignment horizontal="center"/>
      <protection hidden="1"/>
    </xf>
    <xf numFmtId="0" fontId="28" fillId="3" borderId="72" xfId="0" applyFont="1" applyFill="1" applyBorder="1" applyAlignment="1" applyProtection="1">
      <alignment horizontal="left" vertical="center"/>
      <protection hidden="1"/>
    </xf>
    <xf numFmtId="0" fontId="28" fillId="3" borderId="72" xfId="0" applyFont="1" applyFill="1" applyBorder="1" applyAlignment="1" applyProtection="1">
      <alignment horizontal="center" vertical="center"/>
      <protection hidden="1"/>
    </xf>
    <xf numFmtId="0" fontId="28" fillId="0" borderId="72" xfId="0" applyFont="1" applyFill="1" applyBorder="1" applyAlignment="1" applyProtection="1">
      <protection hidden="1"/>
    </xf>
    <xf numFmtId="0" fontId="29" fillId="0" borderId="14" xfId="0" applyNumberFormat="1" applyFont="1" applyFill="1" applyBorder="1" applyAlignment="1" applyProtection="1">
      <alignment horizontal="center"/>
      <protection hidden="1"/>
    </xf>
    <xf numFmtId="14" fontId="13" fillId="0" borderId="0" xfId="0" applyNumberFormat="1" applyFont="1" applyFill="1" applyBorder="1" applyAlignment="1" applyProtection="1">
      <alignment horizontal="center" vertical="center"/>
      <protection hidden="1"/>
    </xf>
    <xf numFmtId="1" fontId="10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14" xfId="0" applyNumberFormat="1" applyFont="1" applyFill="1" applyBorder="1" applyAlignment="1" applyProtection="1">
      <alignment horizontal="center" vertical="center"/>
      <protection hidden="1"/>
    </xf>
    <xf numFmtId="0" fontId="27" fillId="3" borderId="72" xfId="0" applyFont="1" applyFill="1" applyBorder="1" applyAlignment="1" applyProtection="1">
      <alignment horizontal="center" vertical="center"/>
      <protection hidden="1"/>
    </xf>
    <xf numFmtId="0" fontId="37" fillId="5" borderId="0" xfId="0" applyFont="1" applyFill="1" applyAlignment="1" applyProtection="1">
      <alignment horizontal="center"/>
      <protection hidden="1"/>
    </xf>
    <xf numFmtId="0" fontId="77" fillId="3" borderId="72" xfId="0" applyFont="1" applyFill="1" applyBorder="1" applyAlignment="1" applyProtection="1">
      <alignment horizontal="left" vertical="center"/>
      <protection hidden="1"/>
    </xf>
    <xf numFmtId="0" fontId="77" fillId="3" borderId="72" xfId="0" applyFont="1" applyFill="1" applyBorder="1" applyAlignment="1" applyProtection="1">
      <alignment horizontal="center" vertical="center"/>
      <protection hidden="1"/>
    </xf>
    <xf numFmtId="0" fontId="77" fillId="0" borderId="72" xfId="0" applyFont="1" applyFill="1" applyBorder="1" applyAlignment="1" applyProtection="1">
      <protection hidden="1"/>
    </xf>
    <xf numFmtId="0" fontId="78" fillId="0" borderId="14" xfId="0" applyNumberFormat="1" applyFont="1" applyFill="1" applyBorder="1" applyAlignment="1" applyProtection="1">
      <alignment horizontal="center"/>
      <protection hidden="1"/>
    </xf>
    <xf numFmtId="0" fontId="72" fillId="18" borderId="2" xfId="0" applyFont="1" applyFill="1" applyBorder="1" applyAlignment="1" applyProtection="1">
      <alignment horizontal="right"/>
      <protection hidden="1"/>
    </xf>
    <xf numFmtId="0" fontId="79" fillId="18" borderId="2" xfId="0" applyFont="1" applyFill="1" applyBorder="1" applyProtection="1">
      <protection hidden="1"/>
    </xf>
    <xf numFmtId="0" fontId="7" fillId="0" borderId="0" xfId="0" applyFont="1"/>
    <xf numFmtId="0" fontId="29" fillId="0" borderId="21" xfId="0" applyNumberFormat="1" applyFont="1" applyFill="1" applyBorder="1" applyAlignment="1" applyProtection="1">
      <alignment horizontal="center"/>
      <protection hidden="1"/>
    </xf>
    <xf numFmtId="0" fontId="13" fillId="25" borderId="11" xfId="0" applyFont="1" applyFill="1" applyBorder="1" applyProtection="1">
      <protection hidden="1"/>
    </xf>
    <xf numFmtId="0" fontId="13" fillId="25" borderId="11" xfId="0" applyFont="1" applyFill="1" applyBorder="1" applyAlignment="1" applyProtection="1">
      <alignment horizontal="center"/>
      <protection hidden="1"/>
    </xf>
    <xf numFmtId="2" fontId="13" fillId="25" borderId="1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76" fillId="0" borderId="0" xfId="0" applyFont="1" applyFill="1" applyBorder="1" applyAlignment="1" applyProtection="1">
      <alignment horizontal="left" vertical="center"/>
      <protection hidden="1"/>
    </xf>
    <xf numFmtId="0" fontId="37" fillId="0" borderId="0" xfId="4" applyFont="1"/>
    <xf numFmtId="0" fontId="111" fillId="0" borderId="0" xfId="0" applyFont="1"/>
    <xf numFmtId="0" fontId="103" fillId="0" borderId="0" xfId="0" applyFont="1" applyFill="1" applyBorder="1" applyAlignment="1" applyProtection="1">
      <alignment horizontal="left" vertical="center"/>
      <protection hidden="1"/>
    </xf>
    <xf numFmtId="0" fontId="0" fillId="0" borderId="0" xfId="0"/>
    <xf numFmtId="166" fontId="0" fillId="0" borderId="0" xfId="0" applyNumberFormat="1"/>
    <xf numFmtId="166" fontId="37" fillId="0" borderId="20" xfId="0" applyNumberFormat="1" applyFont="1" applyBorder="1" applyProtection="1">
      <protection hidden="1"/>
    </xf>
    <xf numFmtId="166" fontId="37" fillId="0" borderId="13" xfId="0" applyNumberFormat="1" applyFont="1" applyBorder="1" applyProtection="1">
      <protection hidden="1"/>
    </xf>
    <xf numFmtId="166" fontId="37" fillId="0" borderId="13" xfId="0" applyNumberFormat="1" applyFont="1" applyBorder="1" applyAlignment="1" applyProtection="1">
      <alignment horizontal="center"/>
      <protection hidden="1"/>
    </xf>
    <xf numFmtId="166" fontId="37" fillId="0" borderId="0" xfId="0" applyNumberFormat="1" applyFont="1" applyProtection="1">
      <protection hidden="1"/>
    </xf>
    <xf numFmtId="0" fontId="6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68" fillId="6" borderId="34" xfId="0" applyFont="1" applyFill="1" applyBorder="1" applyAlignment="1" applyProtection="1">
      <alignment horizontal="center"/>
      <protection hidden="1"/>
    </xf>
    <xf numFmtId="0" fontId="37" fillId="5" borderId="0" xfId="0" applyFont="1" applyFill="1" applyAlignment="1" applyProtection="1">
      <alignment horizontal="center"/>
      <protection hidden="1"/>
    </xf>
    <xf numFmtId="166" fontId="5" fillId="0" borderId="1" xfId="0" applyNumberFormat="1" applyFont="1" applyBorder="1" applyProtection="1">
      <protection hidden="1"/>
    </xf>
    <xf numFmtId="166" fontId="5" fillId="0" borderId="0" xfId="0" applyNumberFormat="1" applyFont="1"/>
    <xf numFmtId="166" fontId="5" fillId="0" borderId="2" xfId="0" applyNumberFormat="1" applyFont="1" applyBorder="1" applyProtection="1">
      <protection hidden="1"/>
    </xf>
    <xf numFmtId="166" fontId="75" fillId="0" borderId="13" xfId="0" applyNumberFormat="1" applyFont="1" applyBorder="1" applyProtection="1">
      <protection hidden="1"/>
    </xf>
    <xf numFmtId="166" fontId="5" fillId="0" borderId="13" xfId="0" applyNumberFormat="1" applyFont="1" applyBorder="1" applyProtection="1">
      <protection hidden="1"/>
    </xf>
    <xf numFmtId="166" fontId="60" fillId="0" borderId="13" xfId="0" applyNumberFormat="1" applyFont="1" applyBorder="1" applyProtection="1">
      <protection hidden="1"/>
    </xf>
    <xf numFmtId="166" fontId="75" fillId="0" borderId="20" xfId="0" applyNumberFormat="1" applyFont="1" applyFill="1" applyBorder="1" applyProtection="1">
      <protection hidden="1"/>
    </xf>
    <xf numFmtId="166" fontId="10" fillId="0" borderId="20" xfId="0" applyNumberFormat="1" applyFont="1" applyFill="1" applyBorder="1" applyProtection="1">
      <protection hidden="1"/>
    </xf>
    <xf numFmtId="166" fontId="5" fillId="0" borderId="20" xfId="0" applyNumberFormat="1" applyFont="1" applyBorder="1" applyProtection="1">
      <protection hidden="1"/>
    </xf>
    <xf numFmtId="166" fontId="60" fillId="0" borderId="20" xfId="0" applyNumberFormat="1" applyFont="1" applyBorder="1" applyProtection="1">
      <protection hidden="1"/>
    </xf>
    <xf numFmtId="166" fontId="5" fillId="0" borderId="0" xfId="0" applyNumberFormat="1" applyFont="1" applyBorder="1" applyProtection="1">
      <protection hidden="1"/>
    </xf>
    <xf numFmtId="166" fontId="5" fillId="0" borderId="12" xfId="0" applyNumberFormat="1" applyFont="1" applyBorder="1" applyProtection="1">
      <protection hidden="1"/>
    </xf>
    <xf numFmtId="166" fontId="60" fillId="0" borderId="21" xfId="0" applyNumberFormat="1" applyFont="1" applyBorder="1" applyProtection="1">
      <protection hidden="1"/>
    </xf>
    <xf numFmtId="166" fontId="5" fillId="0" borderId="0" xfId="0" applyNumberFormat="1" applyFont="1" applyFill="1" applyBorder="1"/>
    <xf numFmtId="166" fontId="37" fillId="0" borderId="0" xfId="0" applyNumberFormat="1" applyFont="1" applyAlignment="1" applyProtection="1">
      <alignment horizontal="right"/>
      <protection hidden="1"/>
    </xf>
    <xf numFmtId="166" fontId="5" fillId="0" borderId="0" xfId="0" applyNumberFormat="1" applyFont="1" applyBorder="1" applyAlignment="1" applyProtection="1">
      <alignment horizontal="right"/>
      <protection hidden="1"/>
    </xf>
    <xf numFmtId="166" fontId="37" fillId="0" borderId="2" xfId="0" applyNumberFormat="1" applyFont="1" applyBorder="1" applyAlignment="1" applyProtection="1">
      <alignment horizontal="right"/>
      <protection hidden="1"/>
    </xf>
    <xf numFmtId="166" fontId="13" fillId="0" borderId="0" xfId="0" applyNumberFormat="1" applyFont="1" applyAlignment="1" applyProtection="1">
      <alignment horizontal="right" vertical="center"/>
      <protection hidden="1"/>
    </xf>
    <xf numFmtId="0" fontId="13" fillId="0" borderId="0" xfId="5" applyFont="1" applyBorder="1" applyAlignment="1" applyProtection="1">
      <alignment horizontal="right" vertical="center"/>
      <protection hidden="1"/>
    </xf>
    <xf numFmtId="0" fontId="37" fillId="5" borderId="0" xfId="0" applyFont="1" applyFill="1" applyAlignment="1" applyProtection="1">
      <alignment horizontal="center"/>
      <protection hidden="1"/>
    </xf>
    <xf numFmtId="0" fontId="37" fillId="5" borderId="0" xfId="0" applyFont="1" applyFill="1" applyAlignment="1" applyProtection="1">
      <alignment horizontal="center"/>
      <protection hidden="1"/>
    </xf>
    <xf numFmtId="0" fontId="45" fillId="0" borderId="0" xfId="1" applyFont="1" applyBorder="1" applyAlignment="1" applyProtection="1">
      <alignment horizontal="center" vertical="center"/>
      <protection hidden="1"/>
    </xf>
    <xf numFmtId="0" fontId="27" fillId="27" borderId="3" xfId="0" applyFont="1" applyFill="1" applyBorder="1" applyAlignment="1" applyProtection="1">
      <alignment horizontal="left" vertical="center"/>
      <protection hidden="1"/>
    </xf>
    <xf numFmtId="0" fontId="5" fillId="21" borderId="2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10" fillId="0" borderId="0" xfId="0" applyFont="1" applyFill="1" applyBorder="1" applyAlignment="1" applyProtection="1">
      <alignment horizontal="right"/>
    </xf>
    <xf numFmtId="0" fontId="5" fillId="0" borderId="0" xfId="0" applyFont="1" applyProtection="1"/>
    <xf numFmtId="0" fontId="5" fillId="21" borderId="1" xfId="0" applyFont="1" applyFill="1" applyBorder="1" applyAlignment="1" applyProtection="1">
      <alignment horizontal="center"/>
      <protection hidden="1"/>
    </xf>
    <xf numFmtId="0" fontId="69" fillId="21" borderId="55" xfId="0" applyFont="1" applyFill="1" applyBorder="1" applyAlignment="1">
      <alignment horizontal="center" vertical="center" wrapText="1"/>
    </xf>
    <xf numFmtId="0" fontId="69" fillId="21" borderId="66" xfId="0" applyFont="1" applyFill="1" applyBorder="1" applyAlignment="1">
      <alignment horizontal="left" vertical="center" indent="1"/>
    </xf>
    <xf numFmtId="0" fontId="37" fillId="5" borderId="0" xfId="0" applyFont="1" applyFill="1" applyAlignment="1" applyProtection="1">
      <alignment horizontal="center"/>
      <protection hidden="1"/>
    </xf>
    <xf numFmtId="167" fontId="5" fillId="0" borderId="1" xfId="0" applyNumberFormat="1" applyFont="1" applyBorder="1"/>
    <xf numFmtId="167" fontId="5" fillId="0" borderId="0" xfId="0" applyNumberFormat="1" applyFont="1"/>
    <xf numFmtId="167" fontId="5" fillId="0" borderId="2" xfId="0" applyNumberFormat="1" applyFont="1" applyBorder="1" applyAlignment="1">
      <alignment horizontal="right"/>
    </xf>
    <xf numFmtId="0" fontId="5" fillId="24" borderId="0" xfId="0" applyFont="1" applyFill="1"/>
    <xf numFmtId="0" fontId="107" fillId="21" borderId="69" xfId="0" applyFont="1" applyFill="1" applyBorder="1" applyAlignment="1">
      <alignment horizontal="center" vertical="center"/>
    </xf>
    <xf numFmtId="0" fontId="110" fillId="21" borderId="69" xfId="0" applyFont="1" applyFill="1" applyBorder="1" applyAlignment="1">
      <alignment horizontal="center" vertical="center"/>
    </xf>
    <xf numFmtId="0" fontId="10" fillId="0" borderId="17" xfId="1" applyFont="1" applyFill="1" applyBorder="1" applyProtection="1">
      <protection hidden="1"/>
    </xf>
    <xf numFmtId="0" fontId="10" fillId="5" borderId="17" xfId="1" applyFont="1" applyFill="1" applyBorder="1" applyAlignment="1" applyProtection="1">
      <alignment horizontal="center"/>
      <protection hidden="1"/>
    </xf>
    <xf numFmtId="0" fontId="113" fillId="0" borderId="0" xfId="0" applyFont="1" applyFill="1"/>
    <xf numFmtId="0" fontId="88" fillId="2" borderId="0" xfId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46" fillId="5" borderId="0" xfId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5" fillId="0" borderId="54" xfId="1" applyFont="1" applyBorder="1" applyAlignment="1" applyProtection="1">
      <alignment horizontal="center" vertical="center"/>
      <protection hidden="1"/>
    </xf>
    <xf numFmtId="0" fontId="45" fillId="0" borderId="10" xfId="1" applyFont="1" applyBorder="1" applyAlignment="1" applyProtection="1">
      <alignment horizontal="center" vertical="center"/>
      <protection hidden="1"/>
    </xf>
    <xf numFmtId="0" fontId="45" fillId="0" borderId="54" xfId="2" applyFont="1" applyBorder="1" applyAlignment="1" applyProtection="1">
      <alignment horizontal="center" vertical="center"/>
      <protection hidden="1"/>
    </xf>
    <xf numFmtId="0" fontId="45" fillId="0" borderId="1" xfId="2" applyFont="1" applyBorder="1" applyAlignment="1" applyProtection="1">
      <alignment horizontal="center" vertical="center"/>
      <protection hidden="1"/>
    </xf>
    <xf numFmtId="0" fontId="45" fillId="0" borderId="10" xfId="2" applyFont="1" applyBorder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5" fillId="0" borderId="0" xfId="0" applyFont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3" fillId="0" borderId="0" xfId="5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66" fillId="5" borderId="0" xfId="1" applyFont="1" applyFill="1" applyAlignment="1" applyProtection="1">
      <alignment horizontal="center" vertical="center"/>
      <protection hidden="1"/>
    </xf>
    <xf numFmtId="0" fontId="5" fillId="21" borderId="59" xfId="0" applyFont="1" applyFill="1" applyBorder="1" applyAlignment="1">
      <alignment horizontal="center"/>
    </xf>
    <xf numFmtId="0" fontId="5" fillId="21" borderId="61" xfId="0" applyFont="1" applyFill="1" applyBorder="1" applyAlignment="1">
      <alignment horizontal="center"/>
    </xf>
    <xf numFmtId="0" fontId="5" fillId="21" borderId="0" xfId="0" applyFont="1" applyFill="1" applyBorder="1" applyAlignment="1">
      <alignment horizontal="center"/>
    </xf>
    <xf numFmtId="0" fontId="5" fillId="21" borderId="57" xfId="0" applyFont="1" applyFill="1" applyBorder="1" applyAlignment="1">
      <alignment horizontal="center"/>
    </xf>
    <xf numFmtId="0" fontId="69" fillId="21" borderId="58" xfId="0" applyFont="1" applyFill="1" applyBorder="1" applyAlignment="1">
      <alignment horizontal="left" vertical="center" indent="1"/>
    </xf>
    <xf numFmtId="0" fontId="69" fillId="21" borderId="59" xfId="0" applyFont="1" applyFill="1" applyBorder="1" applyAlignment="1">
      <alignment horizontal="left" vertical="center" indent="1"/>
    </xf>
    <xf numFmtId="0" fontId="69" fillId="21" borderId="61" xfId="0" applyFont="1" applyFill="1" applyBorder="1" applyAlignment="1">
      <alignment horizontal="left" vertical="center" indent="1"/>
    </xf>
    <xf numFmtId="0" fontId="69" fillId="21" borderId="67" xfId="0" applyFont="1" applyFill="1" applyBorder="1" applyAlignment="1">
      <alignment horizontal="left" vertical="center" indent="1"/>
    </xf>
    <xf numFmtId="0" fontId="69" fillId="21" borderId="55" xfId="0" applyFont="1" applyFill="1" applyBorder="1" applyAlignment="1">
      <alignment horizontal="left" vertical="center" indent="1"/>
    </xf>
    <xf numFmtId="0" fontId="69" fillId="21" borderId="68" xfId="0" applyFont="1" applyFill="1" applyBorder="1" applyAlignment="1">
      <alignment horizontal="left" vertical="center" indent="1"/>
    </xf>
    <xf numFmtId="0" fontId="69" fillId="21" borderId="56" xfId="0" applyFont="1" applyFill="1" applyBorder="1" applyAlignment="1">
      <alignment horizontal="left" vertical="center" indent="1"/>
    </xf>
    <xf numFmtId="0" fontId="69" fillId="21" borderId="0" xfId="0" applyFont="1" applyFill="1" applyBorder="1" applyAlignment="1">
      <alignment horizontal="left" vertical="center" indent="1"/>
    </xf>
    <xf numFmtId="0" fontId="69" fillId="21" borderId="57" xfId="0" applyFont="1" applyFill="1" applyBorder="1" applyAlignment="1">
      <alignment horizontal="left" vertical="center" indent="1"/>
    </xf>
    <xf numFmtId="49" fontId="110" fillId="23" borderId="69" xfId="0" applyNumberFormat="1" applyFont="1" applyFill="1" applyBorder="1" applyAlignment="1">
      <alignment horizontal="center" vertical="center"/>
    </xf>
    <xf numFmtId="49" fontId="110" fillId="23" borderId="64" xfId="0" applyNumberFormat="1" applyFont="1" applyFill="1" applyBorder="1" applyAlignment="1">
      <alignment horizontal="center" vertical="center"/>
    </xf>
    <xf numFmtId="0" fontId="110" fillId="21" borderId="63" xfId="0" applyFont="1" applyFill="1" applyBorder="1" applyAlignment="1">
      <alignment horizontal="right" vertical="center" indent="1"/>
    </xf>
    <xf numFmtId="0" fontId="110" fillId="21" borderId="65" xfId="0" applyFont="1" applyFill="1" applyBorder="1" applyAlignment="1">
      <alignment horizontal="right" vertical="center" indent="1"/>
    </xf>
    <xf numFmtId="49" fontId="110" fillId="21" borderId="64" xfId="0" applyNumberFormat="1" applyFont="1" applyFill="1" applyBorder="1" applyAlignment="1">
      <alignment horizontal="center" vertical="center"/>
    </xf>
    <xf numFmtId="0" fontId="69" fillId="21" borderId="0" xfId="0" applyFont="1" applyFill="1" applyBorder="1" applyAlignment="1">
      <alignment horizontal="left" vertical="center" wrapText="1" indent="1"/>
    </xf>
    <xf numFmtId="0" fontId="106" fillId="20" borderId="0" xfId="0" applyFont="1" applyFill="1" applyAlignment="1">
      <alignment horizontal="right" vertical="center" indent="1"/>
    </xf>
    <xf numFmtId="0" fontId="5" fillId="22" borderId="0" xfId="0" applyFont="1" applyFill="1" applyBorder="1" applyAlignment="1">
      <alignment horizontal="center"/>
    </xf>
    <xf numFmtId="0" fontId="43" fillId="22" borderId="0" xfId="0" applyFont="1" applyFill="1" applyBorder="1" applyAlignment="1">
      <alignment horizontal="left" vertical="center" indent="1"/>
    </xf>
    <xf numFmtId="0" fontId="69" fillId="21" borderId="63" xfId="0" applyFont="1" applyFill="1" applyBorder="1" applyAlignment="1">
      <alignment horizontal="left" vertical="center" indent="1"/>
    </xf>
    <xf numFmtId="0" fontId="69" fillId="21" borderId="64" xfId="0" applyFont="1" applyFill="1" applyBorder="1" applyAlignment="1">
      <alignment horizontal="left" vertical="center" indent="1"/>
    </xf>
    <xf numFmtId="0" fontId="69" fillId="21" borderId="65" xfId="0" applyFont="1" applyFill="1" applyBorder="1" applyAlignment="1">
      <alignment horizontal="left" vertical="center" indent="1"/>
    </xf>
    <xf numFmtId="0" fontId="69" fillId="21" borderId="60" xfId="0" applyFont="1" applyFill="1" applyBorder="1" applyAlignment="1">
      <alignment horizontal="center" vertical="center" wrapText="1"/>
    </xf>
    <xf numFmtId="0" fontId="69" fillId="21" borderId="59" xfId="0" applyFont="1" applyFill="1" applyBorder="1" applyAlignment="1">
      <alignment horizontal="center" vertical="center" wrapText="1"/>
    </xf>
    <xf numFmtId="0" fontId="69" fillId="21" borderId="70" xfId="0" applyFont="1" applyFill="1" applyBorder="1" applyAlignment="1">
      <alignment horizontal="center" vertical="center" wrapText="1"/>
    </xf>
    <xf numFmtId="0" fontId="69" fillId="21" borderId="55" xfId="0" applyFont="1" applyFill="1" applyBorder="1" applyAlignment="1">
      <alignment horizontal="center" vertical="center" wrapText="1"/>
    </xf>
    <xf numFmtId="0" fontId="69" fillId="21" borderId="66" xfId="0" applyFont="1" applyFill="1" applyBorder="1" applyAlignment="1">
      <alignment horizontal="left" vertical="center" indent="1"/>
    </xf>
    <xf numFmtId="0" fontId="69" fillId="21" borderId="66" xfId="0" applyFont="1" applyFill="1" applyBorder="1" applyAlignment="1">
      <alignment horizontal="center" vertical="center"/>
    </xf>
    <xf numFmtId="0" fontId="69" fillId="21" borderId="62" xfId="0" applyFont="1" applyFill="1" applyBorder="1" applyAlignment="1">
      <alignment horizontal="center" vertical="center"/>
    </xf>
    <xf numFmtId="0" fontId="110" fillId="20" borderId="63" xfId="0" applyFont="1" applyFill="1" applyBorder="1" applyAlignment="1">
      <alignment horizontal="right" vertical="center" indent="1"/>
    </xf>
    <xf numFmtId="0" fontId="110" fillId="20" borderId="65" xfId="0" applyFont="1" applyFill="1" applyBorder="1" applyAlignment="1">
      <alignment horizontal="right" vertical="center" indent="1"/>
    </xf>
    <xf numFmtId="0" fontId="109" fillId="20" borderId="63" xfId="0" applyFont="1" applyFill="1" applyBorder="1" applyAlignment="1">
      <alignment horizontal="right" vertical="center" indent="1"/>
    </xf>
    <xf numFmtId="0" fontId="109" fillId="20" borderId="65" xfId="0" applyFont="1" applyFill="1" applyBorder="1" applyAlignment="1">
      <alignment horizontal="right" vertical="center" indent="1"/>
    </xf>
    <xf numFmtId="49" fontId="109" fillId="23" borderId="69" xfId="0" applyNumberFormat="1" applyFont="1" applyFill="1" applyBorder="1" applyAlignment="1">
      <alignment horizontal="center" vertical="center"/>
    </xf>
    <xf numFmtId="49" fontId="109" fillId="23" borderId="64" xfId="0" applyNumberFormat="1" applyFont="1" applyFill="1" applyBorder="1" applyAlignment="1">
      <alignment horizontal="center" vertical="center"/>
    </xf>
    <xf numFmtId="0" fontId="43" fillId="22" borderId="55" xfId="0" applyFont="1" applyFill="1" applyBorder="1" applyAlignment="1">
      <alignment horizontal="left" vertical="center" indent="1"/>
    </xf>
    <xf numFmtId="0" fontId="5" fillId="22" borderId="55" xfId="0" applyFont="1" applyFill="1" applyBorder="1" applyAlignment="1">
      <alignment horizontal="center"/>
    </xf>
    <xf numFmtId="0" fontId="107" fillId="20" borderId="63" xfId="0" applyFont="1" applyFill="1" applyBorder="1" applyAlignment="1">
      <alignment horizontal="right" vertical="center" indent="1"/>
    </xf>
    <xf numFmtId="0" fontId="107" fillId="20" borderId="65" xfId="0" applyFont="1" applyFill="1" applyBorder="1" applyAlignment="1">
      <alignment horizontal="right" vertical="center" indent="1"/>
    </xf>
    <xf numFmtId="49" fontId="107" fillId="23" borderId="69" xfId="0" applyNumberFormat="1" applyFont="1" applyFill="1" applyBorder="1" applyAlignment="1">
      <alignment horizontal="center" vertical="center"/>
    </xf>
    <xf numFmtId="49" fontId="107" fillId="23" borderId="64" xfId="0" applyNumberFormat="1" applyFont="1" applyFill="1" applyBorder="1" applyAlignment="1">
      <alignment horizontal="center" vertical="center"/>
    </xf>
    <xf numFmtId="0" fontId="107" fillId="21" borderId="63" xfId="0" applyFont="1" applyFill="1" applyBorder="1" applyAlignment="1">
      <alignment horizontal="right" vertical="center" indent="1"/>
    </xf>
    <xf numFmtId="0" fontId="107" fillId="21" borderId="65" xfId="0" applyFont="1" applyFill="1" applyBorder="1" applyAlignment="1">
      <alignment horizontal="right" vertical="center" indent="1"/>
    </xf>
    <xf numFmtId="0" fontId="69" fillId="21" borderId="58" xfId="0" applyFont="1" applyFill="1" applyBorder="1" applyAlignment="1">
      <alignment horizontal="left" vertical="center" wrapText="1" indent="1"/>
    </xf>
    <xf numFmtId="0" fontId="69" fillId="21" borderId="59" xfId="0" applyFont="1" applyFill="1" applyBorder="1" applyAlignment="1">
      <alignment horizontal="left" vertical="center" wrapText="1" indent="1"/>
    </xf>
    <xf numFmtId="0" fontId="69" fillId="21" borderId="61" xfId="0" applyFont="1" applyFill="1" applyBorder="1" applyAlignment="1">
      <alignment horizontal="left" vertical="center" wrapText="1" indent="1"/>
    </xf>
    <xf numFmtId="0" fontId="69" fillId="21" borderId="56" xfId="0" applyFont="1" applyFill="1" applyBorder="1" applyAlignment="1">
      <alignment horizontal="left" vertical="center" wrapText="1" indent="1"/>
    </xf>
    <xf numFmtId="0" fontId="69" fillId="21" borderId="57" xfId="0" applyFont="1" applyFill="1" applyBorder="1" applyAlignment="1">
      <alignment horizontal="left" vertical="center" wrapText="1" indent="1"/>
    </xf>
    <xf numFmtId="49" fontId="107" fillId="21" borderId="6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64" fillId="0" borderId="19" xfId="0" applyFont="1" applyBorder="1" applyAlignment="1" applyProtection="1">
      <alignment horizontal="right"/>
      <protection hidden="1"/>
    </xf>
    <xf numFmtId="0" fontId="64" fillId="0" borderId="16" xfId="0" applyFont="1" applyBorder="1" applyAlignment="1" applyProtection="1">
      <alignment horizontal="right"/>
      <protection hidden="1"/>
    </xf>
    <xf numFmtId="0" fontId="3" fillId="11" borderId="0" xfId="0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3" fillId="12" borderId="0" xfId="0" applyFont="1" applyFill="1" applyAlignment="1">
      <alignment horizontal="right"/>
    </xf>
    <xf numFmtId="0" fontId="3" fillId="13" borderId="0" xfId="0" applyFont="1" applyFill="1" applyAlignment="1">
      <alignment horizontal="right"/>
    </xf>
    <xf numFmtId="0" fontId="3" fillId="14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57" fillId="15" borderId="0" xfId="0" applyFont="1" applyFill="1" applyAlignment="1" applyProtection="1">
      <alignment horizontal="center" textRotation="90"/>
      <protection hidden="1"/>
    </xf>
    <xf numFmtId="0" fontId="57" fillId="16" borderId="0" xfId="0" applyFont="1" applyFill="1" applyAlignment="1" applyProtection="1">
      <alignment horizontal="center" textRotation="90"/>
      <protection hidden="1"/>
    </xf>
    <xf numFmtId="0" fontId="57" fillId="5" borderId="0" xfId="0" applyFont="1" applyFill="1" applyAlignment="1" applyProtection="1">
      <alignment horizontal="center" textRotation="90"/>
      <protection hidden="1"/>
    </xf>
    <xf numFmtId="0" fontId="105" fillId="16" borderId="0" xfId="0" applyFont="1" applyFill="1" applyAlignment="1" applyProtection="1">
      <alignment horizontal="center" textRotation="90"/>
      <protection hidden="1"/>
    </xf>
    <xf numFmtId="0" fontId="57" fillId="13" borderId="0" xfId="0" applyFont="1" applyFill="1" applyAlignment="1" applyProtection="1">
      <alignment horizontal="center" textRotation="90"/>
      <protection hidden="1"/>
    </xf>
    <xf numFmtId="0" fontId="37" fillId="5" borderId="0" xfId="0" applyFont="1" applyFill="1" applyAlignment="1" applyProtection="1">
      <alignment horizontal="center"/>
      <protection hidden="1"/>
    </xf>
    <xf numFmtId="0" fontId="37" fillId="0" borderId="13" xfId="0" applyFont="1" applyBorder="1" applyAlignment="1" applyProtection="1">
      <alignment horizontal="center" vertical="top"/>
      <protection locked="0" hidden="1"/>
    </xf>
    <xf numFmtId="165" fontId="6" fillId="0" borderId="13" xfId="0" applyNumberFormat="1" applyFont="1" applyBorder="1" applyAlignment="1" applyProtection="1">
      <alignment horizontal="right"/>
      <protection hidden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" fontId="29" fillId="0" borderId="1" xfId="0" applyNumberFormat="1" applyFont="1" applyFill="1" applyBorder="1" applyAlignment="1" applyProtection="1">
      <alignment horizontal="right" indent="1"/>
      <protection hidden="1"/>
    </xf>
    <xf numFmtId="0" fontId="34" fillId="4" borderId="73" xfId="0" applyNumberFormat="1" applyFont="1" applyFill="1" applyBorder="1" applyAlignment="1">
      <alignment horizontal="center" vertical="center"/>
    </xf>
    <xf numFmtId="1" fontId="34" fillId="4" borderId="73" xfId="0" applyNumberFormat="1" applyFont="1" applyFill="1" applyBorder="1" applyAlignment="1">
      <alignment horizontal="center" vertical="center"/>
    </xf>
    <xf numFmtId="0" fontId="74" fillId="4" borderId="73" xfId="0" applyNumberFormat="1" applyFont="1" applyFill="1" applyBorder="1" applyAlignment="1">
      <alignment horizontal="center" vertical="center"/>
    </xf>
    <xf numFmtId="1" fontId="74" fillId="0" borderId="73" xfId="0" applyNumberFormat="1" applyFont="1" applyFill="1" applyBorder="1" applyAlignment="1">
      <alignment horizontal="center" vertical="center"/>
    </xf>
    <xf numFmtId="1" fontId="74" fillId="4" borderId="73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  <protection hidden="1"/>
    </xf>
    <xf numFmtId="0" fontId="115" fillId="0" borderId="3" xfId="10" applyNumberFormat="1" applyBorder="1" applyAlignment="1">
      <alignment horizontal="center"/>
    </xf>
    <xf numFmtId="0" fontId="115" fillId="0" borderId="3" xfId="10" applyBorder="1" applyAlignment="1">
      <alignment horizontal="center"/>
    </xf>
    <xf numFmtId="1" fontId="32" fillId="0" borderId="19" xfId="0" applyNumberFormat="1" applyFont="1" applyFill="1" applyBorder="1" applyAlignment="1" applyProtection="1">
      <alignment horizontal="center" vertical="center"/>
      <protection hidden="1"/>
    </xf>
    <xf numFmtId="1" fontId="10" fillId="0" borderId="20" xfId="0" applyNumberFormat="1" applyFont="1" applyFill="1" applyBorder="1" applyAlignment="1" applyProtection="1">
      <alignment horizontal="center" vertical="center"/>
      <protection hidden="1"/>
    </xf>
    <xf numFmtId="0" fontId="10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20" xfId="0" applyNumberFormat="1" applyFont="1" applyFill="1" applyBorder="1" applyAlignment="1" applyProtection="1">
      <alignment horizontal="center" vertical="center"/>
      <protection hidden="1"/>
    </xf>
    <xf numFmtId="0" fontId="92" fillId="0" borderId="13" xfId="0" applyNumberFormat="1" applyFont="1" applyFill="1" applyBorder="1" applyAlignment="1" applyProtection="1">
      <alignment horizontal="center" vertical="center"/>
      <protection hidden="1"/>
    </xf>
    <xf numFmtId="0" fontId="92" fillId="0" borderId="20" xfId="0" applyNumberFormat="1" applyFont="1" applyFill="1" applyBorder="1" applyAlignment="1" applyProtection="1">
      <alignment horizontal="center" vertical="center"/>
      <protection hidden="1"/>
    </xf>
    <xf numFmtId="0" fontId="10" fillId="26" borderId="19" xfId="0" applyNumberFormat="1" applyFont="1" applyFill="1" applyBorder="1" applyAlignment="1" applyProtection="1">
      <alignment horizontal="center" vertical="center"/>
      <protection hidden="1"/>
    </xf>
    <xf numFmtId="1" fontId="10" fillId="0" borderId="19" xfId="0" applyNumberFormat="1" applyFont="1" applyFill="1" applyBorder="1" applyAlignment="1" applyProtection="1">
      <alignment horizontal="center" vertical="center"/>
      <protection hidden="1"/>
    </xf>
    <xf numFmtId="1" fontId="33" fillId="0" borderId="1" xfId="0" applyNumberFormat="1" applyFont="1" applyFill="1" applyBorder="1" applyAlignment="1" applyProtection="1">
      <alignment horizontal="center"/>
      <protection hidden="1"/>
    </xf>
    <xf numFmtId="1" fontId="29" fillId="26" borderId="1" xfId="0" applyNumberFormat="1" applyFont="1" applyFill="1" applyBorder="1" applyAlignment="1" applyProtection="1">
      <alignment horizontal="center"/>
      <protection hidden="1"/>
    </xf>
    <xf numFmtId="1" fontId="60" fillId="0" borderId="19" xfId="0" applyNumberFormat="1" applyFont="1" applyFill="1" applyBorder="1" applyAlignment="1" applyProtection="1">
      <alignment horizontal="center" vertical="center"/>
      <protection hidden="1"/>
    </xf>
    <xf numFmtId="0" fontId="34" fillId="0" borderId="20" xfId="0" applyNumberFormat="1" applyFont="1" applyFill="1" applyBorder="1" applyAlignment="1">
      <alignment horizontal="center" vertical="center"/>
    </xf>
    <xf numFmtId="0" fontId="34" fillId="0" borderId="13" xfId="0" applyNumberFormat="1" applyFont="1" applyFill="1" applyBorder="1" applyAlignment="1">
      <alignment horizontal="center" vertical="center"/>
    </xf>
    <xf numFmtId="0" fontId="60" fillId="0" borderId="19" xfId="0" applyNumberFormat="1" applyFont="1" applyFill="1" applyBorder="1" applyAlignment="1" applyProtection="1">
      <alignment horizontal="center" vertical="center"/>
      <protection hidden="1"/>
    </xf>
    <xf numFmtId="0" fontId="34" fillId="0" borderId="21" xfId="0" applyNumberFormat="1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  <xf numFmtId="0" fontId="82" fillId="0" borderId="20" xfId="0" applyNumberFormat="1" applyFont="1" applyFill="1" applyBorder="1" applyAlignment="1">
      <alignment horizontal="center" vertical="center"/>
    </xf>
    <xf numFmtId="0" fontId="82" fillId="0" borderId="13" xfId="0" applyNumberFormat="1" applyFont="1" applyFill="1" applyBorder="1" applyAlignment="1">
      <alignment horizontal="center" vertical="center"/>
    </xf>
    <xf numFmtId="0" fontId="82" fillId="0" borderId="21" xfId="0" applyNumberFormat="1" applyFont="1" applyFill="1" applyBorder="1" applyAlignment="1">
      <alignment horizontal="center" vertical="center"/>
    </xf>
    <xf numFmtId="0" fontId="95" fillId="0" borderId="20" xfId="0" applyNumberFormat="1" applyFont="1" applyFill="1" applyBorder="1" applyAlignment="1">
      <alignment horizontal="center" vertical="center"/>
    </xf>
    <xf numFmtId="0" fontId="95" fillId="0" borderId="13" xfId="0" applyNumberFormat="1" applyFont="1" applyFill="1" applyBorder="1" applyAlignment="1">
      <alignment horizontal="center" vertical="center"/>
    </xf>
    <xf numFmtId="0" fontId="95" fillId="0" borderId="21" xfId="0" applyNumberFormat="1" applyFont="1" applyFill="1" applyBorder="1" applyAlignment="1">
      <alignment horizontal="center" vertical="center"/>
    </xf>
    <xf numFmtId="0" fontId="74" fillId="0" borderId="20" xfId="0" applyNumberFormat="1" applyFont="1" applyFill="1" applyBorder="1" applyAlignment="1">
      <alignment horizontal="center" vertical="center"/>
    </xf>
    <xf numFmtId="0" fontId="74" fillId="0" borderId="13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" fontId="92" fillId="0" borderId="19" xfId="0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Fill="1" applyBorder="1" applyAlignment="1" applyProtection="1">
      <alignment horizontal="center"/>
      <protection locked="0"/>
    </xf>
    <xf numFmtId="1" fontId="10" fillId="26" borderId="19" xfId="0" applyNumberFormat="1" applyFont="1" applyFill="1" applyBorder="1" applyAlignment="1" applyProtection="1">
      <alignment horizontal="center" vertical="center"/>
      <protection hidden="1"/>
    </xf>
    <xf numFmtId="0" fontId="29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01" fillId="0" borderId="19" xfId="0" applyNumberFormat="1" applyFont="1" applyFill="1" applyBorder="1" applyAlignment="1" applyProtection="1">
      <alignment horizontal="center" vertical="center"/>
      <protection hidden="1"/>
    </xf>
    <xf numFmtId="173" fontId="115" fillId="0" borderId="3" xfId="14" applyNumberFormat="1" applyBorder="1"/>
    <xf numFmtId="0" fontId="88" fillId="0" borderId="9" xfId="1" applyBorder="1"/>
    <xf numFmtId="175" fontId="5" fillId="0" borderId="8" xfId="9" applyNumberFormat="1" applyFont="1" applyBorder="1"/>
    <xf numFmtId="175" fontId="88" fillId="0" borderId="8" xfId="1" applyNumberFormat="1" applyBorder="1"/>
  </cellXfs>
  <cellStyles count="15">
    <cellStyle name="Čárka" xfId="9" builtinId="3"/>
    <cellStyle name="Hypertextový odkaz" xfId="1" builtinId="8"/>
    <cellStyle name="Hypertextový odkaz 2" xfId="2" xr:uid="{00000000-0005-0000-0000-000001000000}"/>
    <cellStyle name="Měna" xfId="3" builtinId="4"/>
    <cellStyle name="Měna 2" xfId="12" xr:uid="{00000000-0005-0000-0000-000031000000}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2 3" xfId="6" xr:uid="{00000000-0005-0000-0000-000006000000}"/>
    <cellStyle name="normální 2 3 2" xfId="13" xr:uid="{00000000-0005-0000-0000-000006000000}"/>
    <cellStyle name="Normální 2_BOXPLAN_antaro_100" xfId="7" xr:uid="{00000000-0005-0000-0000-000007000000}"/>
    <cellStyle name="Normální 3" xfId="11" xr:uid="{00000000-0005-0000-0000-000032000000}"/>
    <cellStyle name="Normální 4" xfId="10" xr:uid="{00000000-0005-0000-0000-000038000000}"/>
    <cellStyle name="Normální 5" xfId="14" xr:uid="{00000000-0005-0000-0000-00003B000000}"/>
    <cellStyle name="normální_List1_1" xfId="8" xr:uid="{00000000-0005-0000-0000-000008000000}"/>
  </cellStyles>
  <dxfs count="23"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Drop" dropLines="5" dropStyle="combo" dx="22" fmlaLink="$O$2" fmlaRange="$P$3:$P$7" noThreeD="1" sel="1" val="0"/>
</file>

<file path=xl/ctrlProps/ctrlProp10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1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2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3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4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5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6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7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8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19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2.xml><?xml version="1.0" encoding="utf-8"?>
<formControlPr xmlns="http://schemas.microsoft.com/office/spreadsheetml/2009/9/main" objectType="Drop" dropLines="2" dropStyle="combo" dx="22" fmlaLink="$O$14" fmlaRange="$O$15:$O$16" noThreeD="1" sel="1" val="0"/>
</file>

<file path=xl/ctrlProps/ctrlProp20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3.xml><?xml version="1.0" encoding="utf-8"?>
<formControlPr xmlns="http://schemas.microsoft.com/office/spreadsheetml/2009/9/main" objectType="Drop" dropStyle="combo" dx="22" fmlaLink="$O$24" fmlaRange="$O$25:$O$27" noThreeD="1" sel="1" val="0"/>
</file>

<file path=xl/ctrlProps/ctrlProp4.xml><?xml version="1.0" encoding="utf-8"?>
<formControlPr xmlns="http://schemas.microsoft.com/office/spreadsheetml/2009/9/main" objectType="Drop" dropLines="2" dropStyle="combo" dx="22" fmlaLink="$R$14" fmlaRange="$R$15:$R$16" noThreeD="1" sel="1" val="0"/>
</file>

<file path=xl/ctrlProps/ctrlProp5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6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7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8.xml><?xml version="1.0" encoding="utf-8"?>
<formControlPr xmlns="http://schemas.microsoft.com/office/spreadsheetml/2009/9/main" objectType="Drop" dropLines="2" dropStyle="combo" dx="31" fmlaLink="$Y$3" fmlaRange="$Y$4:$Y$5" noThreeD="1" sel="1" val="0"/>
</file>

<file path=xl/ctrlProps/ctrlProp9.xml><?xml version="1.0" encoding="utf-8"?>
<formControlPr xmlns="http://schemas.microsoft.com/office/spreadsheetml/2009/9/main" objectType="Drop" dropLines="2" dropStyle="combo" dx="31" fmlaLink="$Y$3" fmlaRange="$Y$4:$Y$5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.png"/><Relationship Id="rId1" Type="http://schemas.openxmlformats.org/officeDocument/2006/relationships/image" Target="../media/image46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47.png"/><Relationship Id="rId1" Type="http://schemas.openxmlformats.org/officeDocument/2006/relationships/image" Target="../media/image2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.png"/><Relationship Id="rId1" Type="http://schemas.openxmlformats.org/officeDocument/2006/relationships/image" Target="../media/image48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49.png"/><Relationship Id="rId1" Type="http://schemas.openxmlformats.org/officeDocument/2006/relationships/image" Target="../media/image2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.png"/><Relationship Id="rId1" Type="http://schemas.openxmlformats.org/officeDocument/2006/relationships/image" Target="../media/image50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51.png"/><Relationship Id="rId4" Type="http://schemas.openxmlformats.org/officeDocument/2006/relationships/image" Target="../media/image4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55.png"/><Relationship Id="rId4" Type="http://schemas.openxmlformats.org/officeDocument/2006/relationships/image" Target="../media/image56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2" Type="http://schemas.openxmlformats.org/officeDocument/2006/relationships/image" Target="../media/image8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4.png"/><Relationship Id="rId24" Type="http://schemas.openxmlformats.org/officeDocument/2006/relationships/image" Target="../media/image29.png"/><Relationship Id="rId5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10" Type="http://schemas.openxmlformats.org/officeDocument/2006/relationships/image" Target="../media/image16.png"/><Relationship Id="rId19" Type="http://schemas.openxmlformats.org/officeDocument/2006/relationships/image" Target="../media/image24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.png"/><Relationship Id="rId1" Type="http://schemas.openxmlformats.org/officeDocument/2006/relationships/image" Target="../media/image57.png"/><Relationship Id="rId5" Type="http://schemas.openxmlformats.org/officeDocument/2006/relationships/image" Target="../media/image56.gif"/><Relationship Id="rId4" Type="http://schemas.openxmlformats.org/officeDocument/2006/relationships/image" Target="../media/image3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9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0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2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4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5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gif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7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0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png"/><Relationship Id="rId3" Type="http://schemas.openxmlformats.org/officeDocument/2006/relationships/image" Target="../media/image73.png"/><Relationship Id="rId7" Type="http://schemas.openxmlformats.org/officeDocument/2006/relationships/image" Target="../media/image77.png"/><Relationship Id="rId12" Type="http://schemas.openxmlformats.org/officeDocument/2006/relationships/image" Target="../media/image82.gif"/><Relationship Id="rId2" Type="http://schemas.openxmlformats.org/officeDocument/2006/relationships/image" Target="../media/image72.png"/><Relationship Id="rId1" Type="http://schemas.openxmlformats.org/officeDocument/2006/relationships/image" Target="../media/image71.png"/><Relationship Id="rId6" Type="http://schemas.openxmlformats.org/officeDocument/2006/relationships/image" Target="../media/image76.png"/><Relationship Id="rId11" Type="http://schemas.openxmlformats.org/officeDocument/2006/relationships/image" Target="../media/image81.png"/><Relationship Id="rId5" Type="http://schemas.openxmlformats.org/officeDocument/2006/relationships/image" Target="../media/image75.png"/><Relationship Id="rId10" Type="http://schemas.openxmlformats.org/officeDocument/2006/relationships/image" Target="../media/image80.png"/><Relationship Id="rId4" Type="http://schemas.openxmlformats.org/officeDocument/2006/relationships/image" Target="../media/image74.png"/><Relationship Id="rId9" Type="http://schemas.openxmlformats.org/officeDocument/2006/relationships/image" Target="../media/image7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png"/><Relationship Id="rId2" Type="http://schemas.openxmlformats.org/officeDocument/2006/relationships/image" Target="../media/image71.png"/><Relationship Id="rId1" Type="http://schemas.openxmlformats.org/officeDocument/2006/relationships/image" Target="../media/image72.png"/><Relationship Id="rId6" Type="http://schemas.openxmlformats.org/officeDocument/2006/relationships/image" Target="../media/image2.png"/><Relationship Id="rId5" Type="http://schemas.openxmlformats.org/officeDocument/2006/relationships/image" Target="../media/image83.png"/><Relationship Id="rId4" Type="http://schemas.openxmlformats.org/officeDocument/2006/relationships/image" Target="../media/image75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73.png"/><Relationship Id="rId7" Type="http://schemas.openxmlformats.org/officeDocument/2006/relationships/image" Target="../media/image39.png"/><Relationship Id="rId2" Type="http://schemas.openxmlformats.org/officeDocument/2006/relationships/image" Target="../media/image72.png"/><Relationship Id="rId1" Type="http://schemas.openxmlformats.org/officeDocument/2006/relationships/image" Target="../media/image71.png"/><Relationship Id="rId6" Type="http://schemas.openxmlformats.org/officeDocument/2006/relationships/image" Target="../media/image84.png"/><Relationship Id="rId5" Type="http://schemas.openxmlformats.org/officeDocument/2006/relationships/image" Target="../media/image74.png"/><Relationship Id="rId4" Type="http://schemas.openxmlformats.org/officeDocument/2006/relationships/image" Target="../media/image75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3.png"/><Relationship Id="rId1" Type="http://schemas.openxmlformats.org/officeDocument/2006/relationships/image" Target="../media/image71.png"/><Relationship Id="rId6" Type="http://schemas.openxmlformats.org/officeDocument/2006/relationships/image" Target="../media/image85.gif"/><Relationship Id="rId5" Type="http://schemas.openxmlformats.org/officeDocument/2006/relationships/image" Target="../media/image2.png"/><Relationship Id="rId4" Type="http://schemas.openxmlformats.org/officeDocument/2006/relationships/image" Target="../media/image39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8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38.png"/><Relationship Id="rId4" Type="http://schemas.openxmlformats.org/officeDocument/2006/relationships/image" Target="../media/image40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3.png"/><Relationship Id="rId1" Type="http://schemas.openxmlformats.org/officeDocument/2006/relationships/image" Target="../media/image72.png"/><Relationship Id="rId4" Type="http://schemas.openxmlformats.org/officeDocument/2006/relationships/image" Target="../media/image89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jpeg"/><Relationship Id="rId2" Type="http://schemas.openxmlformats.org/officeDocument/2006/relationships/image" Target="../media/image94.jpeg"/><Relationship Id="rId1" Type="http://schemas.openxmlformats.org/officeDocument/2006/relationships/image" Target="../media/image93.jpeg"/><Relationship Id="rId5" Type="http://schemas.openxmlformats.org/officeDocument/2006/relationships/image" Target="../media/image97.jpeg"/><Relationship Id="rId4" Type="http://schemas.openxmlformats.org/officeDocument/2006/relationships/image" Target="../media/image96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6.png"/><Relationship Id="rId1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42.png"/><Relationship Id="rId4" Type="http://schemas.openxmlformats.org/officeDocument/2006/relationships/image" Target="../media/image4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43.png"/><Relationship Id="rId4" Type="http://schemas.openxmlformats.org/officeDocument/2006/relationships/image" Target="../media/image4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44.png"/><Relationship Id="rId4" Type="http://schemas.openxmlformats.org/officeDocument/2006/relationships/image" Target="../media/image4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45.png"/><Relationship Id="rId1" Type="http://schemas.openxmlformats.org/officeDocument/2006/relationships/image" Target="../media/image2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10</xdr:col>
      <xdr:colOff>12700</xdr:colOff>
      <xdr:row>14</xdr:row>
      <xdr:rowOff>295275</xdr:rowOff>
    </xdr:to>
    <xdr:pic>
      <xdr:nvPicPr>
        <xdr:cNvPr id="168146" name="Picture 175" descr="BOXPLAN_lbx_title">
          <a:extLst>
            <a:ext uri="{FF2B5EF4-FFF2-40B4-BE49-F238E27FC236}">
              <a16:creationId xmlns:a16="http://schemas.microsoft.com/office/drawing/2014/main" id="{00000000-0008-0000-0000-0000D29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4625"/>
          <a:ext cx="497840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32774" name="Drop Dow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0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10</xdr:col>
          <xdr:colOff>0</xdr:colOff>
          <xdr:row>18</xdr:row>
          <xdr:rowOff>196850</xdr:rowOff>
        </xdr:to>
        <xdr:sp macro="" textlink="">
          <xdr:nvSpPr>
            <xdr:cNvPr id="32776" name="Drop Dow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542925</xdr:colOff>
      <xdr:row>123</xdr:row>
      <xdr:rowOff>19050</xdr:rowOff>
    </xdr:from>
    <xdr:to>
      <xdr:col>1</xdr:col>
      <xdr:colOff>730250</xdr:colOff>
      <xdr:row>123</xdr:row>
      <xdr:rowOff>180975</xdr:rowOff>
    </xdr:to>
    <xdr:pic>
      <xdr:nvPicPr>
        <xdr:cNvPr id="168147" name="Obrázek 2" descr="Info.gif">
          <a:extLst>
            <a:ext uri="{FF2B5EF4-FFF2-40B4-BE49-F238E27FC236}">
              <a16:creationId xmlns:a16="http://schemas.microsoft.com/office/drawing/2014/main" id="{00000000-0008-0000-0000-0000D3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02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781050</xdr:colOff>
          <xdr:row>23</xdr:row>
          <xdr:rowOff>0</xdr:rowOff>
        </xdr:to>
        <xdr:sp macro="" textlink="">
          <xdr:nvSpPr>
            <xdr:cNvPr id="32777" name="Drop Dow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420</xdr:row>
      <xdr:rowOff>0</xdr:rowOff>
    </xdr:from>
    <xdr:to>
      <xdr:col>1</xdr:col>
      <xdr:colOff>180975</xdr:colOff>
      <xdr:row>421</xdr:row>
      <xdr:rowOff>0</xdr:rowOff>
    </xdr:to>
    <xdr:pic>
      <xdr:nvPicPr>
        <xdr:cNvPr id="168148" name="Obrázek 18" descr="Tip.gif">
          <a:extLst>
            <a:ext uri="{FF2B5EF4-FFF2-40B4-BE49-F238E27FC236}">
              <a16:creationId xmlns:a16="http://schemas.microsoft.com/office/drawing/2014/main" id="{00000000-0008-0000-0000-0000D4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072312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399</xdr:row>
      <xdr:rowOff>38100</xdr:rowOff>
    </xdr:from>
    <xdr:to>
      <xdr:col>1</xdr:col>
      <xdr:colOff>180975</xdr:colOff>
      <xdr:row>399</xdr:row>
      <xdr:rowOff>200025</xdr:rowOff>
    </xdr:to>
    <xdr:pic>
      <xdr:nvPicPr>
        <xdr:cNvPr id="168149" name="Obrázek 20" descr="Help.gif">
          <a:extLst>
            <a:ext uri="{FF2B5EF4-FFF2-40B4-BE49-F238E27FC236}">
              <a16:creationId xmlns:a16="http://schemas.microsoft.com/office/drawing/2014/main" id="{00000000-0008-0000-0000-0000D59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427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20</xdr:row>
      <xdr:rowOff>82550</xdr:rowOff>
    </xdr:from>
    <xdr:to>
      <xdr:col>11</xdr:col>
      <xdr:colOff>1828800</xdr:colOff>
      <xdr:row>23</xdr:row>
      <xdr:rowOff>189706</xdr:rowOff>
    </xdr:to>
    <xdr:pic>
      <xdr:nvPicPr>
        <xdr:cNvPr id="168150" name="Picture 174" descr="Blum_blumlogo_2">
          <a:extLst>
            <a:ext uri="{FF2B5EF4-FFF2-40B4-BE49-F238E27FC236}">
              <a16:creationId xmlns:a16="http://schemas.microsoft.com/office/drawing/2014/main" id="{00000000-0008-0000-0000-0000D69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4152900"/>
          <a:ext cx="1816100" cy="646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638175</xdr:colOff>
      <xdr:row>4</xdr:row>
      <xdr:rowOff>102395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14325"/>
          <a:ext cx="1390650" cy="5214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32778" name="Drop Down 6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0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276225</xdr:rowOff>
    </xdr:from>
    <xdr:to>
      <xdr:col>6</xdr:col>
      <xdr:colOff>19050</xdr:colOff>
      <xdr:row>16</xdr:row>
      <xdr:rowOff>12700</xdr:rowOff>
    </xdr:to>
    <xdr:pic>
      <xdr:nvPicPr>
        <xdr:cNvPr id="141249" name="Obrázek 8">
          <a:extLst>
            <a:ext uri="{FF2B5EF4-FFF2-40B4-BE49-F238E27FC236}">
              <a16:creationId xmlns:a16="http://schemas.microsoft.com/office/drawing/2014/main" id="{00000000-0008-0000-0900-0000C1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3815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50</xdr:row>
      <xdr:rowOff>9525</xdr:rowOff>
    </xdr:from>
    <xdr:to>
      <xdr:col>1</xdr:col>
      <xdr:colOff>247650</xdr:colOff>
      <xdr:row>51</xdr:row>
      <xdr:rowOff>9525</xdr:rowOff>
    </xdr:to>
    <xdr:pic>
      <xdr:nvPicPr>
        <xdr:cNvPr id="141250" name="Obrázek 28" descr="Info.gif">
          <a:extLst>
            <a:ext uri="{FF2B5EF4-FFF2-40B4-BE49-F238E27FC236}">
              <a16:creationId xmlns:a16="http://schemas.microsoft.com/office/drawing/2014/main" id="{00000000-0008-0000-0900-0000C2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867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41251" name="Obrázek 28" descr="Info.gif">
          <a:extLst>
            <a:ext uri="{FF2B5EF4-FFF2-40B4-BE49-F238E27FC236}">
              <a16:creationId xmlns:a16="http://schemas.microsoft.com/office/drawing/2014/main" id="{00000000-0008-0000-0900-0000C32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9" name="Obrázek 28" descr="Info.gif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113</xdr:row>
      <xdr:rowOff>196850</xdr:rowOff>
    </xdr:from>
    <xdr:ext cx="257175" cy="269875"/>
    <xdr:pic>
      <xdr:nvPicPr>
        <xdr:cNvPr id="10" name="Obrázek 16" descr="Notice.gif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666750</xdr:colOff>
      <xdr:row>38</xdr:row>
      <xdr:rowOff>69850</xdr:rowOff>
    </xdr:from>
    <xdr:to>
      <xdr:col>3</xdr:col>
      <xdr:colOff>225425</xdr:colOff>
      <xdr:row>39</xdr:row>
      <xdr:rowOff>85725</xdr:rowOff>
    </xdr:to>
    <xdr:pic>
      <xdr:nvPicPr>
        <xdr:cNvPr id="11" name="Obrázek 16" descr="Notice.gif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67627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106</xdr:row>
      <xdr:rowOff>127000</xdr:rowOff>
    </xdr:from>
    <xdr:to>
      <xdr:col>2</xdr:col>
      <xdr:colOff>671431</xdr:colOff>
      <xdr:row>110</xdr:row>
      <xdr:rowOff>26493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0" y="18053050"/>
          <a:ext cx="1261981" cy="8900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80239" name="Obrázek 28" descr="Info.gif">
          <a:extLst>
            <a:ext uri="{FF2B5EF4-FFF2-40B4-BE49-F238E27FC236}">
              <a16:creationId xmlns:a16="http://schemas.microsoft.com/office/drawing/2014/main" id="{00000000-0008-0000-0A00-00000FC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31750</xdr:rowOff>
    </xdr:to>
    <xdr:pic>
      <xdr:nvPicPr>
        <xdr:cNvPr id="180240" name="Picture 8" descr="7D CVn">
          <a:extLst>
            <a:ext uri="{FF2B5EF4-FFF2-40B4-BE49-F238E27FC236}">
              <a16:creationId xmlns:a16="http://schemas.microsoft.com/office/drawing/2014/main" id="{00000000-0008-0000-0A00-000010C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50</xdr:row>
      <xdr:rowOff>0</xdr:rowOff>
    </xdr:from>
    <xdr:to>
      <xdr:col>1</xdr:col>
      <xdr:colOff>219075</xdr:colOff>
      <xdr:row>51</xdr:row>
      <xdr:rowOff>0</xdr:rowOff>
    </xdr:to>
    <xdr:pic>
      <xdr:nvPicPr>
        <xdr:cNvPr id="180242" name="Obrázek 28" descr="Info.gif">
          <a:extLst>
            <a:ext uri="{FF2B5EF4-FFF2-40B4-BE49-F238E27FC236}">
              <a16:creationId xmlns:a16="http://schemas.microsoft.com/office/drawing/2014/main" id="{00000000-0008-0000-0A00-000012C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8582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113</xdr:row>
      <xdr:rowOff>196850</xdr:rowOff>
    </xdr:from>
    <xdr:ext cx="257175" cy="269875"/>
    <xdr:pic>
      <xdr:nvPicPr>
        <xdr:cNvPr id="10" name="Obrázek 16" descr="Notice.gif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685800</xdr:colOff>
      <xdr:row>38</xdr:row>
      <xdr:rowOff>76200</xdr:rowOff>
    </xdr:from>
    <xdr:to>
      <xdr:col>3</xdr:col>
      <xdr:colOff>244475</xdr:colOff>
      <xdr:row>39</xdr:row>
      <xdr:rowOff>92075</xdr:rowOff>
    </xdr:to>
    <xdr:pic>
      <xdr:nvPicPr>
        <xdr:cNvPr id="11" name="Obrázek 16" descr="Notice.gif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" y="67691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106</xdr:row>
      <xdr:rowOff>133350</xdr:rowOff>
    </xdr:from>
    <xdr:to>
      <xdr:col>2</xdr:col>
      <xdr:colOff>658731</xdr:colOff>
      <xdr:row>110</xdr:row>
      <xdr:rowOff>32843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" y="18046700"/>
          <a:ext cx="1261981" cy="8900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31750</xdr:rowOff>
    </xdr:to>
    <xdr:pic>
      <xdr:nvPicPr>
        <xdr:cNvPr id="142081" name="Obrázek 6">
          <a:extLst>
            <a:ext uri="{FF2B5EF4-FFF2-40B4-BE49-F238E27FC236}">
              <a16:creationId xmlns:a16="http://schemas.microsoft.com/office/drawing/2014/main" id="{00000000-0008-0000-0B00-000001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42082" name="Obrázek 28" descr="Info.gif">
          <a:extLst>
            <a:ext uri="{FF2B5EF4-FFF2-40B4-BE49-F238E27FC236}">
              <a16:creationId xmlns:a16="http://schemas.microsoft.com/office/drawing/2014/main" id="{00000000-0008-0000-0B00-000002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49</xdr:row>
      <xdr:rowOff>0</xdr:rowOff>
    </xdr:from>
    <xdr:to>
      <xdr:col>1</xdr:col>
      <xdr:colOff>219075</xdr:colOff>
      <xdr:row>50</xdr:row>
      <xdr:rowOff>0</xdr:rowOff>
    </xdr:to>
    <xdr:pic>
      <xdr:nvPicPr>
        <xdr:cNvPr id="142084" name="Obrázek 28" descr="Info.gif">
          <a:extLst>
            <a:ext uri="{FF2B5EF4-FFF2-40B4-BE49-F238E27FC236}">
              <a16:creationId xmlns:a16="http://schemas.microsoft.com/office/drawing/2014/main" id="{00000000-0008-0000-0B00-0000042B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8582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3175</xdr:rowOff>
    </xdr:to>
    <xdr:pic>
      <xdr:nvPicPr>
        <xdr:cNvPr id="7" name="Obrázek 28" descr="Info.gif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113</xdr:row>
      <xdr:rowOff>196850</xdr:rowOff>
    </xdr:from>
    <xdr:ext cx="257175" cy="269875"/>
    <xdr:pic>
      <xdr:nvPicPr>
        <xdr:cNvPr id="9" name="Obrázek 16" descr="Notice.gif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679450</xdr:colOff>
      <xdr:row>38</xdr:row>
      <xdr:rowOff>88900</xdr:rowOff>
    </xdr:from>
    <xdr:to>
      <xdr:col>3</xdr:col>
      <xdr:colOff>238125</xdr:colOff>
      <xdr:row>39</xdr:row>
      <xdr:rowOff>104775</xdr:rowOff>
    </xdr:to>
    <xdr:pic>
      <xdr:nvPicPr>
        <xdr:cNvPr id="10" name="Obrázek 16" descr="Notice.gif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67818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106</xdr:row>
      <xdr:rowOff>127000</xdr:rowOff>
    </xdr:from>
    <xdr:to>
      <xdr:col>2</xdr:col>
      <xdr:colOff>665081</xdr:colOff>
      <xdr:row>110</xdr:row>
      <xdr:rowOff>26493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250" y="18034000"/>
          <a:ext cx="1261981" cy="8900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45</xdr:row>
      <xdr:rowOff>9525</xdr:rowOff>
    </xdr:from>
    <xdr:to>
      <xdr:col>1</xdr:col>
      <xdr:colOff>180975</xdr:colOff>
      <xdr:row>46</xdr:row>
      <xdr:rowOff>6350</xdr:rowOff>
    </xdr:to>
    <xdr:pic>
      <xdr:nvPicPr>
        <xdr:cNvPr id="116233" name="Obrázek 28" descr="Info.gif">
          <a:extLst>
            <a:ext uri="{FF2B5EF4-FFF2-40B4-BE49-F238E27FC236}">
              <a16:creationId xmlns:a16="http://schemas.microsoft.com/office/drawing/2014/main" id="{00000000-0008-0000-0C00-000009C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914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31750</xdr:rowOff>
    </xdr:to>
    <xdr:pic>
      <xdr:nvPicPr>
        <xdr:cNvPr id="116234" name="Picture 6" descr="7D CVr">
          <a:extLst>
            <a:ext uri="{FF2B5EF4-FFF2-40B4-BE49-F238E27FC236}">
              <a16:creationId xmlns:a16="http://schemas.microsoft.com/office/drawing/2014/main" id="{00000000-0008-0000-0C00-00000A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38</xdr:row>
      <xdr:rowOff>82550</xdr:rowOff>
    </xdr:from>
    <xdr:to>
      <xdr:col>3</xdr:col>
      <xdr:colOff>257175</xdr:colOff>
      <xdr:row>39</xdr:row>
      <xdr:rowOff>98425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0" y="67691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105</xdr:row>
      <xdr:rowOff>127000</xdr:rowOff>
    </xdr:from>
    <xdr:to>
      <xdr:col>2</xdr:col>
      <xdr:colOff>665081</xdr:colOff>
      <xdr:row>109</xdr:row>
      <xdr:rowOff>26493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250" y="17786350"/>
          <a:ext cx="1261981" cy="8900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31750</xdr:rowOff>
    </xdr:to>
    <xdr:pic>
      <xdr:nvPicPr>
        <xdr:cNvPr id="142719" name="Obrázek 3">
          <a:extLst>
            <a:ext uri="{FF2B5EF4-FFF2-40B4-BE49-F238E27FC236}">
              <a16:creationId xmlns:a16="http://schemas.microsoft.com/office/drawing/2014/main" id="{00000000-0008-0000-0D00-00007F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44</xdr:row>
      <xdr:rowOff>9525</xdr:rowOff>
    </xdr:from>
    <xdr:to>
      <xdr:col>1</xdr:col>
      <xdr:colOff>180975</xdr:colOff>
      <xdr:row>45</xdr:row>
      <xdr:rowOff>6350</xdr:rowOff>
    </xdr:to>
    <xdr:pic>
      <xdr:nvPicPr>
        <xdr:cNvPr id="142720" name="Obrázek 28" descr="Info.gif">
          <a:extLst>
            <a:ext uri="{FF2B5EF4-FFF2-40B4-BE49-F238E27FC236}">
              <a16:creationId xmlns:a16="http://schemas.microsoft.com/office/drawing/2014/main" id="{00000000-0008-0000-0D00-000080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914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679450</xdr:colOff>
      <xdr:row>38</xdr:row>
      <xdr:rowOff>69850</xdr:rowOff>
    </xdr:from>
    <xdr:to>
      <xdr:col>3</xdr:col>
      <xdr:colOff>238125</xdr:colOff>
      <xdr:row>39</xdr:row>
      <xdr:rowOff>85725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67564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105</xdr:row>
      <xdr:rowOff>127000</xdr:rowOff>
    </xdr:from>
    <xdr:to>
      <xdr:col>2</xdr:col>
      <xdr:colOff>671431</xdr:colOff>
      <xdr:row>109</xdr:row>
      <xdr:rowOff>26493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0" y="17811750"/>
          <a:ext cx="1261981" cy="89009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6</xdr:col>
      <xdr:colOff>0</xdr:colOff>
      <xdr:row>16</xdr:row>
      <xdr:rowOff>60325</xdr:rowOff>
    </xdr:to>
    <xdr:pic>
      <xdr:nvPicPr>
        <xdr:cNvPr id="113926" name="Picture 4" descr="7D F">
          <a:extLst>
            <a:ext uri="{FF2B5EF4-FFF2-40B4-BE49-F238E27FC236}">
              <a16:creationId xmlns:a16="http://schemas.microsoft.com/office/drawing/2014/main" id="{00000000-0008-0000-0E00-000006B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8600"/>
          <a:ext cx="3105150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41</xdr:row>
      <xdr:rowOff>9525</xdr:rowOff>
    </xdr:from>
    <xdr:to>
      <xdr:col>3</xdr:col>
      <xdr:colOff>149225</xdr:colOff>
      <xdr:row>42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475" y="7191375"/>
          <a:ext cx="1524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679450</xdr:colOff>
      <xdr:row>38</xdr:row>
      <xdr:rowOff>63500</xdr:rowOff>
    </xdr:from>
    <xdr:to>
      <xdr:col>3</xdr:col>
      <xdr:colOff>238125</xdr:colOff>
      <xdr:row>39</xdr:row>
      <xdr:rowOff>79375</xdr:rowOff>
    </xdr:to>
    <xdr:pic>
      <xdr:nvPicPr>
        <xdr:cNvPr id="9" name="Obrázek 16" descr="Notice.gif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67500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105</xdr:row>
      <xdr:rowOff>152400</xdr:rowOff>
    </xdr:from>
    <xdr:to>
      <xdr:col>2</xdr:col>
      <xdr:colOff>658731</xdr:colOff>
      <xdr:row>109</xdr:row>
      <xdr:rowOff>51893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17767300"/>
          <a:ext cx="1261981" cy="89009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9525</xdr:rowOff>
    </xdr:from>
    <xdr:to>
      <xdr:col>6</xdr:col>
      <xdr:colOff>0</xdr:colOff>
      <xdr:row>14</xdr:row>
      <xdr:rowOff>127000</xdr:rowOff>
    </xdr:to>
    <xdr:pic>
      <xdr:nvPicPr>
        <xdr:cNvPr id="121094" name="Picture 4" descr="7D M sink">
          <a:extLst>
            <a:ext uri="{FF2B5EF4-FFF2-40B4-BE49-F238E27FC236}">
              <a16:creationId xmlns:a16="http://schemas.microsoft.com/office/drawing/2014/main" id="{00000000-0008-0000-0F00-000006D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6725"/>
          <a:ext cx="31718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6</xdr:col>
      <xdr:colOff>0</xdr:colOff>
      <xdr:row>15</xdr:row>
      <xdr:rowOff>152400</xdr:rowOff>
    </xdr:to>
    <xdr:pic>
      <xdr:nvPicPr>
        <xdr:cNvPr id="116998" name="Picture 4" descr="7D C sink">
          <a:extLst>
            <a:ext uri="{FF2B5EF4-FFF2-40B4-BE49-F238E27FC236}">
              <a16:creationId xmlns:a16="http://schemas.microsoft.com/office/drawing/2014/main" id="{00000000-0008-0000-1000-000006C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7200"/>
          <a:ext cx="31718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276225</xdr:rowOff>
    </xdr:from>
    <xdr:to>
      <xdr:col>5</xdr:col>
      <xdr:colOff>657225</xdr:colOff>
      <xdr:row>15</xdr:row>
      <xdr:rowOff>146050</xdr:rowOff>
    </xdr:to>
    <xdr:pic>
      <xdr:nvPicPr>
        <xdr:cNvPr id="144738" name="Obrázek 2">
          <a:extLst>
            <a:ext uri="{FF2B5EF4-FFF2-40B4-BE49-F238E27FC236}">
              <a16:creationId xmlns:a16="http://schemas.microsoft.com/office/drawing/2014/main" id="{00000000-0008-0000-1100-0000623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8150"/>
          <a:ext cx="31718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28575</xdr:rowOff>
    </xdr:from>
    <xdr:to>
      <xdr:col>1</xdr:col>
      <xdr:colOff>171450</xdr:colOff>
      <xdr:row>28</xdr:row>
      <xdr:rowOff>0</xdr:rowOff>
    </xdr:to>
    <xdr:pic>
      <xdr:nvPicPr>
        <xdr:cNvPr id="144739" name="Obrázek 28" descr="Info.gif">
          <a:extLst>
            <a:ext uri="{FF2B5EF4-FFF2-40B4-BE49-F238E27FC236}">
              <a16:creationId xmlns:a16="http://schemas.microsoft.com/office/drawing/2014/main" id="{00000000-0008-0000-1100-0000633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29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0</xdr:rowOff>
    </xdr:from>
    <xdr:to>
      <xdr:col>6</xdr:col>
      <xdr:colOff>19050</xdr:colOff>
      <xdr:row>15</xdr:row>
      <xdr:rowOff>152400</xdr:rowOff>
    </xdr:to>
    <xdr:pic>
      <xdr:nvPicPr>
        <xdr:cNvPr id="146597" name="Obrázek 2">
          <a:extLst>
            <a:ext uri="{FF2B5EF4-FFF2-40B4-BE49-F238E27FC236}">
              <a16:creationId xmlns:a16="http://schemas.microsoft.com/office/drawing/2014/main" id="{00000000-0008-0000-1200-0000A53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57200"/>
          <a:ext cx="31813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38</xdr:row>
      <xdr:rowOff>76200</xdr:rowOff>
    </xdr:from>
    <xdr:to>
      <xdr:col>3</xdr:col>
      <xdr:colOff>225425</xdr:colOff>
      <xdr:row>40</xdr:row>
      <xdr:rowOff>22225</xdr:rowOff>
    </xdr:to>
    <xdr:pic>
      <xdr:nvPicPr>
        <xdr:cNvPr id="12" name="Obrázek 16" descr="Notice.gif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67627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6349</xdr:colOff>
      <xdr:row>105</xdr:row>
      <xdr:rowOff>165100</xdr:rowOff>
    </xdr:from>
    <xdr:to>
      <xdr:col>2</xdr:col>
      <xdr:colOff>683404</xdr:colOff>
      <xdr:row>109</xdr:row>
      <xdr:rowOff>139700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17729200"/>
          <a:ext cx="1375555" cy="965200"/>
        </a:xfrm>
        <a:prstGeom prst="rect">
          <a:avLst/>
        </a:prstGeom>
      </xdr:spPr>
    </xdr:pic>
    <xdr:clientData/>
  </xdr:twoCellAnchor>
  <xdr:oneCellAnchor>
    <xdr:from>
      <xdr:col>3</xdr:col>
      <xdr:colOff>628650</xdr:colOff>
      <xdr:row>113</xdr:row>
      <xdr:rowOff>63500</xdr:rowOff>
    </xdr:from>
    <xdr:ext cx="257175" cy="269875"/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3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46</xdr:row>
      <xdr:rowOff>95250</xdr:rowOff>
    </xdr:from>
    <xdr:to>
      <xdr:col>8</xdr:col>
      <xdr:colOff>504825</xdr:colOff>
      <xdr:row>50</xdr:row>
      <xdr:rowOff>152400</xdr:rowOff>
    </xdr:to>
    <xdr:pic>
      <xdr:nvPicPr>
        <xdr:cNvPr id="177346" name="Obrázek 2">
          <a:extLst>
            <a:ext uri="{FF2B5EF4-FFF2-40B4-BE49-F238E27FC236}">
              <a16:creationId xmlns:a16="http://schemas.microsoft.com/office/drawing/2014/main" id="{00000000-0008-0000-0100-0000C2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64870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46</xdr:row>
      <xdr:rowOff>95250</xdr:rowOff>
    </xdr:from>
    <xdr:to>
      <xdr:col>2</xdr:col>
      <xdr:colOff>485775</xdr:colOff>
      <xdr:row>50</xdr:row>
      <xdr:rowOff>152400</xdr:rowOff>
    </xdr:to>
    <xdr:pic>
      <xdr:nvPicPr>
        <xdr:cNvPr id="177347" name="Obrázek 1">
          <a:extLst>
            <a:ext uri="{FF2B5EF4-FFF2-40B4-BE49-F238E27FC236}">
              <a16:creationId xmlns:a16="http://schemas.microsoft.com/office/drawing/2014/main" id="{00000000-0008-0000-0100-0000C3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4870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71</xdr:row>
      <xdr:rowOff>57150</xdr:rowOff>
    </xdr:from>
    <xdr:to>
      <xdr:col>8</xdr:col>
      <xdr:colOff>247650</xdr:colOff>
      <xdr:row>77</xdr:row>
      <xdr:rowOff>142875</xdr:rowOff>
    </xdr:to>
    <xdr:pic>
      <xdr:nvPicPr>
        <xdr:cNvPr id="177348" name="Obrázek 8">
          <a:extLst>
            <a:ext uri="{FF2B5EF4-FFF2-40B4-BE49-F238E27FC236}">
              <a16:creationId xmlns:a16="http://schemas.microsoft.com/office/drawing/2014/main" id="{00000000-0008-0000-0100-0000C4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752600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62</xdr:row>
      <xdr:rowOff>57150</xdr:rowOff>
    </xdr:from>
    <xdr:to>
      <xdr:col>8</xdr:col>
      <xdr:colOff>257175</xdr:colOff>
      <xdr:row>68</xdr:row>
      <xdr:rowOff>142875</xdr:rowOff>
    </xdr:to>
    <xdr:pic>
      <xdr:nvPicPr>
        <xdr:cNvPr id="177349" name="Obrázek 7">
          <a:extLst>
            <a:ext uri="{FF2B5EF4-FFF2-40B4-BE49-F238E27FC236}">
              <a16:creationId xmlns:a16="http://schemas.microsoft.com/office/drawing/2014/main" id="{00000000-0008-0000-0100-0000C5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560195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89</xdr:row>
      <xdr:rowOff>57150</xdr:rowOff>
    </xdr:from>
    <xdr:to>
      <xdr:col>8</xdr:col>
      <xdr:colOff>257175</xdr:colOff>
      <xdr:row>95</xdr:row>
      <xdr:rowOff>142875</xdr:rowOff>
    </xdr:to>
    <xdr:pic>
      <xdr:nvPicPr>
        <xdr:cNvPr id="177350" name="Obrázek 6">
          <a:extLst>
            <a:ext uri="{FF2B5EF4-FFF2-40B4-BE49-F238E27FC236}">
              <a16:creationId xmlns:a16="http://schemas.microsoft.com/office/drawing/2014/main" id="{00000000-0008-0000-0100-0000C6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677900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80</xdr:row>
      <xdr:rowOff>66675</xdr:rowOff>
    </xdr:from>
    <xdr:to>
      <xdr:col>8</xdr:col>
      <xdr:colOff>247650</xdr:colOff>
      <xdr:row>86</xdr:row>
      <xdr:rowOff>152400</xdr:rowOff>
    </xdr:to>
    <xdr:pic>
      <xdr:nvPicPr>
        <xdr:cNvPr id="177351" name="Obrázek 5">
          <a:extLst>
            <a:ext uri="{FF2B5EF4-FFF2-40B4-BE49-F238E27FC236}">
              <a16:creationId xmlns:a16="http://schemas.microsoft.com/office/drawing/2014/main" id="{00000000-0008-0000-0100-0000C7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1763375"/>
          <a:ext cx="838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31</xdr:row>
      <xdr:rowOff>57150</xdr:rowOff>
    </xdr:from>
    <xdr:to>
      <xdr:col>14</xdr:col>
      <xdr:colOff>457200</xdr:colOff>
      <xdr:row>36</xdr:row>
      <xdr:rowOff>28575</xdr:rowOff>
    </xdr:to>
    <xdr:pic>
      <xdr:nvPicPr>
        <xdr:cNvPr id="177352" name="Obrázek 2">
          <a:extLst>
            <a:ext uri="{FF2B5EF4-FFF2-40B4-BE49-F238E27FC236}">
              <a16:creationId xmlns:a16="http://schemas.microsoft.com/office/drawing/2014/main" id="{00000000-0008-0000-0100-0000C8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31</xdr:row>
      <xdr:rowOff>57150</xdr:rowOff>
    </xdr:from>
    <xdr:to>
      <xdr:col>8</xdr:col>
      <xdr:colOff>466725</xdr:colOff>
      <xdr:row>36</xdr:row>
      <xdr:rowOff>28575</xdr:rowOff>
    </xdr:to>
    <xdr:pic>
      <xdr:nvPicPr>
        <xdr:cNvPr id="177353" name="Obrázek 1">
          <a:extLst>
            <a:ext uri="{FF2B5EF4-FFF2-40B4-BE49-F238E27FC236}">
              <a16:creationId xmlns:a16="http://schemas.microsoft.com/office/drawing/2014/main" id="{00000000-0008-0000-0100-0000C9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57150</xdr:rowOff>
    </xdr:from>
    <xdr:to>
      <xdr:col>2</xdr:col>
      <xdr:colOff>457200</xdr:colOff>
      <xdr:row>36</xdr:row>
      <xdr:rowOff>28575</xdr:rowOff>
    </xdr:to>
    <xdr:pic>
      <xdr:nvPicPr>
        <xdr:cNvPr id="177354" name="Obrázek 3">
          <a:extLst>
            <a:ext uri="{FF2B5EF4-FFF2-40B4-BE49-F238E27FC236}">
              <a16:creationId xmlns:a16="http://schemas.microsoft.com/office/drawing/2014/main" id="{00000000-0008-0000-0100-0000CA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8293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16</xdr:row>
      <xdr:rowOff>57150</xdr:rowOff>
    </xdr:from>
    <xdr:to>
      <xdr:col>8</xdr:col>
      <xdr:colOff>485775</xdr:colOff>
      <xdr:row>21</xdr:row>
      <xdr:rowOff>9525</xdr:rowOff>
    </xdr:to>
    <xdr:pic>
      <xdr:nvPicPr>
        <xdr:cNvPr id="177355" name="Obrázek 1">
          <a:extLst>
            <a:ext uri="{FF2B5EF4-FFF2-40B4-BE49-F238E27FC236}">
              <a16:creationId xmlns:a16="http://schemas.microsoft.com/office/drawing/2014/main" id="{00000000-0008-0000-0100-0000CB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990850"/>
          <a:ext cx="1085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183</xdr:row>
      <xdr:rowOff>19050</xdr:rowOff>
    </xdr:from>
    <xdr:to>
      <xdr:col>1</xdr:col>
      <xdr:colOff>171450</xdr:colOff>
      <xdr:row>184</xdr:row>
      <xdr:rowOff>0</xdr:rowOff>
    </xdr:to>
    <xdr:pic>
      <xdr:nvPicPr>
        <xdr:cNvPr id="177356" name="Obrázek 20" descr="Help.gif">
          <a:extLst>
            <a:ext uri="{FF2B5EF4-FFF2-40B4-BE49-F238E27FC236}">
              <a16:creationId xmlns:a16="http://schemas.microsoft.com/office/drawing/2014/main" id="{00000000-0008-0000-0100-0000CC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404175"/>
          <a:ext cx="15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</xdr:row>
      <xdr:rowOff>66675</xdr:rowOff>
    </xdr:from>
    <xdr:to>
      <xdr:col>8</xdr:col>
      <xdr:colOff>495300</xdr:colOff>
      <xdr:row>5</xdr:row>
      <xdr:rowOff>104775</xdr:rowOff>
    </xdr:to>
    <xdr:pic>
      <xdr:nvPicPr>
        <xdr:cNvPr id="177357" name="Picture 1349" descr="7D M_th">
          <a:extLst>
            <a:ext uri="{FF2B5EF4-FFF2-40B4-BE49-F238E27FC236}">
              <a16:creationId xmlns:a16="http://schemas.microsoft.com/office/drawing/2014/main" id="{00000000-0008-0000-0100-0000CD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52425"/>
          <a:ext cx="1085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9</xdr:row>
      <xdr:rowOff>66675</xdr:rowOff>
    </xdr:from>
    <xdr:to>
      <xdr:col>8</xdr:col>
      <xdr:colOff>457200</xdr:colOff>
      <xdr:row>13</xdr:row>
      <xdr:rowOff>101600</xdr:rowOff>
    </xdr:to>
    <xdr:pic>
      <xdr:nvPicPr>
        <xdr:cNvPr id="177358" name="Picture 1350" descr="7D MV_th">
          <a:extLst>
            <a:ext uri="{FF2B5EF4-FFF2-40B4-BE49-F238E27FC236}">
              <a16:creationId xmlns:a16="http://schemas.microsoft.com/office/drawing/2014/main" id="{00000000-0008-0000-0100-0000CE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581150"/>
          <a:ext cx="1057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</xdr:row>
      <xdr:rowOff>57150</xdr:rowOff>
    </xdr:from>
    <xdr:to>
      <xdr:col>2</xdr:col>
      <xdr:colOff>495300</xdr:colOff>
      <xdr:row>21</xdr:row>
      <xdr:rowOff>9525</xdr:rowOff>
    </xdr:to>
    <xdr:pic>
      <xdr:nvPicPr>
        <xdr:cNvPr id="177359" name="Picture 1352" descr="7D C_th">
          <a:extLst>
            <a:ext uri="{FF2B5EF4-FFF2-40B4-BE49-F238E27FC236}">
              <a16:creationId xmlns:a16="http://schemas.microsoft.com/office/drawing/2014/main" id="{00000000-0008-0000-0100-0000CF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0850"/>
          <a:ext cx="10953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23</xdr:row>
      <xdr:rowOff>47625</xdr:rowOff>
    </xdr:from>
    <xdr:to>
      <xdr:col>8</xdr:col>
      <xdr:colOff>466725</xdr:colOff>
      <xdr:row>28</xdr:row>
      <xdr:rowOff>19050</xdr:rowOff>
    </xdr:to>
    <xdr:pic>
      <xdr:nvPicPr>
        <xdr:cNvPr id="177360" name="Picture 1355" descr="7D CVn_th">
          <a:extLst>
            <a:ext uri="{FF2B5EF4-FFF2-40B4-BE49-F238E27FC236}">
              <a16:creationId xmlns:a16="http://schemas.microsoft.com/office/drawing/2014/main" id="{00000000-0008-0000-0100-0000D0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333875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23</xdr:row>
      <xdr:rowOff>57150</xdr:rowOff>
    </xdr:from>
    <xdr:to>
      <xdr:col>14</xdr:col>
      <xdr:colOff>466725</xdr:colOff>
      <xdr:row>28</xdr:row>
      <xdr:rowOff>28575</xdr:rowOff>
    </xdr:to>
    <xdr:pic>
      <xdr:nvPicPr>
        <xdr:cNvPr id="177361" name="Picture 1356" descr="7D CVr_th">
          <a:extLst>
            <a:ext uri="{FF2B5EF4-FFF2-40B4-BE49-F238E27FC236}">
              <a16:creationId xmlns:a16="http://schemas.microsoft.com/office/drawing/2014/main" id="{00000000-0008-0000-0100-0000D1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343400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</xdr:row>
      <xdr:rowOff>57150</xdr:rowOff>
    </xdr:from>
    <xdr:to>
      <xdr:col>2</xdr:col>
      <xdr:colOff>466725</xdr:colOff>
      <xdr:row>28</xdr:row>
      <xdr:rowOff>28575</xdr:rowOff>
    </xdr:to>
    <xdr:pic>
      <xdr:nvPicPr>
        <xdr:cNvPr id="177362" name="Picture 1357" descr="7D CVv_th">
          <a:extLst>
            <a:ext uri="{FF2B5EF4-FFF2-40B4-BE49-F238E27FC236}">
              <a16:creationId xmlns:a16="http://schemas.microsoft.com/office/drawing/2014/main" id="{00000000-0008-0000-0100-0000D2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343400"/>
          <a:ext cx="1066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</xdr:row>
      <xdr:rowOff>57150</xdr:rowOff>
    </xdr:from>
    <xdr:to>
      <xdr:col>14</xdr:col>
      <xdr:colOff>495300</xdr:colOff>
      <xdr:row>5</xdr:row>
      <xdr:rowOff>133350</xdr:rowOff>
    </xdr:to>
    <xdr:pic>
      <xdr:nvPicPr>
        <xdr:cNvPr id="177363" name="Picture 1359" descr="7D K_th">
          <a:extLst>
            <a:ext uri="{FF2B5EF4-FFF2-40B4-BE49-F238E27FC236}">
              <a16:creationId xmlns:a16="http://schemas.microsoft.com/office/drawing/2014/main" id="{00000000-0008-0000-0100-0000D3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42900"/>
          <a:ext cx="1095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80</xdr:row>
      <xdr:rowOff>47625</xdr:rowOff>
    </xdr:from>
    <xdr:to>
      <xdr:col>2</xdr:col>
      <xdr:colOff>247650</xdr:colOff>
      <xdr:row>86</xdr:row>
      <xdr:rowOff>142875</xdr:rowOff>
    </xdr:to>
    <xdr:pic>
      <xdr:nvPicPr>
        <xdr:cNvPr id="177364" name="Picture 1361" descr="7ST DD_glhigh_th">
          <a:extLst>
            <a:ext uri="{FF2B5EF4-FFF2-40B4-BE49-F238E27FC236}">
              <a16:creationId xmlns:a16="http://schemas.microsoft.com/office/drawing/2014/main" id="{00000000-0008-0000-0100-0000D4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7443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62</xdr:row>
      <xdr:rowOff>66675</xdr:rowOff>
    </xdr:from>
    <xdr:to>
      <xdr:col>2</xdr:col>
      <xdr:colOff>247650</xdr:colOff>
      <xdr:row>68</xdr:row>
      <xdr:rowOff>161925</xdr:rowOff>
    </xdr:to>
    <xdr:pic>
      <xdr:nvPicPr>
        <xdr:cNvPr id="177365" name="Picture 1364" descr="7ST DM_glhigh_th">
          <a:extLst>
            <a:ext uri="{FF2B5EF4-FFF2-40B4-BE49-F238E27FC236}">
              <a16:creationId xmlns:a16="http://schemas.microsoft.com/office/drawing/2014/main" id="{00000000-0008-0000-0100-0000D5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1147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85725</xdr:rowOff>
    </xdr:from>
    <xdr:to>
      <xdr:col>2</xdr:col>
      <xdr:colOff>504825</xdr:colOff>
      <xdr:row>5</xdr:row>
      <xdr:rowOff>104775</xdr:rowOff>
    </xdr:to>
    <xdr:pic>
      <xdr:nvPicPr>
        <xdr:cNvPr id="177366" name="Picture 1367" descr="7D N_th">
          <a:extLst>
            <a:ext uri="{FF2B5EF4-FFF2-40B4-BE49-F238E27FC236}">
              <a16:creationId xmlns:a16="http://schemas.microsoft.com/office/drawing/2014/main" id="{00000000-0008-0000-0100-0000D6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1475"/>
          <a:ext cx="1085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16</xdr:row>
      <xdr:rowOff>47625</xdr:rowOff>
    </xdr:from>
    <xdr:to>
      <xdr:col>14</xdr:col>
      <xdr:colOff>485775</xdr:colOff>
      <xdr:row>21</xdr:row>
      <xdr:rowOff>76200</xdr:rowOff>
    </xdr:to>
    <xdr:pic>
      <xdr:nvPicPr>
        <xdr:cNvPr id="177367" name="Picture 1358" descr="7D F_th">
          <a:extLst>
            <a:ext uri="{FF2B5EF4-FFF2-40B4-BE49-F238E27FC236}">
              <a16:creationId xmlns:a16="http://schemas.microsoft.com/office/drawing/2014/main" id="{00000000-0008-0000-0100-0000D7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2981325"/>
          <a:ext cx="1085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54</xdr:row>
      <xdr:rowOff>85725</xdr:rowOff>
    </xdr:from>
    <xdr:to>
      <xdr:col>2</xdr:col>
      <xdr:colOff>19050</xdr:colOff>
      <xdr:row>59</xdr:row>
      <xdr:rowOff>66675</xdr:rowOff>
    </xdr:to>
    <xdr:pic>
      <xdr:nvPicPr>
        <xdr:cNvPr id="177368" name="Picture 1368" descr="7D CM_th">
          <a:extLst>
            <a:ext uri="{FF2B5EF4-FFF2-40B4-BE49-F238E27FC236}">
              <a16:creationId xmlns:a16="http://schemas.microsoft.com/office/drawing/2014/main" id="{00000000-0008-0000-0100-0000D8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220325"/>
          <a:ext cx="533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54</xdr:row>
      <xdr:rowOff>57150</xdr:rowOff>
    </xdr:from>
    <xdr:to>
      <xdr:col>8</xdr:col>
      <xdr:colOff>38100</xdr:colOff>
      <xdr:row>59</xdr:row>
      <xdr:rowOff>76200</xdr:rowOff>
    </xdr:to>
    <xdr:pic>
      <xdr:nvPicPr>
        <xdr:cNvPr id="177369" name="Obrázek 4">
          <a:extLst>
            <a:ext uri="{FF2B5EF4-FFF2-40B4-BE49-F238E27FC236}">
              <a16:creationId xmlns:a16="http://schemas.microsoft.com/office/drawing/2014/main" id="{00000000-0008-0000-0100-0000D9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191750"/>
          <a:ext cx="5429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89</xdr:row>
      <xdr:rowOff>57150</xdr:rowOff>
    </xdr:from>
    <xdr:to>
      <xdr:col>2</xdr:col>
      <xdr:colOff>247650</xdr:colOff>
      <xdr:row>95</xdr:row>
      <xdr:rowOff>152400</xdr:rowOff>
    </xdr:to>
    <xdr:pic>
      <xdr:nvPicPr>
        <xdr:cNvPr id="177370" name="Picture 1375" descr="7ST DD_rel_th">
          <a:extLst>
            <a:ext uri="{FF2B5EF4-FFF2-40B4-BE49-F238E27FC236}">
              <a16:creationId xmlns:a16="http://schemas.microsoft.com/office/drawing/2014/main" id="{00000000-0008-0000-0100-0000DA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779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71</xdr:row>
      <xdr:rowOff>57150</xdr:rowOff>
    </xdr:from>
    <xdr:to>
      <xdr:col>2</xdr:col>
      <xdr:colOff>247650</xdr:colOff>
      <xdr:row>77</xdr:row>
      <xdr:rowOff>152400</xdr:rowOff>
    </xdr:to>
    <xdr:pic>
      <xdr:nvPicPr>
        <xdr:cNvPr id="177371" name="Picture 1376" descr="7ST DM_rel_th">
          <a:extLst>
            <a:ext uri="{FF2B5EF4-FFF2-40B4-BE49-F238E27FC236}">
              <a16:creationId xmlns:a16="http://schemas.microsoft.com/office/drawing/2014/main" id="{00000000-0008-0000-0100-0000DB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5260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39</xdr:row>
      <xdr:rowOff>104775</xdr:rowOff>
    </xdr:from>
    <xdr:to>
      <xdr:col>14</xdr:col>
      <xdr:colOff>352425</xdr:colOff>
      <xdr:row>43</xdr:row>
      <xdr:rowOff>85725</xdr:rowOff>
    </xdr:to>
    <xdr:pic>
      <xdr:nvPicPr>
        <xdr:cNvPr id="177372" name="Picture 1374" descr="7D M sink_th">
          <a:extLst>
            <a:ext uri="{FF2B5EF4-FFF2-40B4-BE49-F238E27FC236}">
              <a16:creationId xmlns:a16="http://schemas.microsoft.com/office/drawing/2014/main" id="{00000000-0008-0000-0100-0000DC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7458075"/>
          <a:ext cx="1000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95250</xdr:rowOff>
    </xdr:from>
    <xdr:to>
      <xdr:col>2</xdr:col>
      <xdr:colOff>485775</xdr:colOff>
      <xdr:row>43</xdr:row>
      <xdr:rowOff>152400</xdr:rowOff>
    </xdr:to>
    <xdr:pic>
      <xdr:nvPicPr>
        <xdr:cNvPr id="177373" name="Picture 1372" descr="7D C sink_th">
          <a:extLst>
            <a:ext uri="{FF2B5EF4-FFF2-40B4-BE49-F238E27FC236}">
              <a16:creationId xmlns:a16="http://schemas.microsoft.com/office/drawing/2014/main" id="{00000000-0008-0000-0100-0000DDB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48550"/>
          <a:ext cx="1019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39</xdr:row>
      <xdr:rowOff>95250</xdr:rowOff>
    </xdr:from>
    <xdr:to>
      <xdr:col>8</xdr:col>
      <xdr:colOff>495300</xdr:colOff>
      <xdr:row>43</xdr:row>
      <xdr:rowOff>161925</xdr:rowOff>
    </xdr:to>
    <xdr:pic>
      <xdr:nvPicPr>
        <xdr:cNvPr id="177374" name="Obrázek 62">
          <a:extLst>
            <a:ext uri="{FF2B5EF4-FFF2-40B4-BE49-F238E27FC236}">
              <a16:creationId xmlns:a16="http://schemas.microsoft.com/office/drawing/2014/main" id="{00000000-0008-0000-0100-0000DEB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744855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0</xdr:rowOff>
    </xdr:from>
    <xdr:to>
      <xdr:col>6</xdr:col>
      <xdr:colOff>9525</xdr:colOff>
      <xdr:row>15</xdr:row>
      <xdr:rowOff>152400</xdr:rowOff>
    </xdr:to>
    <xdr:pic>
      <xdr:nvPicPr>
        <xdr:cNvPr id="147776" name="Obrázek 2">
          <a:extLst>
            <a:ext uri="{FF2B5EF4-FFF2-40B4-BE49-F238E27FC236}">
              <a16:creationId xmlns:a16="http://schemas.microsoft.com/office/drawing/2014/main" id="{00000000-0008-0000-1300-0000404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57200"/>
          <a:ext cx="31718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45</xdr:row>
      <xdr:rowOff>9525</xdr:rowOff>
    </xdr:from>
    <xdr:to>
      <xdr:col>1</xdr:col>
      <xdr:colOff>171450</xdr:colOff>
      <xdr:row>45</xdr:row>
      <xdr:rowOff>168275</xdr:rowOff>
    </xdr:to>
    <xdr:pic>
      <xdr:nvPicPr>
        <xdr:cNvPr id="147777" name="Obrázek 28" descr="Info.gif">
          <a:extLst>
            <a:ext uri="{FF2B5EF4-FFF2-40B4-BE49-F238E27FC236}">
              <a16:creationId xmlns:a16="http://schemas.microsoft.com/office/drawing/2014/main" id="{00000000-0008-0000-1300-0000414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203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38</xdr:row>
      <xdr:rowOff>50800</xdr:rowOff>
    </xdr:from>
    <xdr:to>
      <xdr:col>3</xdr:col>
      <xdr:colOff>225425</xdr:colOff>
      <xdr:row>39</xdr:row>
      <xdr:rowOff>155575</xdr:rowOff>
    </xdr:to>
    <xdr:pic>
      <xdr:nvPicPr>
        <xdr:cNvPr id="12" name="Obrázek 16" descr="Notice.gif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72136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6349</xdr:colOff>
      <xdr:row>105</xdr:row>
      <xdr:rowOff>165100</xdr:rowOff>
    </xdr:from>
    <xdr:to>
      <xdr:col>2</xdr:col>
      <xdr:colOff>683404</xdr:colOff>
      <xdr:row>109</xdr:row>
      <xdr:rowOff>139700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17570450"/>
          <a:ext cx="1375555" cy="965200"/>
        </a:xfrm>
        <a:prstGeom prst="rect">
          <a:avLst/>
        </a:prstGeom>
      </xdr:spPr>
    </xdr:pic>
    <xdr:clientData/>
  </xdr:twoCellAnchor>
  <xdr:oneCellAnchor>
    <xdr:from>
      <xdr:col>3</xdr:col>
      <xdr:colOff>628650</xdr:colOff>
      <xdr:row>113</xdr:row>
      <xdr:rowOff>63500</xdr:rowOff>
    </xdr:from>
    <xdr:ext cx="257175" cy="269875"/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3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190500</xdr:rowOff>
    </xdr:from>
    <xdr:to>
      <xdr:col>4</xdr:col>
      <xdr:colOff>161925</xdr:colOff>
      <xdr:row>16</xdr:row>
      <xdr:rowOff>66675</xdr:rowOff>
    </xdr:to>
    <xdr:pic>
      <xdr:nvPicPr>
        <xdr:cNvPr id="118023" name="Picture 5" descr="7D CM">
          <a:extLst>
            <a:ext uri="{FF2B5EF4-FFF2-40B4-BE49-F238E27FC236}">
              <a16:creationId xmlns:a16="http://schemas.microsoft.com/office/drawing/2014/main" id="{00000000-0008-0000-1400-000007C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2425"/>
          <a:ext cx="154305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190500</xdr:rowOff>
    </xdr:from>
    <xdr:to>
      <xdr:col>4</xdr:col>
      <xdr:colOff>161925</xdr:colOff>
      <xdr:row>16</xdr:row>
      <xdr:rowOff>66675</xdr:rowOff>
    </xdr:to>
    <xdr:pic>
      <xdr:nvPicPr>
        <xdr:cNvPr id="148797" name="Obrázek 2">
          <a:extLst>
            <a:ext uri="{FF2B5EF4-FFF2-40B4-BE49-F238E27FC236}">
              <a16:creationId xmlns:a16="http://schemas.microsoft.com/office/drawing/2014/main" id="{00000000-0008-0000-1500-00003D4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2425"/>
          <a:ext cx="154305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28575</xdr:rowOff>
    </xdr:from>
    <xdr:to>
      <xdr:col>1</xdr:col>
      <xdr:colOff>171450</xdr:colOff>
      <xdr:row>28</xdr:row>
      <xdr:rowOff>0</xdr:rowOff>
    </xdr:to>
    <xdr:pic>
      <xdr:nvPicPr>
        <xdr:cNvPr id="148798" name="Obrázek 28" descr="Info.gif">
          <a:extLst>
            <a:ext uri="{FF2B5EF4-FFF2-40B4-BE49-F238E27FC236}">
              <a16:creationId xmlns:a16="http://schemas.microsoft.com/office/drawing/2014/main" id="{00000000-0008-0000-1500-00003E4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529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11</xdr:row>
      <xdr:rowOff>152400</xdr:rowOff>
    </xdr:from>
    <xdr:to>
      <xdr:col>7</xdr:col>
      <xdr:colOff>609600</xdr:colOff>
      <xdr:row>12</xdr:row>
      <xdr:rowOff>158750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47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10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57151</xdr:rowOff>
    </xdr:from>
    <xdr:to>
      <xdr:col>5</xdr:col>
      <xdr:colOff>0</xdr:colOff>
      <xdr:row>16</xdr:row>
      <xdr:rowOff>146051</xdr:rowOff>
    </xdr:to>
    <xdr:pic>
      <xdr:nvPicPr>
        <xdr:cNvPr id="7" name="Picture 6" descr="7ST CC_glass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9076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8" name="Obrázek 18" descr="Tip.gif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814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55300" name="stahovací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16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55302" name="stahovací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16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57150</xdr:rowOff>
    </xdr:from>
    <xdr:to>
      <xdr:col>5</xdr:col>
      <xdr:colOff>9525</xdr:colOff>
      <xdr:row>16</xdr:row>
      <xdr:rowOff>146050</xdr:rowOff>
    </xdr:to>
    <xdr:pic>
      <xdr:nvPicPr>
        <xdr:cNvPr id="145931" name="Obrázek 4">
          <a:extLst>
            <a:ext uri="{FF2B5EF4-FFF2-40B4-BE49-F238E27FC236}">
              <a16:creationId xmlns:a16="http://schemas.microsoft.com/office/drawing/2014/main" id="{00000000-0008-0000-1700-00000B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19075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495300</xdr:colOff>
      <xdr:row>12</xdr:row>
      <xdr:rowOff>0</xdr:rowOff>
    </xdr:from>
    <xdr:to>
      <xdr:col>8</xdr:col>
      <xdr:colOff>0</xdr:colOff>
      <xdr:row>12</xdr:row>
      <xdr:rowOff>155575</xdr:rowOff>
    </xdr:to>
    <xdr:pic>
      <xdr:nvPicPr>
        <xdr:cNvPr id="145932" name="Obrázek 28" descr="Info.gif">
          <a:extLst>
            <a:ext uri="{FF2B5EF4-FFF2-40B4-BE49-F238E27FC236}">
              <a16:creationId xmlns:a16="http://schemas.microsoft.com/office/drawing/2014/main" id="{00000000-0008-0000-1700-00000C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213995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9525</xdr:rowOff>
    </xdr:from>
    <xdr:to>
      <xdr:col>1</xdr:col>
      <xdr:colOff>209550</xdr:colOff>
      <xdr:row>40</xdr:row>
      <xdr:rowOff>0</xdr:rowOff>
    </xdr:to>
    <xdr:pic>
      <xdr:nvPicPr>
        <xdr:cNvPr id="145933" name="Obrázek 28" descr="Info.gif">
          <a:extLst>
            <a:ext uri="{FF2B5EF4-FFF2-40B4-BE49-F238E27FC236}">
              <a16:creationId xmlns:a16="http://schemas.microsoft.com/office/drawing/2014/main" id="{00000000-0008-0000-1700-00000D3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814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56321" name="Drop Down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7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56322" name="Drop Down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17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501650</xdr:colOff>
      <xdr:row>12</xdr:row>
      <xdr:rowOff>0</xdr:rowOff>
    </xdr:from>
    <xdr:to>
      <xdr:col>8</xdr:col>
      <xdr:colOff>6350</xdr:colOff>
      <xdr:row>12</xdr:row>
      <xdr:rowOff>155575</xdr:rowOff>
    </xdr:to>
    <xdr:pic>
      <xdr:nvPicPr>
        <xdr:cNvPr id="120586" name="Obrázek 28" descr="Info.gif">
          <a:extLst>
            <a:ext uri="{FF2B5EF4-FFF2-40B4-BE49-F238E27FC236}">
              <a16:creationId xmlns:a16="http://schemas.microsoft.com/office/drawing/2014/main" id="{00000000-0008-0000-1800-00000AD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450" y="213995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146050</xdr:rowOff>
    </xdr:to>
    <xdr:pic>
      <xdr:nvPicPr>
        <xdr:cNvPr id="120588" name="Picture 6" descr="7ST CC_rel">
          <a:extLst>
            <a:ext uri="{FF2B5EF4-FFF2-40B4-BE49-F238E27FC236}">
              <a16:creationId xmlns:a16="http://schemas.microsoft.com/office/drawing/2014/main" id="{00000000-0008-0000-1800-00000CD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18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8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146050</xdr:rowOff>
    </xdr:to>
    <xdr:pic>
      <xdr:nvPicPr>
        <xdr:cNvPr id="150991" name="Obrázek 4">
          <a:extLst>
            <a:ext uri="{FF2B5EF4-FFF2-40B4-BE49-F238E27FC236}">
              <a16:creationId xmlns:a16="http://schemas.microsoft.com/office/drawing/2014/main" id="{00000000-0008-0000-1900-0000CF4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501650</xdr:colOff>
      <xdr:row>12</xdr:row>
      <xdr:rowOff>0</xdr:rowOff>
    </xdr:from>
    <xdr:to>
      <xdr:col>8</xdr:col>
      <xdr:colOff>6350</xdr:colOff>
      <xdr:row>12</xdr:row>
      <xdr:rowOff>155575</xdr:rowOff>
    </xdr:to>
    <xdr:pic>
      <xdr:nvPicPr>
        <xdr:cNvPr id="150992" name="Obrázek 28" descr="Info.gif">
          <a:extLst>
            <a:ext uri="{FF2B5EF4-FFF2-40B4-BE49-F238E27FC236}">
              <a16:creationId xmlns:a16="http://schemas.microsoft.com/office/drawing/2014/main" id="{00000000-0008-0000-1900-0000D04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450" y="213995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58371" name="Drop Dow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19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58372" name="Drop Down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19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501650</xdr:colOff>
      <xdr:row>12</xdr:row>
      <xdr:rowOff>12700</xdr:rowOff>
    </xdr:from>
    <xdr:to>
      <xdr:col>8</xdr:col>
      <xdr:colOff>6350</xdr:colOff>
      <xdr:row>13</xdr:row>
      <xdr:rowOff>3175</xdr:rowOff>
    </xdr:to>
    <xdr:pic>
      <xdr:nvPicPr>
        <xdr:cNvPr id="124682" name="Obrázek 28" descr="Info.gif">
          <a:extLst>
            <a:ext uri="{FF2B5EF4-FFF2-40B4-BE49-F238E27FC236}">
              <a16:creationId xmlns:a16="http://schemas.microsoft.com/office/drawing/2014/main" id="{00000000-0008-0000-1A00-00000AE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450" y="215265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57150</xdr:rowOff>
    </xdr:from>
    <xdr:to>
      <xdr:col>5</xdr:col>
      <xdr:colOff>0</xdr:colOff>
      <xdr:row>16</xdr:row>
      <xdr:rowOff>146050</xdr:rowOff>
    </xdr:to>
    <xdr:pic>
      <xdr:nvPicPr>
        <xdr:cNvPr id="124684" name="Picture 6" descr="7ST CM_glass">
          <a:extLst>
            <a:ext uri="{FF2B5EF4-FFF2-40B4-BE49-F238E27FC236}">
              <a16:creationId xmlns:a16="http://schemas.microsoft.com/office/drawing/2014/main" id="{00000000-0008-0000-1A00-00000C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9075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7" name="Obrázek 28" descr="Info.gif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1A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1A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47625</xdr:rowOff>
    </xdr:from>
    <xdr:to>
      <xdr:col>5</xdr:col>
      <xdr:colOff>0</xdr:colOff>
      <xdr:row>16</xdr:row>
      <xdr:rowOff>136525</xdr:rowOff>
    </xdr:to>
    <xdr:pic>
      <xdr:nvPicPr>
        <xdr:cNvPr id="152012" name="Obrázek 5">
          <a:extLst>
            <a:ext uri="{FF2B5EF4-FFF2-40B4-BE49-F238E27FC236}">
              <a16:creationId xmlns:a16="http://schemas.microsoft.com/office/drawing/2014/main" id="{00000000-0008-0000-1B00-0000CC5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1752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508000</xdr:colOff>
      <xdr:row>12</xdr:row>
      <xdr:rowOff>6350</xdr:rowOff>
    </xdr:from>
    <xdr:to>
      <xdr:col>8</xdr:col>
      <xdr:colOff>12700</xdr:colOff>
      <xdr:row>12</xdr:row>
      <xdr:rowOff>161925</xdr:rowOff>
    </xdr:to>
    <xdr:pic>
      <xdr:nvPicPr>
        <xdr:cNvPr id="152013" name="Obrázek 28" descr="Info.gif">
          <a:extLst>
            <a:ext uri="{FF2B5EF4-FFF2-40B4-BE49-F238E27FC236}">
              <a16:creationId xmlns:a16="http://schemas.microsoft.com/office/drawing/2014/main" id="{00000000-0008-0000-1B00-0000CD5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4630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6" name="Obrázek 18" descr="Tip.gif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60417" name="Drop Down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B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60418" name="Drop Down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1B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12</xdr:row>
      <xdr:rowOff>6350</xdr:rowOff>
    </xdr:from>
    <xdr:to>
      <xdr:col>8</xdr:col>
      <xdr:colOff>0</xdr:colOff>
      <xdr:row>12</xdr:row>
      <xdr:rowOff>161925</xdr:rowOff>
    </xdr:to>
    <xdr:pic>
      <xdr:nvPicPr>
        <xdr:cNvPr id="125705" name="Obrázek 28" descr="Info.gif">
          <a:extLst>
            <a:ext uri="{FF2B5EF4-FFF2-40B4-BE49-F238E27FC236}">
              <a16:creationId xmlns:a16="http://schemas.microsoft.com/office/drawing/2014/main" id="{00000000-0008-0000-1C00-000009EB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214630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146050</xdr:rowOff>
    </xdr:to>
    <xdr:pic>
      <xdr:nvPicPr>
        <xdr:cNvPr id="125707" name="Picture 5" descr="7ST CM_rel">
          <a:extLst>
            <a:ext uri="{FF2B5EF4-FFF2-40B4-BE49-F238E27FC236}">
              <a16:creationId xmlns:a16="http://schemas.microsoft.com/office/drawing/2014/main" id="{00000000-0008-0000-1C00-00000BE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6" name="Obrázek 18" descr="Tip.gif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61441" name="Drop Dow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C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61442" name="Drop Dow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1C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14</xdr:row>
      <xdr:rowOff>31750</xdr:rowOff>
    </xdr:to>
    <xdr:pic>
      <xdr:nvPicPr>
        <xdr:cNvPr id="110853" name="Picture 3" descr="7D N">
          <a:extLst>
            <a:ext uri="{FF2B5EF4-FFF2-40B4-BE49-F238E27FC236}">
              <a16:creationId xmlns:a16="http://schemas.microsoft.com/office/drawing/2014/main" id="{00000000-0008-0000-0200-000005B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33</xdr:row>
      <xdr:rowOff>9525</xdr:rowOff>
    </xdr:from>
    <xdr:to>
      <xdr:col>3</xdr:col>
      <xdr:colOff>161925</xdr:colOff>
      <xdr:row>34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96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105</xdr:row>
      <xdr:rowOff>95251</xdr:rowOff>
    </xdr:from>
    <xdr:to>
      <xdr:col>2</xdr:col>
      <xdr:colOff>641350</xdr:colOff>
      <xdr:row>108</xdr:row>
      <xdr:rowOff>238980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7697451"/>
          <a:ext cx="1263650" cy="8866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12</xdr:row>
      <xdr:rowOff>6350</xdr:rowOff>
    </xdr:from>
    <xdr:to>
      <xdr:col>8</xdr:col>
      <xdr:colOff>0</xdr:colOff>
      <xdr:row>12</xdr:row>
      <xdr:rowOff>161925</xdr:rowOff>
    </xdr:to>
    <xdr:pic>
      <xdr:nvPicPr>
        <xdr:cNvPr id="153036" name="Obrázek 28" descr="Info.gif">
          <a:extLst>
            <a:ext uri="{FF2B5EF4-FFF2-40B4-BE49-F238E27FC236}">
              <a16:creationId xmlns:a16="http://schemas.microsoft.com/office/drawing/2014/main" id="{00000000-0008-0000-1D00-0000CC5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2146300"/>
          <a:ext cx="1524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</xdr:row>
      <xdr:rowOff>66675</xdr:rowOff>
    </xdr:from>
    <xdr:to>
      <xdr:col>5</xdr:col>
      <xdr:colOff>0</xdr:colOff>
      <xdr:row>16</xdr:row>
      <xdr:rowOff>146050</xdr:rowOff>
    </xdr:to>
    <xdr:pic>
      <xdr:nvPicPr>
        <xdr:cNvPr id="153038" name="Obrázek 1">
          <a:extLst>
            <a:ext uri="{FF2B5EF4-FFF2-40B4-BE49-F238E27FC236}">
              <a16:creationId xmlns:a16="http://schemas.microsoft.com/office/drawing/2014/main" id="{00000000-0008-0000-1D00-0000CE5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28600"/>
          <a:ext cx="17526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9525</xdr:rowOff>
    </xdr:from>
    <xdr:to>
      <xdr:col>1</xdr:col>
      <xdr:colOff>304800</xdr:colOff>
      <xdr:row>20</xdr:row>
      <xdr:rowOff>171450</xdr:rowOff>
    </xdr:to>
    <xdr:pic>
      <xdr:nvPicPr>
        <xdr:cNvPr id="5" name="Obrázek 18" descr="Tip.gif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433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39</xdr:row>
      <xdr:rowOff>9525</xdr:rowOff>
    </xdr:from>
    <xdr:to>
      <xdr:col>1</xdr:col>
      <xdr:colOff>228600</xdr:colOff>
      <xdr:row>40</xdr:row>
      <xdr:rowOff>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8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15</xdr:row>
          <xdr:rowOff>152400</xdr:rowOff>
        </xdr:from>
        <xdr:to>
          <xdr:col>12</xdr:col>
          <xdr:colOff>6350</xdr:colOff>
          <xdr:row>17</xdr:row>
          <xdr:rowOff>19050</xdr:rowOff>
        </xdr:to>
        <xdr:sp macro="" textlink="">
          <xdr:nvSpPr>
            <xdr:cNvPr id="62465" name="Drop Dow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1D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15</xdr:row>
          <xdr:rowOff>146050</xdr:rowOff>
        </xdr:from>
        <xdr:to>
          <xdr:col>12</xdr:col>
          <xdr:colOff>6350</xdr:colOff>
          <xdr:row>17</xdr:row>
          <xdr:rowOff>31750</xdr:rowOff>
        </xdr:to>
        <xdr:sp macro="" textlink="">
          <xdr:nvSpPr>
            <xdr:cNvPr id="62466" name="Drop Dow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1D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152400</xdr:colOff>
      <xdr:row>12</xdr:row>
      <xdr:rowOff>0</xdr:rowOff>
    </xdr:to>
    <xdr:pic>
      <xdr:nvPicPr>
        <xdr:cNvPr id="178201" name="Obrázek 28" descr="Info.gif">
          <a:extLst>
            <a:ext uri="{FF2B5EF4-FFF2-40B4-BE49-F238E27FC236}">
              <a16:creationId xmlns:a16="http://schemas.microsoft.com/office/drawing/2014/main" id="{00000000-0008-0000-1E00-000019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971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152400</xdr:colOff>
      <xdr:row>25</xdr:row>
      <xdr:rowOff>0</xdr:rowOff>
    </xdr:to>
    <xdr:pic>
      <xdr:nvPicPr>
        <xdr:cNvPr id="178202" name="Obrázek 28" descr="Info.gif">
          <a:extLst>
            <a:ext uri="{FF2B5EF4-FFF2-40B4-BE49-F238E27FC236}">
              <a16:creationId xmlns:a16="http://schemas.microsoft.com/office/drawing/2014/main" id="{00000000-0008-0000-1E00-00001A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91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29351</xdr:colOff>
      <xdr:row>276</xdr:row>
      <xdr:rowOff>16650</xdr:rowOff>
    </xdr:from>
    <xdr:to>
      <xdr:col>8</xdr:col>
      <xdr:colOff>1435101</xdr:colOff>
      <xdr:row>322</xdr:row>
      <xdr:rowOff>36006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01" y="44257100"/>
          <a:ext cx="8714600" cy="732185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9566</xdr:rowOff>
    </xdr:from>
    <xdr:to>
      <xdr:col>8</xdr:col>
      <xdr:colOff>1403350</xdr:colOff>
      <xdr:row>217</xdr:row>
      <xdr:rowOff>69850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8215016"/>
          <a:ext cx="8686800" cy="1672903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</xdr:colOff>
      <xdr:row>11</xdr:row>
      <xdr:rowOff>6350</xdr:rowOff>
    </xdr:from>
    <xdr:to>
      <xdr:col>8</xdr:col>
      <xdr:colOff>158750</xdr:colOff>
      <xdr:row>12</xdr:row>
      <xdr:rowOff>6350</xdr:rowOff>
    </xdr:to>
    <xdr:pic>
      <xdr:nvPicPr>
        <xdr:cNvPr id="3" name="Obrázek 28" descr="Info.gif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850" y="1936750"/>
          <a:ext cx="1524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129</xdr:row>
      <xdr:rowOff>6349</xdr:rowOff>
    </xdr:from>
    <xdr:to>
      <xdr:col>8</xdr:col>
      <xdr:colOff>1168400</xdr:colOff>
      <xdr:row>232</xdr:row>
      <xdr:rowOff>82572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0834349"/>
          <a:ext cx="8489950" cy="1642747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12</xdr:row>
      <xdr:rowOff>28575</xdr:rowOff>
    </xdr:from>
    <xdr:to>
      <xdr:col>5</xdr:col>
      <xdr:colOff>428625</xdr:colOff>
      <xdr:row>13</xdr:row>
      <xdr:rowOff>95250</xdr:rowOff>
    </xdr:to>
    <xdr:pic>
      <xdr:nvPicPr>
        <xdr:cNvPr id="179310" name="Obrázek 7">
          <a:extLst>
            <a:ext uri="{FF2B5EF4-FFF2-40B4-BE49-F238E27FC236}">
              <a16:creationId xmlns:a16="http://schemas.microsoft.com/office/drawing/2014/main" id="{00000000-0008-0000-2000-00006E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3</xdr:row>
      <xdr:rowOff>28575</xdr:rowOff>
    </xdr:from>
    <xdr:to>
      <xdr:col>5</xdr:col>
      <xdr:colOff>190500</xdr:colOff>
      <xdr:row>4</xdr:row>
      <xdr:rowOff>85725</xdr:rowOff>
    </xdr:to>
    <xdr:pic>
      <xdr:nvPicPr>
        <xdr:cNvPr id="179311" name="Obrázek 9">
          <a:extLst>
            <a:ext uri="{FF2B5EF4-FFF2-40B4-BE49-F238E27FC236}">
              <a16:creationId xmlns:a16="http://schemas.microsoft.com/office/drawing/2014/main" id="{00000000-0008-0000-2000-00006F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12</xdr:row>
      <xdr:rowOff>28575</xdr:rowOff>
    </xdr:from>
    <xdr:to>
      <xdr:col>6</xdr:col>
      <xdr:colOff>0</xdr:colOff>
      <xdr:row>13</xdr:row>
      <xdr:rowOff>95250</xdr:rowOff>
    </xdr:to>
    <xdr:pic>
      <xdr:nvPicPr>
        <xdr:cNvPr id="179312" name="Obrázek 10">
          <a:extLst>
            <a:ext uri="{FF2B5EF4-FFF2-40B4-BE49-F238E27FC236}">
              <a16:creationId xmlns:a16="http://schemas.microsoft.com/office/drawing/2014/main" id="{00000000-0008-0000-2000-000070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12</xdr:row>
      <xdr:rowOff>28575</xdr:rowOff>
    </xdr:from>
    <xdr:to>
      <xdr:col>5</xdr:col>
      <xdr:colOff>190500</xdr:colOff>
      <xdr:row>13</xdr:row>
      <xdr:rowOff>95250</xdr:rowOff>
    </xdr:to>
    <xdr:pic>
      <xdr:nvPicPr>
        <xdr:cNvPr id="179313" name="Obrázek 25">
          <a:extLst>
            <a:ext uri="{FF2B5EF4-FFF2-40B4-BE49-F238E27FC236}">
              <a16:creationId xmlns:a16="http://schemas.microsoft.com/office/drawing/2014/main" id="{00000000-0008-0000-2000-000071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17</xdr:row>
      <xdr:rowOff>114300</xdr:rowOff>
    </xdr:from>
    <xdr:to>
      <xdr:col>15</xdr:col>
      <xdr:colOff>228600</xdr:colOff>
      <xdr:row>19</xdr:row>
      <xdr:rowOff>19050</xdr:rowOff>
    </xdr:to>
    <xdr:pic>
      <xdr:nvPicPr>
        <xdr:cNvPr id="179314" name="Obrázek 26">
          <a:extLst>
            <a:ext uri="{FF2B5EF4-FFF2-40B4-BE49-F238E27FC236}">
              <a16:creationId xmlns:a16="http://schemas.microsoft.com/office/drawing/2014/main" id="{00000000-0008-0000-2000-000072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0765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123825</xdr:rowOff>
    </xdr:from>
    <xdr:to>
      <xdr:col>15</xdr:col>
      <xdr:colOff>228600</xdr:colOff>
      <xdr:row>17</xdr:row>
      <xdr:rowOff>28575</xdr:rowOff>
    </xdr:to>
    <xdr:pic>
      <xdr:nvPicPr>
        <xdr:cNvPr id="179315" name="Obrázek 27">
          <a:extLst>
            <a:ext uri="{FF2B5EF4-FFF2-40B4-BE49-F238E27FC236}">
              <a16:creationId xmlns:a16="http://schemas.microsoft.com/office/drawing/2014/main" id="{00000000-0008-0000-2000-000073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762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19</xdr:row>
      <xdr:rowOff>114300</xdr:rowOff>
    </xdr:from>
    <xdr:to>
      <xdr:col>15</xdr:col>
      <xdr:colOff>228600</xdr:colOff>
      <xdr:row>21</xdr:row>
      <xdr:rowOff>19050</xdr:rowOff>
    </xdr:to>
    <xdr:pic>
      <xdr:nvPicPr>
        <xdr:cNvPr id="179316" name="Obrázek 28">
          <a:extLst>
            <a:ext uri="{FF2B5EF4-FFF2-40B4-BE49-F238E27FC236}">
              <a16:creationId xmlns:a16="http://schemas.microsoft.com/office/drawing/2014/main" id="{00000000-0008-0000-2000-000074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4004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21</xdr:row>
      <xdr:rowOff>123825</xdr:rowOff>
    </xdr:from>
    <xdr:to>
      <xdr:col>15</xdr:col>
      <xdr:colOff>228600</xdr:colOff>
      <xdr:row>23</xdr:row>
      <xdr:rowOff>28575</xdr:rowOff>
    </xdr:to>
    <xdr:pic>
      <xdr:nvPicPr>
        <xdr:cNvPr id="179317" name="Obrázek 33">
          <a:extLst>
            <a:ext uri="{FF2B5EF4-FFF2-40B4-BE49-F238E27FC236}">
              <a16:creationId xmlns:a16="http://schemas.microsoft.com/office/drawing/2014/main" id="{00000000-0008-0000-2000-000075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733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228600</xdr:colOff>
      <xdr:row>25</xdr:row>
      <xdr:rowOff>19050</xdr:rowOff>
    </xdr:to>
    <xdr:pic>
      <xdr:nvPicPr>
        <xdr:cNvPr id="179318" name="Obrázek 34">
          <a:extLst>
            <a:ext uri="{FF2B5EF4-FFF2-40B4-BE49-F238E27FC236}">
              <a16:creationId xmlns:a16="http://schemas.microsoft.com/office/drawing/2014/main" id="{00000000-0008-0000-2000-000076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0481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</xdr:row>
      <xdr:rowOff>28575</xdr:rowOff>
    </xdr:from>
    <xdr:to>
      <xdr:col>6</xdr:col>
      <xdr:colOff>0</xdr:colOff>
      <xdr:row>4</xdr:row>
      <xdr:rowOff>85725</xdr:rowOff>
    </xdr:to>
    <xdr:pic>
      <xdr:nvPicPr>
        <xdr:cNvPr id="179319" name="Obrázek 35">
          <a:extLst>
            <a:ext uri="{FF2B5EF4-FFF2-40B4-BE49-F238E27FC236}">
              <a16:creationId xmlns:a16="http://schemas.microsoft.com/office/drawing/2014/main" id="{00000000-0008-0000-2000-000077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12</xdr:row>
      <xdr:rowOff>28575</xdr:rowOff>
    </xdr:from>
    <xdr:to>
      <xdr:col>5</xdr:col>
      <xdr:colOff>666750</xdr:colOff>
      <xdr:row>13</xdr:row>
      <xdr:rowOff>95250</xdr:rowOff>
    </xdr:to>
    <xdr:pic>
      <xdr:nvPicPr>
        <xdr:cNvPr id="179320" name="Obrázek 43">
          <a:extLst>
            <a:ext uri="{FF2B5EF4-FFF2-40B4-BE49-F238E27FC236}">
              <a16:creationId xmlns:a16="http://schemas.microsoft.com/office/drawing/2014/main" id="{00000000-0008-0000-2000-000078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3</xdr:row>
      <xdr:rowOff>28575</xdr:rowOff>
    </xdr:from>
    <xdr:to>
      <xdr:col>5</xdr:col>
      <xdr:colOff>666750</xdr:colOff>
      <xdr:row>4</xdr:row>
      <xdr:rowOff>85725</xdr:rowOff>
    </xdr:to>
    <xdr:pic>
      <xdr:nvPicPr>
        <xdr:cNvPr id="179321" name="Obrázek 44">
          <a:extLst>
            <a:ext uri="{FF2B5EF4-FFF2-40B4-BE49-F238E27FC236}">
              <a16:creationId xmlns:a16="http://schemas.microsoft.com/office/drawing/2014/main" id="{00000000-0008-0000-2000-000079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12</xdr:row>
      <xdr:rowOff>28575</xdr:rowOff>
    </xdr:from>
    <xdr:to>
      <xdr:col>4</xdr:col>
      <xdr:colOff>1209675</xdr:colOff>
      <xdr:row>13</xdr:row>
      <xdr:rowOff>95250</xdr:rowOff>
    </xdr:to>
    <xdr:pic>
      <xdr:nvPicPr>
        <xdr:cNvPr id="179322" name="Picture 568">
          <a:extLst>
            <a:ext uri="{FF2B5EF4-FFF2-40B4-BE49-F238E27FC236}">
              <a16:creationId xmlns:a16="http://schemas.microsoft.com/office/drawing/2014/main" id="{00000000-0008-0000-2000-00007A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181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21</xdr:row>
      <xdr:rowOff>28575</xdr:rowOff>
    </xdr:from>
    <xdr:to>
      <xdr:col>6</xdr:col>
      <xdr:colOff>0</xdr:colOff>
      <xdr:row>22</xdr:row>
      <xdr:rowOff>95250</xdr:rowOff>
    </xdr:to>
    <xdr:pic>
      <xdr:nvPicPr>
        <xdr:cNvPr id="179324" name="Obrázek 35">
          <a:extLst>
            <a:ext uri="{FF2B5EF4-FFF2-40B4-BE49-F238E27FC236}">
              <a16:creationId xmlns:a16="http://schemas.microsoft.com/office/drawing/2014/main" id="{00000000-0008-0000-2000-00007C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21</xdr:row>
      <xdr:rowOff>28575</xdr:rowOff>
    </xdr:from>
    <xdr:to>
      <xdr:col>5</xdr:col>
      <xdr:colOff>666750</xdr:colOff>
      <xdr:row>22</xdr:row>
      <xdr:rowOff>95250</xdr:rowOff>
    </xdr:to>
    <xdr:pic>
      <xdr:nvPicPr>
        <xdr:cNvPr id="179325" name="Obrázek 44">
          <a:extLst>
            <a:ext uri="{FF2B5EF4-FFF2-40B4-BE49-F238E27FC236}">
              <a16:creationId xmlns:a16="http://schemas.microsoft.com/office/drawing/2014/main" id="{00000000-0008-0000-2000-00007D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295275</xdr:colOff>
      <xdr:row>12</xdr:row>
      <xdr:rowOff>0</xdr:rowOff>
    </xdr:from>
    <xdr:to>
      <xdr:col>10</xdr:col>
      <xdr:colOff>76200</xdr:colOff>
      <xdr:row>14</xdr:row>
      <xdr:rowOff>114300</xdr:rowOff>
    </xdr:to>
    <xdr:pic>
      <xdr:nvPicPr>
        <xdr:cNvPr id="179326" name="Picture 577" descr="A-L wood_pull_th">
          <a:extLst>
            <a:ext uri="{FF2B5EF4-FFF2-40B4-BE49-F238E27FC236}">
              <a16:creationId xmlns:a16="http://schemas.microsoft.com/office/drawing/2014/main" id="{00000000-0008-0000-2000-00007E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1526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</xdr:row>
      <xdr:rowOff>0</xdr:rowOff>
    </xdr:from>
    <xdr:to>
      <xdr:col>3</xdr:col>
      <xdr:colOff>390525</xdr:colOff>
      <xdr:row>7</xdr:row>
      <xdr:rowOff>28575</xdr:rowOff>
    </xdr:to>
    <xdr:pic>
      <xdr:nvPicPr>
        <xdr:cNvPr id="179327" name="Picture 579" descr="A-L steel_draw_th">
          <a:extLst>
            <a:ext uri="{FF2B5EF4-FFF2-40B4-BE49-F238E27FC236}">
              <a16:creationId xmlns:a16="http://schemas.microsoft.com/office/drawing/2014/main" id="{00000000-0008-0000-2000-00007F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00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</xdr:row>
      <xdr:rowOff>0</xdr:rowOff>
    </xdr:from>
    <xdr:to>
      <xdr:col>3</xdr:col>
      <xdr:colOff>276225</xdr:colOff>
      <xdr:row>15</xdr:row>
      <xdr:rowOff>85725</xdr:rowOff>
    </xdr:to>
    <xdr:pic>
      <xdr:nvPicPr>
        <xdr:cNvPr id="179328" name="Picture 580" descr="A-L steel_pull_th">
          <a:extLst>
            <a:ext uri="{FF2B5EF4-FFF2-40B4-BE49-F238E27FC236}">
              <a16:creationId xmlns:a16="http://schemas.microsoft.com/office/drawing/2014/main" id="{00000000-0008-0000-2000-000080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52650"/>
          <a:ext cx="1171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3</xdr:row>
      <xdr:rowOff>0</xdr:rowOff>
    </xdr:from>
    <xdr:to>
      <xdr:col>10</xdr:col>
      <xdr:colOff>466725</xdr:colOff>
      <xdr:row>6</xdr:row>
      <xdr:rowOff>114300</xdr:rowOff>
    </xdr:to>
    <xdr:pic>
      <xdr:nvPicPr>
        <xdr:cNvPr id="179329" name="Picture 581" descr="A-L wood_draw_th">
          <a:extLst>
            <a:ext uri="{FF2B5EF4-FFF2-40B4-BE49-F238E27FC236}">
              <a16:creationId xmlns:a16="http://schemas.microsoft.com/office/drawing/2014/main" id="{00000000-0008-0000-2000-000081B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28650"/>
          <a:ext cx="1381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3</xdr:row>
      <xdr:rowOff>28575</xdr:rowOff>
    </xdr:from>
    <xdr:to>
      <xdr:col>4</xdr:col>
      <xdr:colOff>1209675</xdr:colOff>
      <xdr:row>4</xdr:row>
      <xdr:rowOff>85725</xdr:rowOff>
    </xdr:to>
    <xdr:pic>
      <xdr:nvPicPr>
        <xdr:cNvPr id="179330" name="Picture 582">
          <a:extLst>
            <a:ext uri="{FF2B5EF4-FFF2-40B4-BE49-F238E27FC236}">
              <a16:creationId xmlns:a16="http://schemas.microsoft.com/office/drawing/2014/main" id="{00000000-0008-0000-2000-000082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3</xdr:row>
      <xdr:rowOff>28575</xdr:rowOff>
    </xdr:from>
    <xdr:to>
      <xdr:col>5</xdr:col>
      <xdr:colOff>428625</xdr:colOff>
      <xdr:row>4</xdr:row>
      <xdr:rowOff>85725</xdr:rowOff>
    </xdr:to>
    <xdr:pic>
      <xdr:nvPicPr>
        <xdr:cNvPr id="179331" name="Obrázek 7">
          <a:extLst>
            <a:ext uri="{FF2B5EF4-FFF2-40B4-BE49-F238E27FC236}">
              <a16:creationId xmlns:a16="http://schemas.microsoft.com/office/drawing/2014/main" id="{00000000-0008-0000-2000-000083B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572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5</xdr:col>
      <xdr:colOff>428625</xdr:colOff>
      <xdr:row>22</xdr:row>
      <xdr:rowOff>95250</xdr:rowOff>
    </xdr:to>
    <xdr:pic>
      <xdr:nvPicPr>
        <xdr:cNvPr id="46" name="Obrázek 7">
          <a:extLst>
            <a:ext uri="{FF2B5EF4-FFF2-40B4-BE49-F238E27FC236}">
              <a16:creationId xmlns:a16="http://schemas.microsoft.com/office/drawing/2014/main" id="{00000000-0008-0000-2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6385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200025</xdr:colOff>
      <xdr:row>21</xdr:row>
      <xdr:rowOff>28575</xdr:rowOff>
    </xdr:from>
    <xdr:ext cx="228600" cy="228600"/>
    <xdr:pic>
      <xdr:nvPicPr>
        <xdr:cNvPr id="48" name="Obrázek 9">
          <a:extLst>
            <a:ext uri="{FF2B5EF4-FFF2-40B4-BE49-F238E27FC236}">
              <a16:creationId xmlns:a16="http://schemas.microsoft.com/office/drawing/2014/main" id="{00000000-0008-0000-2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676275</xdr:colOff>
      <xdr:row>21</xdr:row>
      <xdr:rowOff>28575</xdr:rowOff>
    </xdr:from>
    <xdr:ext cx="228600" cy="228600"/>
    <xdr:pic>
      <xdr:nvPicPr>
        <xdr:cNvPr id="49" name="Obrázek 35">
          <a:extLst>
            <a:ext uri="{FF2B5EF4-FFF2-40B4-BE49-F238E27FC236}">
              <a16:creationId xmlns:a16="http://schemas.microsoft.com/office/drawing/2014/main" id="{00000000-0008-0000-2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438150</xdr:colOff>
      <xdr:row>21</xdr:row>
      <xdr:rowOff>28575</xdr:rowOff>
    </xdr:from>
    <xdr:ext cx="228600" cy="228600"/>
    <xdr:pic>
      <xdr:nvPicPr>
        <xdr:cNvPr id="50" name="Obrázek 44">
          <a:extLst>
            <a:ext uri="{FF2B5EF4-FFF2-40B4-BE49-F238E27FC236}">
              <a16:creationId xmlns:a16="http://schemas.microsoft.com/office/drawing/2014/main" id="{00000000-0008-0000-2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600075</xdr:colOff>
      <xdr:row>21</xdr:row>
      <xdr:rowOff>152400</xdr:rowOff>
    </xdr:from>
    <xdr:ext cx="714375" cy="581025"/>
    <xdr:pic>
      <xdr:nvPicPr>
        <xdr:cNvPr id="51" name="Obrázek 1">
          <a:extLst>
            <a:ext uri="{FF2B5EF4-FFF2-40B4-BE49-F238E27FC236}">
              <a16:creationId xmlns:a16="http://schemas.microsoft.com/office/drawing/2014/main" id="{00000000-0008-0000-2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219700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30</xdr:row>
      <xdr:rowOff>28575</xdr:rowOff>
    </xdr:from>
    <xdr:ext cx="228600" cy="228600"/>
    <xdr:pic>
      <xdr:nvPicPr>
        <xdr:cNvPr id="52" name="Obrázek 9">
          <a:extLst>
            <a:ext uri="{FF2B5EF4-FFF2-40B4-BE49-F238E27FC236}">
              <a16:creationId xmlns:a16="http://schemas.microsoft.com/office/drawing/2014/main" id="{00000000-0008-0000-2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30</xdr:row>
      <xdr:rowOff>28575</xdr:rowOff>
    </xdr:from>
    <xdr:ext cx="228600" cy="228600"/>
    <xdr:pic>
      <xdr:nvPicPr>
        <xdr:cNvPr id="53" name="Obrázek 35">
          <a:extLst>
            <a:ext uri="{FF2B5EF4-FFF2-40B4-BE49-F238E27FC236}">
              <a16:creationId xmlns:a16="http://schemas.microsoft.com/office/drawing/2014/main" id="{00000000-0008-0000-2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438150</xdr:colOff>
      <xdr:row>30</xdr:row>
      <xdr:rowOff>28575</xdr:rowOff>
    </xdr:from>
    <xdr:ext cx="228600" cy="228600"/>
    <xdr:pic>
      <xdr:nvPicPr>
        <xdr:cNvPr id="54" name="Obrázek 44">
          <a:extLst>
            <a:ext uri="{FF2B5EF4-FFF2-40B4-BE49-F238E27FC236}">
              <a16:creationId xmlns:a16="http://schemas.microsoft.com/office/drawing/2014/main" id="{00000000-0008-0000-2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0958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30</xdr:row>
      <xdr:rowOff>0</xdr:rowOff>
    </xdr:from>
    <xdr:ext cx="1228725" cy="704850"/>
    <xdr:pic>
      <xdr:nvPicPr>
        <xdr:cNvPr id="55" name="Picture 578" descr="A-L helper_th">
          <a:extLst>
            <a:ext uri="{FF2B5EF4-FFF2-40B4-BE49-F238E27FC236}">
              <a16:creationId xmlns:a16="http://schemas.microsoft.com/office/drawing/2014/main" id="{00000000-0008-0000-2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6730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323850</xdr:colOff>
      <xdr:row>21</xdr:row>
      <xdr:rowOff>85725</xdr:rowOff>
    </xdr:from>
    <xdr:to>
      <xdr:col>3</xdr:col>
      <xdr:colOff>381000</xdr:colOff>
      <xdr:row>25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695700"/>
          <a:ext cx="1276350" cy="6477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14</xdr:row>
      <xdr:rowOff>171450</xdr:rowOff>
    </xdr:from>
    <xdr:to>
      <xdr:col>13</xdr:col>
      <xdr:colOff>266700</xdr:colOff>
      <xdr:row>16</xdr:row>
      <xdr:rowOff>9525</xdr:rowOff>
    </xdr:to>
    <xdr:pic>
      <xdr:nvPicPr>
        <xdr:cNvPr id="172368" name="Obrázek 9">
          <a:extLst>
            <a:ext uri="{FF2B5EF4-FFF2-40B4-BE49-F238E27FC236}">
              <a16:creationId xmlns:a16="http://schemas.microsoft.com/office/drawing/2014/main" id="{00000000-0008-0000-2100-000050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66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276225</xdr:colOff>
      <xdr:row>20</xdr:row>
      <xdr:rowOff>171450</xdr:rowOff>
    </xdr:from>
    <xdr:to>
      <xdr:col>13</xdr:col>
      <xdr:colOff>504825</xdr:colOff>
      <xdr:row>22</xdr:row>
      <xdr:rowOff>9525</xdr:rowOff>
    </xdr:to>
    <xdr:pic>
      <xdr:nvPicPr>
        <xdr:cNvPr id="172369" name="Obrázek 7">
          <a:extLst>
            <a:ext uri="{FF2B5EF4-FFF2-40B4-BE49-F238E27FC236}">
              <a16:creationId xmlns:a16="http://schemas.microsoft.com/office/drawing/2014/main" id="{00000000-0008-0000-2100-000051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20</xdr:row>
      <xdr:rowOff>171450</xdr:rowOff>
    </xdr:from>
    <xdr:to>
      <xdr:col>13</xdr:col>
      <xdr:colOff>266700</xdr:colOff>
      <xdr:row>22</xdr:row>
      <xdr:rowOff>9525</xdr:rowOff>
    </xdr:to>
    <xdr:pic>
      <xdr:nvPicPr>
        <xdr:cNvPr id="172370" name="Obrázek 9">
          <a:extLst>
            <a:ext uri="{FF2B5EF4-FFF2-40B4-BE49-F238E27FC236}">
              <a16:creationId xmlns:a16="http://schemas.microsoft.com/office/drawing/2014/main" id="{00000000-0008-0000-2100-000052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752475</xdr:colOff>
      <xdr:row>20</xdr:row>
      <xdr:rowOff>171450</xdr:rowOff>
    </xdr:from>
    <xdr:to>
      <xdr:col>13</xdr:col>
      <xdr:colOff>981075</xdr:colOff>
      <xdr:row>22</xdr:row>
      <xdr:rowOff>9525</xdr:rowOff>
    </xdr:to>
    <xdr:pic>
      <xdr:nvPicPr>
        <xdr:cNvPr id="172371" name="Obrázek 35">
          <a:extLst>
            <a:ext uri="{FF2B5EF4-FFF2-40B4-BE49-F238E27FC236}">
              <a16:creationId xmlns:a16="http://schemas.microsoft.com/office/drawing/2014/main" id="{00000000-0008-0000-2100-000053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514350</xdr:colOff>
      <xdr:row>20</xdr:row>
      <xdr:rowOff>171450</xdr:rowOff>
    </xdr:from>
    <xdr:to>
      <xdr:col>13</xdr:col>
      <xdr:colOff>742950</xdr:colOff>
      <xdr:row>22</xdr:row>
      <xdr:rowOff>9525</xdr:rowOff>
    </xdr:to>
    <xdr:pic>
      <xdr:nvPicPr>
        <xdr:cNvPr id="172372" name="Obrázek 44">
          <a:extLst>
            <a:ext uri="{FF2B5EF4-FFF2-40B4-BE49-F238E27FC236}">
              <a16:creationId xmlns:a16="http://schemas.microsoft.com/office/drawing/2014/main" id="{00000000-0008-0000-2100-000054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25</xdr:row>
      <xdr:rowOff>171450</xdr:rowOff>
    </xdr:from>
    <xdr:to>
      <xdr:col>13</xdr:col>
      <xdr:colOff>266700</xdr:colOff>
      <xdr:row>27</xdr:row>
      <xdr:rowOff>9525</xdr:rowOff>
    </xdr:to>
    <xdr:pic>
      <xdr:nvPicPr>
        <xdr:cNvPr id="172373" name="Obrázek 7">
          <a:extLst>
            <a:ext uri="{FF2B5EF4-FFF2-40B4-BE49-F238E27FC236}">
              <a16:creationId xmlns:a16="http://schemas.microsoft.com/office/drawing/2014/main" id="{00000000-0008-0000-2100-00005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142875</xdr:colOff>
      <xdr:row>10</xdr:row>
      <xdr:rowOff>123825</xdr:rowOff>
    </xdr:to>
    <xdr:pic>
      <xdr:nvPicPr>
        <xdr:cNvPr id="172374" name="Picture 11" descr="A-L steel_draw">
          <a:extLst>
            <a:ext uri="{FF2B5EF4-FFF2-40B4-BE49-F238E27FC236}">
              <a16:creationId xmlns:a16="http://schemas.microsoft.com/office/drawing/2014/main" id="{00000000-0008-0000-2100-000056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34766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0</xdr:rowOff>
    </xdr:from>
    <xdr:to>
      <xdr:col>1</xdr:col>
      <xdr:colOff>190500</xdr:colOff>
      <xdr:row>31</xdr:row>
      <xdr:rowOff>0</xdr:rowOff>
    </xdr:to>
    <xdr:pic>
      <xdr:nvPicPr>
        <xdr:cNvPr id="172375" name="Obrázek 28" descr="Info.gif">
          <a:extLst>
            <a:ext uri="{FF2B5EF4-FFF2-40B4-BE49-F238E27FC236}">
              <a16:creationId xmlns:a16="http://schemas.microsoft.com/office/drawing/2014/main" id="{00000000-0008-0000-2100-000057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391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20</xdr:row>
      <xdr:rowOff>171450</xdr:rowOff>
    </xdr:from>
    <xdr:to>
      <xdr:col>12</xdr:col>
      <xdr:colOff>752475</xdr:colOff>
      <xdr:row>22</xdr:row>
      <xdr:rowOff>9525</xdr:rowOff>
    </xdr:to>
    <xdr:pic>
      <xdr:nvPicPr>
        <xdr:cNvPr id="173392" name="Obrázek 7">
          <a:extLst>
            <a:ext uri="{FF2B5EF4-FFF2-40B4-BE49-F238E27FC236}">
              <a16:creationId xmlns:a16="http://schemas.microsoft.com/office/drawing/2014/main" id="{00000000-0008-0000-2200-000050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285750</xdr:colOff>
      <xdr:row>20</xdr:row>
      <xdr:rowOff>171450</xdr:rowOff>
    </xdr:from>
    <xdr:to>
      <xdr:col>12</xdr:col>
      <xdr:colOff>514350</xdr:colOff>
      <xdr:row>22</xdr:row>
      <xdr:rowOff>9525</xdr:rowOff>
    </xdr:to>
    <xdr:pic>
      <xdr:nvPicPr>
        <xdr:cNvPr id="173393" name="Obrázek 9">
          <a:extLst>
            <a:ext uri="{FF2B5EF4-FFF2-40B4-BE49-F238E27FC236}">
              <a16:creationId xmlns:a16="http://schemas.microsoft.com/office/drawing/2014/main" id="{00000000-0008-0000-2200-000051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1000125</xdr:colOff>
      <xdr:row>20</xdr:row>
      <xdr:rowOff>171450</xdr:rowOff>
    </xdr:from>
    <xdr:to>
      <xdr:col>12</xdr:col>
      <xdr:colOff>1228725</xdr:colOff>
      <xdr:row>22</xdr:row>
      <xdr:rowOff>9525</xdr:rowOff>
    </xdr:to>
    <xdr:pic>
      <xdr:nvPicPr>
        <xdr:cNvPr id="173394" name="Obrázek 35">
          <a:extLst>
            <a:ext uri="{FF2B5EF4-FFF2-40B4-BE49-F238E27FC236}">
              <a16:creationId xmlns:a16="http://schemas.microsoft.com/office/drawing/2014/main" id="{00000000-0008-0000-2200-000052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762000</xdr:colOff>
      <xdr:row>20</xdr:row>
      <xdr:rowOff>171450</xdr:rowOff>
    </xdr:from>
    <xdr:to>
      <xdr:col>12</xdr:col>
      <xdr:colOff>990600</xdr:colOff>
      <xdr:row>22</xdr:row>
      <xdr:rowOff>9525</xdr:rowOff>
    </xdr:to>
    <xdr:pic>
      <xdr:nvPicPr>
        <xdr:cNvPr id="173395" name="Obrázek 44">
          <a:extLst>
            <a:ext uri="{FF2B5EF4-FFF2-40B4-BE49-F238E27FC236}">
              <a16:creationId xmlns:a16="http://schemas.microsoft.com/office/drawing/2014/main" id="{00000000-0008-0000-2200-000053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20</xdr:row>
      <xdr:rowOff>171450</xdr:rowOff>
    </xdr:from>
    <xdr:to>
      <xdr:col>12</xdr:col>
      <xdr:colOff>276225</xdr:colOff>
      <xdr:row>22</xdr:row>
      <xdr:rowOff>9525</xdr:rowOff>
    </xdr:to>
    <xdr:pic>
      <xdr:nvPicPr>
        <xdr:cNvPr id="173396" name="Obrázek 27">
          <a:extLst>
            <a:ext uri="{FF2B5EF4-FFF2-40B4-BE49-F238E27FC236}">
              <a16:creationId xmlns:a16="http://schemas.microsoft.com/office/drawing/2014/main" id="{00000000-0008-0000-2200-000054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0</xdr:rowOff>
    </xdr:from>
    <xdr:to>
      <xdr:col>5</xdr:col>
      <xdr:colOff>352425</xdr:colOff>
      <xdr:row>9</xdr:row>
      <xdr:rowOff>114300</xdr:rowOff>
    </xdr:to>
    <xdr:pic>
      <xdr:nvPicPr>
        <xdr:cNvPr id="173397" name="Picture 9" descr="A-L steel_pull">
          <a:extLst>
            <a:ext uri="{FF2B5EF4-FFF2-40B4-BE49-F238E27FC236}">
              <a16:creationId xmlns:a16="http://schemas.microsoft.com/office/drawing/2014/main" id="{00000000-0008-0000-2200-000055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61925"/>
          <a:ext cx="29051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10</xdr:row>
      <xdr:rowOff>85725</xdr:rowOff>
    </xdr:from>
    <xdr:to>
      <xdr:col>5</xdr:col>
      <xdr:colOff>619125</xdr:colOff>
      <xdr:row>11</xdr:row>
      <xdr:rowOff>190500</xdr:rowOff>
    </xdr:to>
    <xdr:pic>
      <xdr:nvPicPr>
        <xdr:cNvPr id="173398" name="Obrázek 16" descr="Notice.gif">
          <a:extLst>
            <a:ext uri="{FF2B5EF4-FFF2-40B4-BE49-F238E27FC236}">
              <a16:creationId xmlns:a16="http://schemas.microsoft.com/office/drawing/2014/main" id="{00000000-0008-0000-2200-000056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954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26</xdr:row>
      <xdr:rowOff>19050</xdr:rowOff>
    </xdr:from>
    <xdr:to>
      <xdr:col>1</xdr:col>
      <xdr:colOff>200025</xdr:colOff>
      <xdr:row>27</xdr:row>
      <xdr:rowOff>0</xdr:rowOff>
    </xdr:to>
    <xdr:pic>
      <xdr:nvPicPr>
        <xdr:cNvPr id="173399" name="Obrázek 28" descr="Info.gif">
          <a:extLst>
            <a:ext uri="{FF2B5EF4-FFF2-40B4-BE49-F238E27FC236}">
              <a16:creationId xmlns:a16="http://schemas.microsoft.com/office/drawing/2014/main" id="{00000000-0008-0000-2200-000057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05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14</xdr:row>
      <xdr:rowOff>171450</xdr:rowOff>
    </xdr:from>
    <xdr:to>
      <xdr:col>12</xdr:col>
      <xdr:colOff>285750</xdr:colOff>
      <xdr:row>16</xdr:row>
      <xdr:rowOff>9525</xdr:rowOff>
    </xdr:to>
    <xdr:pic>
      <xdr:nvPicPr>
        <xdr:cNvPr id="2" name="Obrázek 7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533400</xdr:colOff>
      <xdr:row>14</xdr:row>
      <xdr:rowOff>171450</xdr:rowOff>
    </xdr:from>
    <xdr:to>
      <xdr:col>12</xdr:col>
      <xdr:colOff>762000</xdr:colOff>
      <xdr:row>16</xdr:row>
      <xdr:rowOff>9525</xdr:rowOff>
    </xdr:to>
    <xdr:pic>
      <xdr:nvPicPr>
        <xdr:cNvPr id="4" name="Obrázek 35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14</xdr:row>
      <xdr:rowOff>171450</xdr:rowOff>
    </xdr:from>
    <xdr:to>
      <xdr:col>12</xdr:col>
      <xdr:colOff>523875</xdr:colOff>
      <xdr:row>16</xdr:row>
      <xdr:rowOff>9525</xdr:rowOff>
    </xdr:to>
    <xdr:pic>
      <xdr:nvPicPr>
        <xdr:cNvPr id="5" name="Obrázek 4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705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10</xdr:row>
      <xdr:rowOff>85725</xdr:rowOff>
    </xdr:from>
    <xdr:to>
      <xdr:col>5</xdr:col>
      <xdr:colOff>619125</xdr:colOff>
      <xdr:row>11</xdr:row>
      <xdr:rowOff>190500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954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20</xdr:row>
      <xdr:rowOff>19050</xdr:rowOff>
    </xdr:from>
    <xdr:to>
      <xdr:col>1</xdr:col>
      <xdr:colOff>200025</xdr:colOff>
      <xdr:row>20</xdr:row>
      <xdr:rowOff>180975</xdr:rowOff>
    </xdr:to>
    <xdr:pic>
      <xdr:nvPicPr>
        <xdr:cNvPr id="9" name="Obrázek 28" descr="Info.gif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05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</xdr:row>
      <xdr:rowOff>57150</xdr:rowOff>
    </xdr:from>
    <xdr:to>
      <xdr:col>6</xdr:col>
      <xdr:colOff>66675</xdr:colOff>
      <xdr:row>10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19075"/>
          <a:ext cx="3171825" cy="16097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114300</xdr:colOff>
      <xdr:row>9</xdr:row>
      <xdr:rowOff>85725</xdr:rowOff>
    </xdr:to>
    <xdr:pic>
      <xdr:nvPicPr>
        <xdr:cNvPr id="128267" name="Picture 9" descr="A-L wood_draw">
          <a:extLst>
            <a:ext uri="{FF2B5EF4-FFF2-40B4-BE49-F238E27FC236}">
              <a16:creationId xmlns:a16="http://schemas.microsoft.com/office/drawing/2014/main" id="{00000000-0008-0000-2400-00000BF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3448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0</xdr:rowOff>
    </xdr:from>
    <xdr:to>
      <xdr:col>5</xdr:col>
      <xdr:colOff>133350</xdr:colOff>
      <xdr:row>9</xdr:row>
      <xdr:rowOff>57150</xdr:rowOff>
    </xdr:to>
    <xdr:pic>
      <xdr:nvPicPr>
        <xdr:cNvPr id="130572" name="Picture 7" descr="A-L wood_pull">
          <a:extLst>
            <a:ext uri="{FF2B5EF4-FFF2-40B4-BE49-F238E27FC236}">
              <a16:creationId xmlns:a16="http://schemas.microsoft.com/office/drawing/2014/main" id="{00000000-0008-0000-2500-00000CF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57200"/>
          <a:ext cx="24669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10</xdr:row>
      <xdr:rowOff>95250</xdr:rowOff>
    </xdr:from>
    <xdr:to>
      <xdr:col>5</xdr:col>
      <xdr:colOff>581025</xdr:colOff>
      <xdr:row>12</xdr:row>
      <xdr:rowOff>0</xdr:rowOff>
    </xdr:to>
    <xdr:pic>
      <xdr:nvPicPr>
        <xdr:cNvPr id="130573" name="Obrázek 16" descr="Notice.gif">
          <a:extLst>
            <a:ext uri="{FF2B5EF4-FFF2-40B4-BE49-F238E27FC236}">
              <a16:creationId xmlns:a16="http://schemas.microsoft.com/office/drawing/2014/main" id="{00000000-0008-0000-2500-00000DF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9050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180975</xdr:rowOff>
    </xdr:from>
    <xdr:to>
      <xdr:col>4</xdr:col>
      <xdr:colOff>142875</xdr:colOff>
      <xdr:row>9</xdr:row>
      <xdr:rowOff>57150</xdr:rowOff>
    </xdr:to>
    <xdr:pic>
      <xdr:nvPicPr>
        <xdr:cNvPr id="154914" name="Obrázek 1">
          <a:extLst>
            <a:ext uri="{FF2B5EF4-FFF2-40B4-BE49-F238E27FC236}">
              <a16:creationId xmlns:a16="http://schemas.microsoft.com/office/drawing/2014/main" id="{00000000-0008-0000-2600-0000225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42900"/>
          <a:ext cx="1609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14</xdr:row>
      <xdr:rowOff>117475</xdr:rowOff>
    </xdr:to>
    <xdr:pic>
      <xdr:nvPicPr>
        <xdr:cNvPr id="109830" name="Picture 4" descr="7D M">
          <a:extLst>
            <a:ext uri="{FF2B5EF4-FFF2-40B4-BE49-F238E27FC236}">
              <a16:creationId xmlns:a16="http://schemas.microsoft.com/office/drawing/2014/main" id="{00000000-0008-0000-0300-000006A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</xdr:colOff>
      <xdr:row>39</xdr:row>
      <xdr:rowOff>3175</xdr:rowOff>
    </xdr:from>
    <xdr:to>
      <xdr:col>3</xdr:col>
      <xdr:colOff>155575</xdr:colOff>
      <xdr:row>40</xdr:row>
      <xdr:rowOff>3175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848475"/>
          <a:ext cx="1524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641350</xdr:colOff>
      <xdr:row>36</xdr:row>
      <xdr:rowOff>76200</xdr:rowOff>
    </xdr:from>
    <xdr:to>
      <xdr:col>3</xdr:col>
      <xdr:colOff>250825</xdr:colOff>
      <xdr:row>37</xdr:row>
      <xdr:rowOff>92075</xdr:rowOff>
    </xdr:to>
    <xdr:pic>
      <xdr:nvPicPr>
        <xdr:cNvPr id="5" name="Obrázek 16" descr="Notice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4135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615950</xdr:colOff>
      <xdr:row>112</xdr:row>
      <xdr:rowOff>196850</xdr:rowOff>
    </xdr:from>
    <xdr:ext cx="257175" cy="269875"/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93421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114300</xdr:colOff>
      <xdr:row>104</xdr:row>
      <xdr:rowOff>228600</xdr:rowOff>
    </xdr:from>
    <xdr:to>
      <xdr:col>2</xdr:col>
      <xdr:colOff>626981</xdr:colOff>
      <xdr:row>108</xdr:row>
      <xdr:rowOff>178893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" y="17494250"/>
          <a:ext cx="1261981" cy="89009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23</xdr:row>
      <xdr:rowOff>180975</xdr:rowOff>
    </xdr:from>
    <xdr:to>
      <xdr:col>12</xdr:col>
      <xdr:colOff>266700</xdr:colOff>
      <xdr:row>25</xdr:row>
      <xdr:rowOff>9525</xdr:rowOff>
    </xdr:to>
    <xdr:pic>
      <xdr:nvPicPr>
        <xdr:cNvPr id="174332" name="Obrázek 9">
          <a:extLst>
            <a:ext uri="{FF2B5EF4-FFF2-40B4-BE49-F238E27FC236}">
              <a16:creationId xmlns:a16="http://schemas.microsoft.com/office/drawing/2014/main" id="{00000000-0008-0000-2700-0000FC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381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285750</xdr:colOff>
      <xdr:row>20</xdr:row>
      <xdr:rowOff>180975</xdr:rowOff>
    </xdr:from>
    <xdr:to>
      <xdr:col>12</xdr:col>
      <xdr:colOff>514350</xdr:colOff>
      <xdr:row>22</xdr:row>
      <xdr:rowOff>9525</xdr:rowOff>
    </xdr:to>
    <xdr:pic>
      <xdr:nvPicPr>
        <xdr:cNvPr id="174333" name="Obrázek 35">
          <a:extLst>
            <a:ext uri="{FF2B5EF4-FFF2-40B4-BE49-F238E27FC236}">
              <a16:creationId xmlns:a16="http://schemas.microsoft.com/office/drawing/2014/main" id="{00000000-0008-0000-2700-0000FD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13</xdr:row>
      <xdr:rowOff>190500</xdr:rowOff>
    </xdr:from>
    <xdr:to>
      <xdr:col>12</xdr:col>
      <xdr:colOff>266700</xdr:colOff>
      <xdr:row>15</xdr:row>
      <xdr:rowOff>19050</xdr:rowOff>
    </xdr:to>
    <xdr:pic>
      <xdr:nvPicPr>
        <xdr:cNvPr id="174334" name="Obrázek 44">
          <a:extLst>
            <a:ext uri="{FF2B5EF4-FFF2-40B4-BE49-F238E27FC236}">
              <a16:creationId xmlns:a16="http://schemas.microsoft.com/office/drawing/2014/main" id="{00000000-0008-0000-2700-0000FE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486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16</xdr:row>
      <xdr:rowOff>190500</xdr:rowOff>
    </xdr:from>
    <xdr:to>
      <xdr:col>12</xdr:col>
      <xdr:colOff>266700</xdr:colOff>
      <xdr:row>18</xdr:row>
      <xdr:rowOff>19050</xdr:rowOff>
    </xdr:to>
    <xdr:pic>
      <xdr:nvPicPr>
        <xdr:cNvPr id="174335" name="Obrázek 44">
          <a:extLst>
            <a:ext uri="{FF2B5EF4-FFF2-40B4-BE49-F238E27FC236}">
              <a16:creationId xmlns:a16="http://schemas.microsoft.com/office/drawing/2014/main" id="{00000000-0008-0000-2700-0000FF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048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20</xdr:row>
      <xdr:rowOff>180975</xdr:rowOff>
    </xdr:from>
    <xdr:to>
      <xdr:col>12</xdr:col>
      <xdr:colOff>266700</xdr:colOff>
      <xdr:row>22</xdr:row>
      <xdr:rowOff>9525</xdr:rowOff>
    </xdr:to>
    <xdr:pic>
      <xdr:nvPicPr>
        <xdr:cNvPr id="174336" name="Obrázek 44">
          <a:extLst>
            <a:ext uri="{FF2B5EF4-FFF2-40B4-BE49-F238E27FC236}">
              <a16:creationId xmlns:a16="http://schemas.microsoft.com/office/drawing/2014/main" id="{00000000-0008-0000-2700-000000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195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</xdr:row>
      <xdr:rowOff>190500</xdr:rowOff>
    </xdr:from>
    <xdr:to>
      <xdr:col>5</xdr:col>
      <xdr:colOff>381000</xdr:colOff>
      <xdr:row>11</xdr:row>
      <xdr:rowOff>133350</xdr:rowOff>
    </xdr:to>
    <xdr:pic>
      <xdr:nvPicPr>
        <xdr:cNvPr id="174337" name="Picture 11" descr="A-L helper">
          <a:extLst>
            <a:ext uri="{FF2B5EF4-FFF2-40B4-BE49-F238E27FC236}">
              <a16:creationId xmlns:a16="http://schemas.microsoft.com/office/drawing/2014/main" id="{00000000-0008-0000-2700-000001A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52425"/>
          <a:ext cx="30670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0</xdr:col>
      <xdr:colOff>0</xdr:colOff>
      <xdr:row>7</xdr:row>
      <xdr:rowOff>0</xdr:rowOff>
    </xdr:to>
    <xdr:pic>
      <xdr:nvPicPr>
        <xdr:cNvPr id="175314" name="Obrázek 14">
          <a:extLst>
            <a:ext uri="{FF2B5EF4-FFF2-40B4-BE49-F238E27FC236}">
              <a16:creationId xmlns:a16="http://schemas.microsoft.com/office/drawing/2014/main" id="{00000000-0008-0000-2800-0000D2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0</xdr:col>
      <xdr:colOff>0</xdr:colOff>
      <xdr:row>7</xdr:row>
      <xdr:rowOff>0</xdr:rowOff>
    </xdr:to>
    <xdr:pic>
      <xdr:nvPicPr>
        <xdr:cNvPr id="175315" name="Obrázek 16">
          <a:extLst>
            <a:ext uri="{FF2B5EF4-FFF2-40B4-BE49-F238E27FC236}">
              <a16:creationId xmlns:a16="http://schemas.microsoft.com/office/drawing/2014/main" id="{00000000-0008-0000-2800-0000D3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57150</xdr:rowOff>
    </xdr:from>
    <xdr:to>
      <xdr:col>0</xdr:col>
      <xdr:colOff>0</xdr:colOff>
      <xdr:row>7</xdr:row>
      <xdr:rowOff>0</xdr:rowOff>
    </xdr:to>
    <xdr:pic>
      <xdr:nvPicPr>
        <xdr:cNvPr id="175316" name="Obrázek 18">
          <a:extLst>
            <a:ext uri="{FF2B5EF4-FFF2-40B4-BE49-F238E27FC236}">
              <a16:creationId xmlns:a16="http://schemas.microsoft.com/office/drawing/2014/main" id="{00000000-0008-0000-2800-0000D4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152400</xdr:colOff>
      <xdr:row>142</xdr:row>
      <xdr:rowOff>0</xdr:rowOff>
    </xdr:to>
    <xdr:pic>
      <xdr:nvPicPr>
        <xdr:cNvPr id="175317" name="Obrázek 28" descr="Info.gif">
          <a:extLst>
            <a:ext uri="{FF2B5EF4-FFF2-40B4-BE49-F238E27FC236}">
              <a16:creationId xmlns:a16="http://schemas.microsoft.com/office/drawing/2014/main" id="{00000000-0008-0000-2800-0000D5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076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43</xdr:row>
      <xdr:rowOff>38100</xdr:rowOff>
    </xdr:from>
    <xdr:to>
      <xdr:col>0</xdr:col>
      <xdr:colOff>0</xdr:colOff>
      <xdr:row>47</xdr:row>
      <xdr:rowOff>0</xdr:rowOff>
    </xdr:to>
    <xdr:pic>
      <xdr:nvPicPr>
        <xdr:cNvPr id="175318" name="Obrázek 14">
          <a:extLst>
            <a:ext uri="{FF2B5EF4-FFF2-40B4-BE49-F238E27FC236}">
              <a16:creationId xmlns:a16="http://schemas.microsoft.com/office/drawing/2014/main" id="{00000000-0008-0000-2800-0000D6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8</xdr:col>
      <xdr:colOff>571500</xdr:colOff>
      <xdr:row>7</xdr:row>
      <xdr:rowOff>247650</xdr:rowOff>
    </xdr:to>
    <xdr:pic>
      <xdr:nvPicPr>
        <xdr:cNvPr id="176338" name="Picture 2">
          <a:extLst>
            <a:ext uri="{FF2B5EF4-FFF2-40B4-BE49-F238E27FC236}">
              <a16:creationId xmlns:a16="http://schemas.microsoft.com/office/drawing/2014/main" id="{00000000-0008-0000-2900-0000D2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</xdr:row>
      <xdr:rowOff>0</xdr:rowOff>
    </xdr:from>
    <xdr:to>
      <xdr:col>15</xdr:col>
      <xdr:colOff>0</xdr:colOff>
      <xdr:row>7</xdr:row>
      <xdr:rowOff>247650</xdr:rowOff>
    </xdr:to>
    <xdr:pic>
      <xdr:nvPicPr>
        <xdr:cNvPr id="176339" name="Picture 3">
          <a:extLst>
            <a:ext uri="{FF2B5EF4-FFF2-40B4-BE49-F238E27FC236}">
              <a16:creationId xmlns:a16="http://schemas.microsoft.com/office/drawing/2014/main" id="{00000000-0008-0000-2900-0000D3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571500</xdr:colOff>
      <xdr:row>7</xdr:row>
      <xdr:rowOff>247650</xdr:rowOff>
    </xdr:to>
    <xdr:pic>
      <xdr:nvPicPr>
        <xdr:cNvPr id="176340" name="Picture 4">
          <a:extLst>
            <a:ext uri="{FF2B5EF4-FFF2-40B4-BE49-F238E27FC236}">
              <a16:creationId xmlns:a16="http://schemas.microsoft.com/office/drawing/2014/main" id="{00000000-0008-0000-2900-0000D4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</xdr:row>
      <xdr:rowOff>9525</xdr:rowOff>
    </xdr:from>
    <xdr:to>
      <xdr:col>10</xdr:col>
      <xdr:colOff>571500</xdr:colOff>
      <xdr:row>7</xdr:row>
      <xdr:rowOff>247650</xdr:rowOff>
    </xdr:to>
    <xdr:pic>
      <xdr:nvPicPr>
        <xdr:cNvPr id="176341" name="Picture 5">
          <a:extLst>
            <a:ext uri="{FF2B5EF4-FFF2-40B4-BE49-F238E27FC236}">
              <a16:creationId xmlns:a16="http://schemas.microsoft.com/office/drawing/2014/main" id="{00000000-0008-0000-2900-0000D5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2</xdr:row>
      <xdr:rowOff>9525</xdr:rowOff>
    </xdr:from>
    <xdr:to>
      <xdr:col>12</xdr:col>
      <xdr:colOff>571500</xdr:colOff>
      <xdr:row>7</xdr:row>
      <xdr:rowOff>247650</xdr:rowOff>
    </xdr:to>
    <xdr:pic>
      <xdr:nvPicPr>
        <xdr:cNvPr id="176342" name="Picture 6">
          <a:extLst>
            <a:ext uri="{FF2B5EF4-FFF2-40B4-BE49-F238E27FC236}">
              <a16:creationId xmlns:a16="http://schemas.microsoft.com/office/drawing/2014/main" id="{00000000-0008-0000-2900-0000D6B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302</xdr:row>
      <xdr:rowOff>9525</xdr:rowOff>
    </xdr:from>
    <xdr:to>
      <xdr:col>1</xdr:col>
      <xdr:colOff>190500</xdr:colOff>
      <xdr:row>303</xdr:row>
      <xdr:rowOff>19050</xdr:rowOff>
    </xdr:to>
    <xdr:pic>
      <xdr:nvPicPr>
        <xdr:cNvPr id="72203" name="Obrázek 1" descr="Tip.gif">
          <a:extLst>
            <a:ext uri="{FF2B5EF4-FFF2-40B4-BE49-F238E27FC236}">
              <a16:creationId xmlns:a16="http://schemas.microsoft.com/office/drawing/2014/main" id="{00000000-0008-0000-2A00-00000B1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944427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635000</xdr:colOff>
      <xdr:row>305</xdr:row>
      <xdr:rowOff>133350</xdr:rowOff>
    </xdr:from>
    <xdr:to>
      <xdr:col>11</xdr:col>
      <xdr:colOff>0</xdr:colOff>
      <xdr:row>307</xdr:row>
      <xdr:rowOff>25400</xdr:rowOff>
    </xdr:to>
    <xdr:sp macro="[0]!Ordering" textlink="">
      <xdr:nvSpPr>
        <xdr:cNvPr id="72204" name="Rectangle 8">
          <a:extLst>
            <a:ext uri="{FF2B5EF4-FFF2-40B4-BE49-F238E27FC236}">
              <a16:creationId xmlns:a16="http://schemas.microsoft.com/office/drawing/2014/main" id="{00000000-0008-0000-2A00-00000C1A0100}"/>
            </a:ext>
          </a:extLst>
        </xdr:cNvPr>
        <xdr:cNvSpPr>
          <a:spLocks noChangeArrowheads="1"/>
        </xdr:cNvSpPr>
      </xdr:nvSpPr>
      <xdr:spPr bwMode="auto">
        <a:xfrm>
          <a:off x="6254750" y="49206150"/>
          <a:ext cx="1670050" cy="1841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0</xdr:rowOff>
    </xdr:from>
    <xdr:to>
      <xdr:col>6</xdr:col>
      <xdr:colOff>9525</xdr:colOff>
      <xdr:row>14</xdr:row>
      <xdr:rowOff>60325</xdr:rowOff>
    </xdr:to>
    <xdr:pic>
      <xdr:nvPicPr>
        <xdr:cNvPr id="109063" name="Picture 3" descr="7D MV">
          <a:extLst>
            <a:ext uri="{FF2B5EF4-FFF2-40B4-BE49-F238E27FC236}">
              <a16:creationId xmlns:a16="http://schemas.microsoft.com/office/drawing/2014/main" id="{00000000-0008-0000-0400-000007A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7200"/>
          <a:ext cx="300037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39</xdr:row>
      <xdr:rowOff>28575</xdr:rowOff>
    </xdr:from>
    <xdr:to>
      <xdr:col>3</xdr:col>
      <xdr:colOff>161925</xdr:colOff>
      <xdr:row>40</xdr:row>
      <xdr:rowOff>31750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175" y="65881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11</xdr:row>
      <xdr:rowOff>152400</xdr:rowOff>
    </xdr:from>
    <xdr:to>
      <xdr:col>6</xdr:col>
      <xdr:colOff>609600</xdr:colOff>
      <xdr:row>12</xdr:row>
      <xdr:rowOff>152400</xdr:rowOff>
    </xdr:to>
    <xdr:pic>
      <xdr:nvPicPr>
        <xdr:cNvPr id="7" name="Obrázek 28" descr="Info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213360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93040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685800</xdr:colOff>
      <xdr:row>36</xdr:row>
      <xdr:rowOff>107950</xdr:rowOff>
    </xdr:from>
    <xdr:to>
      <xdr:col>3</xdr:col>
      <xdr:colOff>244475</xdr:colOff>
      <xdr:row>37</xdr:row>
      <xdr:rowOff>123825</xdr:rowOff>
    </xdr:to>
    <xdr:pic>
      <xdr:nvPicPr>
        <xdr:cNvPr id="9" name="Obrázek 16" descr="Notice.gif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" y="64770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105</xdr:row>
      <xdr:rowOff>114300</xdr:rowOff>
    </xdr:from>
    <xdr:to>
      <xdr:col>2</xdr:col>
      <xdr:colOff>652381</xdr:colOff>
      <xdr:row>109</xdr:row>
      <xdr:rowOff>13793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6550" y="17710150"/>
          <a:ext cx="1261981" cy="8900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6</xdr:col>
      <xdr:colOff>0</xdr:colOff>
      <xdr:row>15</xdr:row>
      <xdr:rowOff>69850</xdr:rowOff>
    </xdr:to>
    <xdr:pic>
      <xdr:nvPicPr>
        <xdr:cNvPr id="112135" name="Picture 3" descr="7D K">
          <a:extLst>
            <a:ext uri="{FF2B5EF4-FFF2-40B4-BE49-F238E27FC236}">
              <a16:creationId xmlns:a16="http://schemas.microsoft.com/office/drawing/2014/main" id="{00000000-0008-0000-0500-000007B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7200"/>
          <a:ext cx="30956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39</xdr:row>
      <xdr:rowOff>9525</xdr:rowOff>
    </xdr:from>
    <xdr:to>
      <xdr:col>3</xdr:col>
      <xdr:colOff>161925</xdr:colOff>
      <xdr:row>40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96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673100</xdr:colOff>
      <xdr:row>36</xdr:row>
      <xdr:rowOff>69850</xdr:rowOff>
    </xdr:from>
    <xdr:to>
      <xdr:col>3</xdr:col>
      <xdr:colOff>231775</xdr:colOff>
      <xdr:row>37</xdr:row>
      <xdr:rowOff>85725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4389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105</xdr:row>
      <xdr:rowOff>127000</xdr:rowOff>
    </xdr:from>
    <xdr:to>
      <xdr:col>2</xdr:col>
      <xdr:colOff>671431</xdr:colOff>
      <xdr:row>109</xdr:row>
      <xdr:rowOff>26493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5600" y="17633950"/>
          <a:ext cx="1261981" cy="8900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16</xdr:row>
      <xdr:rowOff>79375</xdr:rowOff>
    </xdr:to>
    <xdr:pic>
      <xdr:nvPicPr>
        <xdr:cNvPr id="112902" name="Picture 4" descr="7D C">
          <a:extLst>
            <a:ext uri="{FF2B5EF4-FFF2-40B4-BE49-F238E27FC236}">
              <a16:creationId xmlns:a16="http://schemas.microsoft.com/office/drawing/2014/main" id="{00000000-0008-0000-0600-000006B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96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679450</xdr:colOff>
      <xdr:row>38</xdr:row>
      <xdr:rowOff>69850</xdr:rowOff>
    </xdr:from>
    <xdr:to>
      <xdr:col>3</xdr:col>
      <xdr:colOff>238125</xdr:colOff>
      <xdr:row>39</xdr:row>
      <xdr:rowOff>85725</xdr:rowOff>
    </xdr:to>
    <xdr:pic>
      <xdr:nvPicPr>
        <xdr:cNvPr id="9" name="Obrázek 16" descr="Notice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67373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105</xdr:row>
      <xdr:rowOff>127000</xdr:rowOff>
    </xdr:from>
    <xdr:to>
      <xdr:col>2</xdr:col>
      <xdr:colOff>665081</xdr:colOff>
      <xdr:row>109</xdr:row>
      <xdr:rowOff>26493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250" y="17627600"/>
          <a:ext cx="1261981" cy="8900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6</xdr:col>
      <xdr:colOff>0</xdr:colOff>
      <xdr:row>16</xdr:row>
      <xdr:rowOff>79375</xdr:rowOff>
    </xdr:to>
    <xdr:pic>
      <xdr:nvPicPr>
        <xdr:cNvPr id="138643" name="Obrázek 2">
          <a:extLst>
            <a:ext uri="{FF2B5EF4-FFF2-40B4-BE49-F238E27FC236}">
              <a16:creationId xmlns:a16="http://schemas.microsoft.com/office/drawing/2014/main" id="{00000000-0008-0000-0700-0000931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7200"/>
          <a:ext cx="31051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42</xdr:row>
      <xdr:rowOff>9525</xdr:rowOff>
    </xdr:from>
    <xdr:to>
      <xdr:col>3</xdr:col>
      <xdr:colOff>161925</xdr:colOff>
      <xdr:row>43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96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112</xdr:row>
      <xdr:rowOff>196850</xdr:rowOff>
    </xdr:from>
    <xdr:ext cx="257175" cy="269875"/>
    <xdr:pic>
      <xdr:nvPicPr>
        <xdr:cNvPr id="7" name="Obrázek 16" descr="Notice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666750</xdr:colOff>
      <xdr:row>38</xdr:row>
      <xdr:rowOff>88900</xdr:rowOff>
    </xdr:from>
    <xdr:to>
      <xdr:col>3</xdr:col>
      <xdr:colOff>225425</xdr:colOff>
      <xdr:row>39</xdr:row>
      <xdr:rowOff>104775</xdr:rowOff>
    </xdr:to>
    <xdr:pic>
      <xdr:nvPicPr>
        <xdr:cNvPr id="8" name="Obrázek 16" descr="Notice.gif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67754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105</xdr:row>
      <xdr:rowOff>120650</xdr:rowOff>
    </xdr:from>
    <xdr:to>
      <xdr:col>2</xdr:col>
      <xdr:colOff>671431</xdr:colOff>
      <xdr:row>109</xdr:row>
      <xdr:rowOff>20143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5600" y="17653000"/>
          <a:ext cx="1261981" cy="8900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46</xdr:row>
      <xdr:rowOff>9525</xdr:rowOff>
    </xdr:from>
    <xdr:to>
      <xdr:col>1</xdr:col>
      <xdr:colOff>247650</xdr:colOff>
      <xdr:row>46</xdr:row>
      <xdr:rowOff>174625</xdr:rowOff>
    </xdr:to>
    <xdr:pic>
      <xdr:nvPicPr>
        <xdr:cNvPr id="170194" name="Obrázek 28" descr="Info.gif">
          <a:extLst>
            <a:ext uri="{FF2B5EF4-FFF2-40B4-BE49-F238E27FC236}">
              <a16:creationId xmlns:a16="http://schemas.microsoft.com/office/drawing/2014/main" id="{00000000-0008-0000-0800-0000D2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867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152400</xdr:rowOff>
    </xdr:from>
    <xdr:to>
      <xdr:col>6</xdr:col>
      <xdr:colOff>628650</xdr:colOff>
      <xdr:row>10</xdr:row>
      <xdr:rowOff>142875</xdr:rowOff>
    </xdr:to>
    <xdr:pic>
      <xdr:nvPicPr>
        <xdr:cNvPr id="170195" name="Obrázek 28" descr="Info.gif">
          <a:extLst>
            <a:ext uri="{FF2B5EF4-FFF2-40B4-BE49-F238E27FC236}">
              <a16:creationId xmlns:a16="http://schemas.microsoft.com/office/drawing/2014/main" id="{00000000-0008-0000-0800-0000D3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7811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2</xdr:row>
      <xdr:rowOff>0</xdr:rowOff>
    </xdr:from>
    <xdr:to>
      <xdr:col>6</xdr:col>
      <xdr:colOff>0</xdr:colOff>
      <xdr:row>16</xdr:row>
      <xdr:rowOff>31750</xdr:rowOff>
    </xdr:to>
    <xdr:pic>
      <xdr:nvPicPr>
        <xdr:cNvPr id="170196" name="Picture 10" descr="7D CVv">
          <a:extLst>
            <a:ext uri="{FF2B5EF4-FFF2-40B4-BE49-F238E27FC236}">
              <a16:creationId xmlns:a16="http://schemas.microsoft.com/office/drawing/2014/main" id="{00000000-0008-0000-0800-0000D49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7200"/>
          <a:ext cx="3009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41</xdr:row>
      <xdr:rowOff>9525</xdr:rowOff>
    </xdr:from>
    <xdr:to>
      <xdr:col>3</xdr:col>
      <xdr:colOff>161925</xdr:colOff>
      <xdr:row>42</xdr:row>
      <xdr:rowOff>9525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96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615950</xdr:colOff>
      <xdr:row>113</xdr:row>
      <xdr:rowOff>196850</xdr:rowOff>
    </xdr:from>
    <xdr:ext cx="257175" cy="269875"/>
    <xdr:pic>
      <xdr:nvPicPr>
        <xdr:cNvPr id="10" name="Obrázek 16" descr="Notice.gif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948815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685800</xdr:colOff>
      <xdr:row>38</xdr:row>
      <xdr:rowOff>88900</xdr:rowOff>
    </xdr:from>
    <xdr:to>
      <xdr:col>3</xdr:col>
      <xdr:colOff>244475</xdr:colOff>
      <xdr:row>39</xdr:row>
      <xdr:rowOff>104775</xdr:rowOff>
    </xdr:to>
    <xdr:pic>
      <xdr:nvPicPr>
        <xdr:cNvPr id="11" name="Obrázek 16" descr="Notice.gif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" y="6781800"/>
          <a:ext cx="2571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106</xdr:row>
      <xdr:rowOff>133350</xdr:rowOff>
    </xdr:from>
    <xdr:to>
      <xdr:col>2</xdr:col>
      <xdr:colOff>652381</xdr:colOff>
      <xdr:row>110</xdr:row>
      <xdr:rowOff>32843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6550" y="18116550"/>
          <a:ext cx="1261981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objednavky@demos-trade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Z441"/>
  <sheetViews>
    <sheetView showGridLines="0" showRowColHeaders="0" tabSelected="1" workbookViewId="0"/>
  </sheetViews>
  <sheetFormatPr defaultColWidth="9.1796875" defaultRowHeight="12.5" x14ac:dyDescent="0.25"/>
  <cols>
    <col min="1" max="1" width="3.26953125" style="2" customWidth="1"/>
    <col min="2" max="3" width="11.26953125" style="2" customWidth="1"/>
    <col min="4" max="4" width="1.81640625" style="2" customWidth="1"/>
    <col min="5" max="6" width="11.26953125" style="2" customWidth="1"/>
    <col min="7" max="7" width="1.81640625" style="2" customWidth="1"/>
    <col min="8" max="10" width="7.453125" style="2" customWidth="1"/>
    <col min="11" max="11" width="9.1796875" style="2"/>
    <col min="12" max="12" width="26.26953125" style="2" customWidth="1"/>
    <col min="13" max="13" width="0" style="2" hidden="1" customWidth="1"/>
    <col min="14" max="16" width="9.1796875" style="2" hidden="1" customWidth="1"/>
    <col min="17" max="17" width="15.1796875" style="2" hidden="1" customWidth="1"/>
    <col min="18" max="19" width="9.1796875" style="2" hidden="1" customWidth="1"/>
    <col min="20" max="20" width="7.26953125" style="2" hidden="1" customWidth="1"/>
    <col min="21" max="22" width="9.1796875" style="2" hidden="1" customWidth="1"/>
    <col min="23" max="23" width="6.7265625" style="2" hidden="1" customWidth="1"/>
    <col min="24" max="26" width="9.1796875" style="2" hidden="1" customWidth="1"/>
    <col min="27" max="16384" width="9.1796875" style="2"/>
  </cols>
  <sheetData>
    <row r="1" spans="1:24" ht="13" x14ac:dyDescent="0.3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R1" s="760" t="s">
        <v>1272</v>
      </c>
      <c r="U1" s="760" t="s">
        <v>1273</v>
      </c>
      <c r="X1" s="760" t="s">
        <v>1271</v>
      </c>
    </row>
    <row r="2" spans="1:24" ht="15" customHeight="1" x14ac:dyDescent="0.3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54" t="str">
        <f>" "&amp;List!$B$24</f>
        <v xml:space="preserve"> Základní údaje</v>
      </c>
      <c r="M2" s="117"/>
      <c r="O2" s="107">
        <v>1</v>
      </c>
      <c r="P2" s="752" t="str">
        <f>IF($O$2=1,P3,IF($O$2=2,P4,IF($O$2=3,P5,IF($O$2=4,P6,P7))))</f>
        <v>Orion šedá (OG-M)</v>
      </c>
      <c r="R2" s="752" t="str">
        <f>IF(OR($O$2=1,$O$2=4),R3,IF($O$2=2,R4,IF(OR($O$2=3,$O$2=5),R5,"x")))</f>
        <v>Nebraska dub/OG-M</v>
      </c>
      <c r="U2" s="752" t="str">
        <f>IF($O$2=1,U3,IF($O$2=2,U4,IF($O$2=3,U5,IF($O$2=4,U6,U7))))</f>
        <v>Orion šedá (OG-M)</v>
      </c>
      <c r="X2" s="752" t="str">
        <f>IF($O$2=1,X3,IF($O$2=2,X4,IF($O$2=3,X5,IF($O$2=4,X6,X7))))</f>
        <v>Orion šedá (OG-M)</v>
      </c>
    </row>
    <row r="3" spans="1:24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824" t="str">
        <f>List!$B$3</f>
        <v>Údaje pro objednávku, zadání slevy od prodejce</v>
      </c>
      <c r="M3" s="117"/>
      <c r="P3" s="2" t="str">
        <f>List!$B$28&amp;" (OG-M)"</f>
        <v>Orion šedá (OG-M)</v>
      </c>
      <c r="R3" s="2" t="str">
        <f>List!B33</f>
        <v>Nebraska dub/OG-M</v>
      </c>
      <c r="U3" s="2" t="str">
        <f>List!$B$28&amp;" (OG-M)"</f>
        <v>Orion šedá (OG-M)</v>
      </c>
      <c r="X3" s="2" t="str">
        <f>List!$B$28&amp;" (OG-M)"</f>
        <v>Orion šedá (OG-M)</v>
      </c>
    </row>
    <row r="4" spans="1:24" ht="1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825"/>
      <c r="M4" s="117"/>
      <c r="P4" s="2" t="str">
        <f>List!$B$29&amp;" (SW-M)"</f>
        <v>hedvábně bílá (SW-M)</v>
      </c>
      <c r="R4" s="2" t="str">
        <f>List!B34</f>
        <v>Bardolino dub/SW-M</v>
      </c>
      <c r="U4" s="2" t="str">
        <f>List!$B$29&amp;" (SW-M)"</f>
        <v>hedvábně bílá (SW-M)</v>
      </c>
      <c r="X4" s="2" t="str">
        <f>List!$B$29&amp;" (SW-M)"</f>
        <v>hedvábně bílá (SW-M)</v>
      </c>
    </row>
    <row r="5" spans="1:24" ht="1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M5" s="117"/>
      <c r="P5" s="2" t="str">
        <f>List!$B$30&amp;" (TS-M)"</f>
        <v>Terra černá  (TS-M)</v>
      </c>
      <c r="R5" s="2" t="str">
        <f>List!B35</f>
        <v>Tennessee ořech/TS-M</v>
      </c>
      <c r="U5" s="2" t="str">
        <f>List!$B$30&amp;" (TS-M)"</f>
        <v>Terra černá  (TS-M)</v>
      </c>
      <c r="X5" s="2" t="str">
        <f>List!$B$30&amp;" (TS-M)"</f>
        <v>Terra černá  (TS-M)</v>
      </c>
    </row>
    <row r="6" spans="1:24" ht="1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2" t="str">
        <f>List!$B$12&amp;":"</f>
        <v>Pokračovat na:</v>
      </c>
      <c r="M6" s="117"/>
      <c r="P6" s="2" t="str">
        <f>List!$B$31&amp;" (PS-M)"</f>
        <v>Polární stříbrná (PS-M)</v>
      </c>
      <c r="U6" s="2" t="str">
        <f>List!$B$28&amp;" (OG-M)"</f>
        <v>Orion šedá (OG-M)</v>
      </c>
      <c r="X6" s="2" t="str">
        <f>List!$B$31&amp;" (PS-M)"</f>
        <v>Polární stříbrná (PS-M)</v>
      </c>
    </row>
    <row r="7" spans="1:24" ht="1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54" t="str">
        <f>" "&amp;List!$B$4</f>
        <v xml:space="preserve"> Výběr zásuvek a výsuvů</v>
      </c>
      <c r="M7" s="117"/>
      <c r="P7" s="2" t="str">
        <f>List!$B$32&amp;" (INGL)"</f>
        <v>Inox (INGL)</v>
      </c>
      <c r="U7" s="2" t="str">
        <f>List!$B$30&amp;" (TS-M)"</f>
        <v>Terra černá  (TS-M)</v>
      </c>
      <c r="X7" s="2" t="str">
        <f>List!$B$30&amp;" (TS-M)"</f>
        <v>Terra černá  (TS-M)</v>
      </c>
    </row>
    <row r="8" spans="1:24" ht="1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96"/>
      <c r="M8" s="117"/>
    </row>
    <row r="9" spans="1:24" ht="15" customHeight="1" thickBot="1" x14ac:dyDescent="0.3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49" t="str">
        <f>" "&amp;List!$B$5</f>
        <v xml:space="preserve"> Výběr doplňků</v>
      </c>
      <c r="M9" s="117"/>
      <c r="O9" s="107">
        <v>1</v>
      </c>
      <c r="P9" s="2" t="str">
        <f>IF(O9=1,O10,IF(O9=2,O11,O12))</f>
        <v>čiré</v>
      </c>
      <c r="U9" s="104">
        <v>2</v>
      </c>
    </row>
    <row r="10" spans="1:24" ht="15" customHeight="1" thickBot="1" x14ac:dyDescent="0.3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49" t="str">
        <f>" "&amp;List!$B$6</f>
        <v xml:space="preserve"> Výběr SERVO-DRIVE</v>
      </c>
      <c r="M10" s="117"/>
      <c r="O10" s="2" t="str">
        <f>List!B37</f>
        <v>čiré</v>
      </c>
      <c r="U10" s="105" t="s">
        <v>169</v>
      </c>
    </row>
    <row r="11" spans="1:24" ht="15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503" t="str">
        <f>" "&amp;List!$B$7</f>
        <v xml:space="preserve"> Výběr AMBIA-LINE</v>
      </c>
      <c r="M11" s="117"/>
      <c r="O11" s="2" t="str">
        <f>List!B38</f>
        <v>saténované</v>
      </c>
    </row>
    <row r="12" spans="1:24" ht="15" customHeight="1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M12" s="117"/>
    </row>
    <row r="13" spans="1:24" ht="1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22" t="str">
        <f>" "&amp;List!$B$16</f>
        <v xml:space="preserve"> Nápověda</v>
      </c>
      <c r="M13" s="117"/>
      <c r="T13" s="106"/>
    </row>
    <row r="14" spans="1:24" ht="21" customHeight="1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M14" s="117"/>
      <c r="O14" s="107">
        <v>1</v>
      </c>
      <c r="P14" s="2" t="str">
        <f>IF(AND(R14=1, O14=1), O15,IF(AND(R14=1, O14=2), O16, O20))</f>
        <v>na vruty</v>
      </c>
      <c r="R14" s="107">
        <v>1</v>
      </c>
      <c r="S14" s="2" t="str">
        <f>IF(R14=1,R18,IF(R14=2,R19,R20))</f>
        <v>Standardní materiály</v>
      </c>
    </row>
    <row r="15" spans="1:24" ht="29.25" customHeight="1" x14ac:dyDescent="0.25">
      <c r="A15" s="117"/>
      <c r="C15" s="117"/>
      <c r="D15" s="117"/>
      <c r="E15" s="117"/>
      <c r="F15" s="117"/>
      <c r="G15" s="117"/>
      <c r="H15" s="117"/>
      <c r="I15" s="117"/>
      <c r="J15" s="117"/>
      <c r="K15" s="117"/>
      <c r="M15" s="117"/>
      <c r="O15" s="2" t="str">
        <f>IF($R$14=1, List!B41, " ")</f>
        <v>na vruty</v>
      </c>
      <c r="R15" s="2" t="str">
        <f>List!B46&amp;" *"</f>
        <v>Standardní materiály *</v>
      </c>
    </row>
    <row r="16" spans="1:24" ht="18" customHeight="1" x14ac:dyDescent="0.5">
      <c r="A16" s="117"/>
      <c r="B16" s="811"/>
      <c r="C16" s="233"/>
      <c r="D16" s="233"/>
      <c r="E16" s="233"/>
      <c r="F16" s="233"/>
      <c r="G16" s="233"/>
      <c r="H16" s="233"/>
      <c r="I16" s="233"/>
      <c r="J16" s="233"/>
      <c r="K16" s="233"/>
      <c r="L16" s="547"/>
      <c r="M16" s="117"/>
      <c r="O16" s="2" t="str">
        <f>IF($R$14=1, "EXPANDO", " ")</f>
        <v>EXPANDO</v>
      </c>
      <c r="R16" s="2" t="str">
        <f>List!B47&amp;" *"</f>
        <v>Tenké materiály *</v>
      </c>
    </row>
    <row r="17" spans="1:18" ht="15" customHeight="1" x14ac:dyDescent="0.35">
      <c r="A17" s="117"/>
      <c r="C17" s="233"/>
      <c r="D17" s="233"/>
      <c r="E17" s="233"/>
      <c r="F17" s="233"/>
      <c r="I17" s="195" t="str">
        <f>List!$B$254&amp;" "</f>
        <v xml:space="preserve">Verze </v>
      </c>
      <c r="J17" s="540" t="s">
        <v>1428</v>
      </c>
      <c r="K17" s="648"/>
      <c r="L17" s="539"/>
      <c r="M17" s="117"/>
    </row>
    <row r="18" spans="1:18" ht="15" customHeight="1" x14ac:dyDescent="0.25">
      <c r="A18" s="117"/>
      <c r="B18" s="117" t="str">
        <f>List!$B$27&amp;":"</f>
        <v>barva:</v>
      </c>
      <c r="C18" s="117"/>
      <c r="D18" s="117"/>
      <c r="E18" s="117" t="str">
        <f>List!$B$82&amp;":"</f>
        <v>provedení čel:</v>
      </c>
      <c r="F18" s="117"/>
      <c r="H18" s="117" t="str">
        <f>IF(R14=1, List!$B$40&amp;":", " ")</f>
        <v>čelní kování:</v>
      </c>
      <c r="I18" s="117"/>
      <c r="J18" s="117"/>
      <c r="K18" s="117"/>
      <c r="L18" s="117"/>
      <c r="M18" s="117"/>
      <c r="R18" s="2" t="str">
        <f>List!B46</f>
        <v>Standardní materiály</v>
      </c>
    </row>
    <row r="19" spans="1:18" ht="16" customHeight="1" x14ac:dyDescent="0.2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M19" s="117"/>
      <c r="R19" s="2" t="str">
        <f>List!B47</f>
        <v>Tenké materiály</v>
      </c>
    </row>
    <row r="20" spans="1:18" ht="13.5" customHeight="1" x14ac:dyDescent="0.25">
      <c r="A20" s="117"/>
      <c r="B20" s="117"/>
      <c r="C20" s="117"/>
      <c r="D20" s="117"/>
      <c r="E20" s="199" t="str">
        <f>IF($R$14=1, "* "&amp;List!B282, "* "&amp;List!B283)</f>
        <v>* materiály tloušťky od 15 mm</v>
      </c>
      <c r="F20" s="117"/>
      <c r="G20" s="117"/>
      <c r="H20" s="117"/>
      <c r="I20" s="117"/>
      <c r="J20" s="117"/>
      <c r="K20" s="117"/>
      <c r="L20" s="117"/>
      <c r="M20" s="117"/>
      <c r="O20" s="2" t="s">
        <v>1418</v>
      </c>
    </row>
    <row r="21" spans="1:18" ht="13.5" customHeight="1" x14ac:dyDescent="0.2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</row>
    <row r="22" spans="1:18" ht="13.5" customHeight="1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8" ht="15.75" customHeight="1" x14ac:dyDescent="0.35">
      <c r="A23" s="13"/>
      <c r="B23" s="830" t="str">
        <f>List!$B$88&amp;": "</f>
        <v xml:space="preserve">Cenová hladina: </v>
      </c>
      <c r="C23" s="830"/>
      <c r="D23" s="790"/>
      <c r="E23" s="13"/>
      <c r="F23" s="13"/>
      <c r="I23" s="236" t="str">
        <f>List!$B$256&amp;" %"</f>
        <v>Sleva %</v>
      </c>
      <c r="J23" s="123">
        <f>IF($O$24=1,0,IF($O$24=2,$F$121,IF($O$24=3,$H$150,0)))</f>
        <v>0</v>
      </c>
      <c r="K23" s="117"/>
      <c r="L23" s="117"/>
      <c r="M23" s="117"/>
    </row>
    <row r="24" spans="1:18" ht="15" customHeight="1" x14ac:dyDescent="0.25">
      <c r="A24" s="117"/>
      <c r="B24" s="831" t="str">
        <f>IF(O24=2,List!$B$94&amp;" ["&amp;List!$B$24&amp;"]",IF(O24=3,IF(J23=0,List!$B$92,List!$B$93)," "))</f>
        <v xml:space="preserve"> </v>
      </c>
      <c r="C24" s="831"/>
      <c r="D24" s="831"/>
      <c r="E24" s="831"/>
      <c r="F24" s="831"/>
      <c r="G24" s="831"/>
      <c r="H24" s="831"/>
      <c r="I24" s="117"/>
      <c r="J24" s="117"/>
      <c r="K24" s="117"/>
      <c r="L24" s="117"/>
      <c r="M24" s="117"/>
      <c r="O24" s="156">
        <v>1</v>
      </c>
    </row>
    <row r="25" spans="1:18" ht="13.5" customHeight="1" x14ac:dyDescent="0.25">
      <c r="A25" s="117"/>
      <c r="C25" s="117"/>
      <c r="D25" s="117"/>
      <c r="E25" s="117"/>
      <c r="F25" s="117"/>
      <c r="H25" s="155" t="str">
        <f>IF($O$24=3,List!$B$95," ")</f>
        <v xml:space="preserve"> </v>
      </c>
      <c r="I25" s="117"/>
      <c r="J25" s="117"/>
      <c r="K25" s="117"/>
      <c r="L25" s="117"/>
      <c r="M25" s="117"/>
      <c r="O25" s="2" t="str">
        <f>List!$B89</f>
        <v>Základní ceny</v>
      </c>
    </row>
    <row r="26" spans="1:18" ht="21.75" customHeight="1" x14ac:dyDescent="0.25">
      <c r="A26" s="117"/>
      <c r="B26" s="117" t="str">
        <f>List!$B$257&amp;":"</f>
        <v>Prodejce:</v>
      </c>
      <c r="I26" s="117"/>
      <c r="J26" s="117"/>
      <c r="K26" s="117"/>
      <c r="L26" s="117"/>
      <c r="M26" s="117"/>
      <c r="O26" s="2" t="str">
        <f>List!$B90</f>
        <v>Nákupní ceny</v>
      </c>
    </row>
    <row r="27" spans="1:18" ht="15" customHeight="1" x14ac:dyDescent="0.25">
      <c r="A27" s="117"/>
      <c r="B27" s="124" t="str">
        <f>IF(Price!A3&lt;&gt;0," "&amp;Price!A3," ")</f>
        <v xml:space="preserve"> Démos trade a.s.</v>
      </c>
      <c r="C27" s="124"/>
      <c r="D27" s="124"/>
      <c r="E27" s="124"/>
      <c r="F27" s="124"/>
      <c r="G27" s="142"/>
      <c r="H27" s="117"/>
      <c r="I27" s="117"/>
      <c r="J27" s="117"/>
      <c r="K27" s="117"/>
      <c r="L27" s="117"/>
      <c r="M27" s="117"/>
      <c r="O27" s="2" t="str">
        <f>List!$B91</f>
        <v>Se slevou</v>
      </c>
    </row>
    <row r="28" spans="1:18" ht="15" customHeight="1" x14ac:dyDescent="0.25">
      <c r="A28" s="117"/>
      <c r="B28" s="125" t="str">
        <f>IF(Price!A4&lt;&gt;0," "&amp;Price!A4," ")</f>
        <v xml:space="preserve"> Škrobálkova 630/13</v>
      </c>
      <c r="C28" s="125"/>
      <c r="D28" s="125"/>
      <c r="E28" s="125"/>
      <c r="F28" s="125"/>
      <c r="G28" s="142"/>
      <c r="H28" s="117"/>
      <c r="I28" s="117"/>
      <c r="J28" s="117"/>
      <c r="K28" s="117"/>
      <c r="L28" s="117"/>
      <c r="M28" s="117"/>
    </row>
    <row r="29" spans="1:18" ht="15" customHeight="1" x14ac:dyDescent="0.25">
      <c r="A29" s="117"/>
      <c r="B29" s="125" t="str">
        <f>IF(Price!A5&lt;&gt;0," "&amp;Price!A5," ")</f>
        <v xml:space="preserve"> Ostrava - Kunčice 718 00</v>
      </c>
      <c r="C29" s="125"/>
      <c r="D29" s="125"/>
      <c r="E29" s="125"/>
      <c r="F29" s="125"/>
      <c r="G29" s="142"/>
      <c r="H29" s="117"/>
      <c r="I29" s="117"/>
      <c r="J29" s="117"/>
      <c r="K29" s="117"/>
      <c r="L29" s="117"/>
      <c r="M29" s="117"/>
    </row>
    <row r="30" spans="1:18" ht="15" customHeight="1" x14ac:dyDescent="0.25">
      <c r="A30" s="117"/>
      <c r="B30" s="125" t="str">
        <f>IF(Price!A6&lt;&gt;0," "&amp;Price!A6," ")</f>
        <v xml:space="preserve"> 596223470</v>
      </c>
      <c r="C30" s="125"/>
      <c r="D30" s="125"/>
      <c r="E30" s="125"/>
      <c r="F30" s="125"/>
      <c r="G30" s="142"/>
      <c r="H30" s="117"/>
      <c r="I30" s="117"/>
      <c r="J30" s="117"/>
      <c r="K30" s="117"/>
      <c r="L30" s="117"/>
      <c r="M30" s="117"/>
    </row>
    <row r="31" spans="1:18" ht="15" customHeight="1" x14ac:dyDescent="0.3">
      <c r="A31" s="117"/>
      <c r="B31" s="125" t="str">
        <f>IF(Price!A7&lt;&gt;0," "&amp;Price!A7," ")</f>
        <v xml:space="preserve"> objednavky@demos-trade.com</v>
      </c>
      <c r="C31" s="125"/>
      <c r="D31" s="125"/>
      <c r="E31" s="125"/>
      <c r="F31" s="125"/>
      <c r="G31" s="142"/>
      <c r="H31" s="117"/>
      <c r="I31" s="117"/>
      <c r="J31" s="117"/>
      <c r="K31" s="117"/>
      <c r="L31" s="117"/>
      <c r="M31" s="117"/>
      <c r="O31" s="109"/>
    </row>
    <row r="32" spans="1:18" ht="15" customHeight="1" x14ac:dyDescent="0.3">
      <c r="A32" s="117"/>
      <c r="B32" s="126" t="str">
        <f>IF(Price!A8&lt;&gt;0," "&amp;Price!A8," ")</f>
        <v xml:space="preserve"> </v>
      </c>
      <c r="C32" s="126"/>
      <c r="D32" s="126"/>
      <c r="E32" s="126"/>
      <c r="F32" s="126"/>
      <c r="G32" s="142"/>
      <c r="H32" s="117"/>
      <c r="I32" s="117"/>
      <c r="J32" s="117"/>
      <c r="K32" s="117"/>
      <c r="L32" s="117"/>
      <c r="M32" s="117"/>
      <c r="O32" s="109"/>
    </row>
    <row r="33" spans="1:13" ht="15" customHeight="1" x14ac:dyDescent="0.2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ht="15" customHeight="1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</row>
    <row r="35" spans="1:13" ht="15" customHeigh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13" ht="15" customHeight="1" x14ac:dyDescent="0.2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13" ht="15" customHeight="1" x14ac:dyDescent="0.2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13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  <row r="39" spans="1:13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</row>
    <row r="40" spans="1:13" x14ac:dyDescent="0.25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</row>
    <row r="41" spans="1:13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</row>
    <row r="42" spans="1:13" x14ac:dyDescent="0.2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</row>
    <row r="43" spans="1:13" x14ac:dyDescent="0.25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</row>
    <row r="44" spans="1:13" x14ac:dyDescent="0.25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3" x14ac:dyDescent="0.25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13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</row>
    <row r="47" spans="1:13" x14ac:dyDescent="0.25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</row>
    <row r="48" spans="1:13" x14ac:dyDescent="0.25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</row>
    <row r="49" spans="1:13" x14ac:dyDescent="0.25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</row>
    <row r="50" spans="1:13" x14ac:dyDescent="0.2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3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3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</row>
    <row r="53" spans="1:13" x14ac:dyDescent="0.25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</row>
    <row r="54" spans="1:13" x14ac:dyDescent="0.2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</row>
    <row r="55" spans="1:13" x14ac:dyDescent="0.25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</row>
    <row r="56" spans="1:13" x14ac:dyDescent="0.2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</row>
    <row r="57" spans="1:13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</row>
    <row r="58" spans="1:13" x14ac:dyDescent="0.25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</row>
    <row r="59" spans="1:13" x14ac:dyDescent="0.25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x14ac:dyDescent="0.2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</row>
    <row r="61" spans="1:13" x14ac:dyDescent="0.2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</row>
    <row r="62" spans="1:13" x14ac:dyDescent="0.25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</row>
    <row r="63" spans="1:13" x14ac:dyDescent="0.25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</row>
    <row r="64" spans="1:13" x14ac:dyDescent="0.25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</row>
    <row r="65" spans="1:13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</row>
    <row r="66" spans="1:13" x14ac:dyDescent="0.25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</row>
    <row r="67" spans="1:13" x14ac:dyDescent="0.25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</row>
    <row r="68" spans="1:13" x14ac:dyDescent="0.2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1:13" x14ac:dyDescent="0.25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</row>
    <row r="70" spans="1:13" x14ac:dyDescent="0.25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</row>
    <row r="71" spans="1:13" x14ac:dyDescent="0.25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</row>
    <row r="72" spans="1:13" x14ac:dyDescent="0.25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</row>
    <row r="73" spans="1:13" x14ac:dyDescent="0.25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</row>
    <row r="74" spans="1:13" x14ac:dyDescent="0.25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</row>
    <row r="75" spans="1:13" x14ac:dyDescent="0.25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</row>
    <row r="76" spans="1:13" x14ac:dyDescent="0.25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</row>
    <row r="77" spans="1:13" x14ac:dyDescent="0.25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</row>
    <row r="78" spans="1:13" x14ac:dyDescent="0.25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</row>
    <row r="79" spans="1:13" x14ac:dyDescent="0.25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</row>
    <row r="80" spans="1:13" x14ac:dyDescent="0.25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</row>
    <row r="81" spans="1:13" x14ac:dyDescent="0.25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</row>
    <row r="82" spans="1:13" x14ac:dyDescent="0.25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</row>
    <row r="83" spans="1:13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</row>
    <row r="84" spans="1:13" x14ac:dyDescent="0.25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</row>
    <row r="85" spans="1:13" x14ac:dyDescent="0.25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</row>
    <row r="86" spans="1:13" x14ac:dyDescent="0.25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</row>
    <row r="87" spans="1:13" x14ac:dyDescent="0.25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</row>
    <row r="88" spans="1:13" x14ac:dyDescent="0.25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</row>
    <row r="89" spans="1:13" x14ac:dyDescent="0.25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</row>
    <row r="90" spans="1:13" x14ac:dyDescent="0.25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</row>
    <row r="91" spans="1:13" x14ac:dyDescent="0.25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</row>
    <row r="92" spans="1:13" x14ac:dyDescent="0.25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</row>
    <row r="93" spans="1:13" x14ac:dyDescent="0.25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</row>
    <row r="94" spans="1:13" x14ac:dyDescent="0.25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</row>
    <row r="95" spans="1:13" x14ac:dyDescent="0.25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</row>
    <row r="96" spans="1:13" x14ac:dyDescent="0.25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</row>
    <row r="97" spans="1:13" x14ac:dyDescent="0.25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</row>
    <row r="98" spans="1:13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</row>
    <row r="99" spans="1:13" x14ac:dyDescent="0.25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</row>
    <row r="100" spans="1:13" x14ac:dyDescent="0.25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</row>
    <row r="101" spans="1:13" ht="15.75" customHeight="1" x14ac:dyDescent="0.25">
      <c r="A101" s="826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</row>
    <row r="102" spans="1:13" ht="18" customHeight="1" x14ac:dyDescent="0.4">
      <c r="A102" s="826"/>
      <c r="B102" s="117"/>
      <c r="C102" s="127" t="str">
        <f>List!$B$245</f>
        <v>Formulář pro identifikační údaje</v>
      </c>
      <c r="D102" s="127"/>
      <c r="E102" s="117"/>
      <c r="F102" s="117"/>
      <c r="G102" s="117"/>
      <c r="H102" s="117"/>
      <c r="I102" s="117"/>
      <c r="J102" s="117"/>
      <c r="K102" s="117"/>
      <c r="L102" s="117"/>
      <c r="M102" s="117"/>
    </row>
    <row r="103" spans="1:13" ht="25.5" customHeight="1" x14ac:dyDescent="0.25">
      <c r="A103" s="826"/>
      <c r="B103" s="117"/>
      <c r="C103" s="128" t="str">
        <f>List!$B$246</f>
        <v>Odběratel</v>
      </c>
      <c r="D103" s="128"/>
      <c r="E103" s="129"/>
      <c r="F103" s="117"/>
      <c r="G103" s="117"/>
      <c r="H103" s="130"/>
      <c r="I103" s="130"/>
      <c r="J103" s="130"/>
      <c r="K103" s="130"/>
      <c r="L103" s="130"/>
      <c r="M103" s="117"/>
    </row>
    <row r="104" spans="1:13" ht="15.75" customHeight="1" x14ac:dyDescent="0.3">
      <c r="A104" s="826"/>
      <c r="B104" s="117"/>
      <c r="C104" s="813"/>
      <c r="D104" s="813"/>
      <c r="E104" s="813"/>
      <c r="F104" s="813"/>
      <c r="G104" s="232"/>
      <c r="H104" s="117"/>
      <c r="I104" s="117"/>
      <c r="J104" s="117"/>
      <c r="K104" s="131"/>
      <c r="L104" s="131"/>
      <c r="M104" s="131"/>
    </row>
    <row r="105" spans="1:13" ht="15.75" customHeight="1" x14ac:dyDescent="0.25">
      <c r="A105" s="826"/>
      <c r="B105" s="117"/>
      <c r="C105" s="128" t="str">
        <f>List!$B$247</f>
        <v>Adresa</v>
      </c>
      <c r="D105" s="128"/>
      <c r="E105" s="129"/>
      <c r="F105" s="117"/>
      <c r="G105" s="233"/>
      <c r="H105" s="117"/>
      <c r="I105" s="117"/>
      <c r="J105" s="117"/>
      <c r="K105" s="117"/>
      <c r="L105" s="117"/>
      <c r="M105" s="117"/>
    </row>
    <row r="106" spans="1:13" ht="15.75" customHeight="1" x14ac:dyDescent="0.25">
      <c r="A106" s="826"/>
      <c r="B106" s="117"/>
      <c r="C106" s="827"/>
      <c r="D106" s="827"/>
      <c r="E106" s="827"/>
      <c r="F106" s="827"/>
      <c r="G106" s="232"/>
      <c r="H106" s="117"/>
      <c r="I106" s="117"/>
      <c r="J106" s="117"/>
      <c r="K106" s="117"/>
      <c r="L106" s="117"/>
      <c r="M106" s="117"/>
    </row>
    <row r="107" spans="1:13" ht="15.75" customHeight="1" x14ac:dyDescent="0.25">
      <c r="A107" s="826"/>
      <c r="B107" s="117"/>
      <c r="C107" s="828"/>
      <c r="D107" s="828"/>
      <c r="E107" s="828"/>
      <c r="F107" s="828"/>
      <c r="G107" s="232"/>
      <c r="H107" s="117"/>
      <c r="I107" s="117"/>
      <c r="J107" s="117"/>
      <c r="K107" s="117"/>
      <c r="L107" s="117"/>
      <c r="M107" s="117"/>
    </row>
    <row r="108" spans="1:13" ht="15.75" customHeight="1" x14ac:dyDescent="0.25">
      <c r="A108" s="826"/>
      <c r="B108" s="117"/>
      <c r="C108" s="829"/>
      <c r="D108" s="829"/>
      <c r="E108" s="829"/>
      <c r="F108" s="829"/>
      <c r="G108" s="232"/>
      <c r="H108" s="117"/>
      <c r="I108" s="117"/>
      <c r="J108" s="117"/>
      <c r="K108" s="117"/>
      <c r="L108" s="117"/>
      <c r="M108" s="117"/>
    </row>
    <row r="109" spans="1:13" ht="15.75" customHeight="1" x14ac:dyDescent="0.25">
      <c r="A109" s="826"/>
      <c r="B109" s="117"/>
      <c r="C109" s="128" t="str">
        <f>List!$B$248</f>
        <v>Dodací adresa</v>
      </c>
      <c r="D109" s="128"/>
      <c r="E109" s="129"/>
      <c r="F109" s="117"/>
      <c r="G109" s="233"/>
      <c r="H109" s="117"/>
      <c r="I109" s="117"/>
      <c r="J109" s="117"/>
      <c r="K109" s="117"/>
      <c r="L109" s="117"/>
      <c r="M109" s="117"/>
    </row>
    <row r="110" spans="1:13" ht="15.75" customHeight="1" x14ac:dyDescent="0.25">
      <c r="A110" s="826"/>
      <c r="B110" s="117"/>
      <c r="C110" s="827"/>
      <c r="D110" s="827"/>
      <c r="E110" s="827"/>
      <c r="F110" s="827"/>
      <c r="G110" s="232"/>
      <c r="H110" s="117"/>
      <c r="I110" s="117"/>
      <c r="J110" s="117"/>
      <c r="K110" s="117"/>
      <c r="L110" s="117"/>
      <c r="M110" s="117"/>
    </row>
    <row r="111" spans="1:13" ht="15.75" customHeight="1" x14ac:dyDescent="0.25">
      <c r="A111" s="826"/>
      <c r="B111" s="117"/>
      <c r="C111" s="828"/>
      <c r="D111" s="828"/>
      <c r="E111" s="828"/>
      <c r="F111" s="828"/>
      <c r="G111" s="232"/>
      <c r="H111" s="117"/>
      <c r="I111" s="117"/>
      <c r="J111" s="117"/>
      <c r="K111" s="117"/>
      <c r="L111" s="117"/>
      <c r="M111" s="117"/>
    </row>
    <row r="112" spans="1:13" ht="15.75" customHeight="1" x14ac:dyDescent="0.25">
      <c r="A112" s="826"/>
      <c r="B112" s="117"/>
      <c r="C112" s="829"/>
      <c r="D112" s="829"/>
      <c r="E112" s="829"/>
      <c r="F112" s="829"/>
      <c r="G112" s="232"/>
      <c r="H112" s="117"/>
      <c r="I112" s="117"/>
      <c r="J112" s="117"/>
      <c r="K112" s="117"/>
      <c r="L112" s="117"/>
      <c r="M112" s="117"/>
    </row>
    <row r="113" spans="1:13" ht="15.75" customHeight="1" x14ac:dyDescent="0.25">
      <c r="A113" s="826"/>
      <c r="B113" s="117"/>
      <c r="C113" s="128" t="str">
        <f>List!$B$249</f>
        <v>IČO, DIČ</v>
      </c>
      <c r="D113" s="128"/>
      <c r="E113" s="129"/>
      <c r="F113" s="117"/>
      <c r="G113" s="233"/>
      <c r="H113" s="117"/>
      <c r="I113" s="117"/>
      <c r="J113" s="117"/>
      <c r="K113" s="117"/>
      <c r="L113" s="117"/>
      <c r="M113" s="117"/>
    </row>
    <row r="114" spans="1:13" ht="15.75" customHeight="1" x14ac:dyDescent="0.25">
      <c r="A114" s="826"/>
      <c r="B114" s="117"/>
      <c r="C114" s="827"/>
      <c r="D114" s="827"/>
      <c r="E114" s="827"/>
      <c r="F114" s="117"/>
      <c r="G114" s="233"/>
      <c r="H114" s="117"/>
      <c r="I114" s="117"/>
      <c r="J114" s="117"/>
      <c r="K114" s="117"/>
      <c r="L114" s="117"/>
      <c r="M114" s="117"/>
    </row>
    <row r="115" spans="1:13" ht="15.75" customHeight="1" x14ac:dyDescent="0.25">
      <c r="A115" s="826"/>
      <c r="B115" s="117"/>
      <c r="C115" s="828"/>
      <c r="D115" s="828"/>
      <c r="E115" s="828"/>
      <c r="F115" s="117"/>
      <c r="G115" s="233"/>
      <c r="H115" s="117"/>
      <c r="I115" s="117"/>
      <c r="J115" s="117"/>
      <c r="K115" s="117"/>
      <c r="L115" s="117"/>
      <c r="M115" s="117"/>
    </row>
    <row r="116" spans="1:13" ht="15.75" customHeight="1" x14ac:dyDescent="0.25">
      <c r="A116" s="826"/>
      <c r="B116" s="117"/>
      <c r="C116" s="128" t="str">
        <f>List!$B$250</f>
        <v>Telefon, fax, e-mail</v>
      </c>
      <c r="D116" s="128"/>
      <c r="E116" s="129"/>
      <c r="F116" s="117"/>
      <c r="G116" s="233"/>
      <c r="H116" s="117"/>
      <c r="I116" s="117"/>
      <c r="J116" s="117"/>
      <c r="K116" s="117"/>
      <c r="L116" s="117"/>
      <c r="M116" s="117"/>
    </row>
    <row r="117" spans="1:13" ht="15.75" customHeight="1" x14ac:dyDescent="0.25">
      <c r="A117" s="826"/>
      <c r="B117" s="117"/>
      <c r="C117" s="827"/>
      <c r="D117" s="827"/>
      <c r="E117" s="827"/>
      <c r="F117" s="132"/>
      <c r="G117" s="234"/>
      <c r="H117" s="117"/>
      <c r="I117" s="117"/>
      <c r="J117" s="117"/>
      <c r="K117" s="117"/>
      <c r="L117" s="117"/>
      <c r="M117" s="117"/>
    </row>
    <row r="118" spans="1:13" ht="15.75" customHeight="1" x14ac:dyDescent="0.25">
      <c r="A118" s="826"/>
      <c r="B118" s="117"/>
      <c r="C118" s="828"/>
      <c r="D118" s="828"/>
      <c r="E118" s="828"/>
      <c r="F118" s="132"/>
      <c r="G118" s="234"/>
      <c r="H118" s="117"/>
      <c r="I118" s="117"/>
      <c r="J118" s="117"/>
      <c r="K118" s="117"/>
      <c r="L118" s="117"/>
      <c r="M118" s="117"/>
    </row>
    <row r="119" spans="1:13" ht="15.75" customHeight="1" x14ac:dyDescent="0.25">
      <c r="A119" s="826"/>
      <c r="B119" s="117"/>
      <c r="C119" s="812"/>
      <c r="D119" s="812"/>
      <c r="E119" s="813"/>
      <c r="F119" s="813"/>
      <c r="G119" s="232"/>
      <c r="H119" s="117"/>
      <c r="I119" s="117"/>
      <c r="J119" s="117"/>
      <c r="K119" s="117"/>
      <c r="L119" s="117"/>
      <c r="M119" s="117"/>
    </row>
    <row r="120" spans="1:13" ht="15.75" customHeight="1" x14ac:dyDescent="0.25">
      <c r="A120" s="826"/>
      <c r="B120" s="117"/>
      <c r="C120" s="129"/>
      <c r="D120" s="129"/>
      <c r="E120" s="129"/>
      <c r="F120" s="117"/>
      <c r="G120" s="233"/>
      <c r="H120" s="117"/>
      <c r="I120" s="117"/>
      <c r="J120" s="117"/>
      <c r="K120" s="117"/>
      <c r="L120" s="117"/>
      <c r="M120" s="117"/>
    </row>
    <row r="121" spans="1:13" ht="15.75" customHeight="1" x14ac:dyDescent="0.25">
      <c r="A121" s="826"/>
      <c r="B121" s="117"/>
      <c r="C121" s="117"/>
      <c r="D121" s="117"/>
      <c r="E121" s="133" t="str">
        <f>List!$B$258&amp;" [%]: "</f>
        <v xml:space="preserve">Sleva od prodejce [%]: </v>
      </c>
      <c r="F121" s="136"/>
      <c r="G121" s="235"/>
      <c r="H121" s="117"/>
      <c r="I121" s="117"/>
      <c r="J121" s="117"/>
      <c r="K121" s="117"/>
      <c r="L121" s="117"/>
      <c r="M121" s="117"/>
    </row>
    <row r="122" spans="1:13" ht="15.75" customHeight="1" x14ac:dyDescent="0.25">
      <c r="A122" s="826"/>
      <c r="B122" s="117"/>
      <c r="C122" s="117"/>
      <c r="D122" s="117"/>
      <c r="E122" s="117"/>
      <c r="F122" s="117"/>
      <c r="G122" s="233"/>
      <c r="H122" s="117"/>
      <c r="I122" s="117"/>
      <c r="J122" s="117"/>
      <c r="K122" s="117"/>
      <c r="L122" s="117"/>
      <c r="M122" s="117"/>
    </row>
    <row r="123" spans="1:13" ht="15.75" customHeight="1" x14ac:dyDescent="0.25">
      <c r="A123" s="826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</row>
    <row r="124" spans="1:13" ht="15.75" customHeight="1" x14ac:dyDescent="0.25">
      <c r="A124" s="826"/>
      <c r="B124" s="117"/>
      <c r="C124" s="128" t="str">
        <f>List!$B271</f>
        <v>Vyplňte identifikační údaje a výši slevy od prodejce</v>
      </c>
      <c r="D124" s="128"/>
      <c r="E124" s="117"/>
      <c r="F124" s="117"/>
      <c r="G124" s="117"/>
      <c r="H124" s="117"/>
      <c r="I124" s="117"/>
      <c r="J124" s="117"/>
      <c r="K124" s="117"/>
      <c r="L124" s="117"/>
      <c r="M124" s="117"/>
    </row>
    <row r="125" spans="1:13" ht="15.75" customHeight="1" x14ac:dyDescent="0.25">
      <c r="A125" s="826"/>
      <c r="B125" s="117"/>
      <c r="C125" s="128" t="str">
        <f>List!$B273</f>
        <v>Identifikační údaje se budou zobrazovat v objednávkách</v>
      </c>
      <c r="D125" s="128"/>
      <c r="E125" s="117"/>
      <c r="F125" s="117"/>
      <c r="G125" s="117"/>
      <c r="H125" s="117"/>
      <c r="I125" s="117"/>
      <c r="J125" s="117"/>
      <c r="K125" s="117"/>
      <c r="L125" s="117"/>
      <c r="M125" s="117"/>
    </row>
    <row r="126" spans="1:13" ht="15.75" customHeight="1" x14ac:dyDescent="0.25">
      <c r="A126" s="826"/>
      <c r="B126" s="117"/>
      <c r="C126" s="128" t="str">
        <f>List!$B272</f>
        <v>Po vyplnění se vraťte na úvod a subor uložte nebo zavřete s potvrzením změn</v>
      </c>
      <c r="D126" s="128"/>
      <c r="E126" s="117"/>
      <c r="F126" s="117"/>
      <c r="G126" s="117"/>
      <c r="H126" s="117"/>
      <c r="I126" s="117"/>
      <c r="J126" s="117"/>
      <c r="K126" s="117"/>
      <c r="L126" s="117"/>
      <c r="M126" s="117"/>
    </row>
    <row r="127" spans="1:13" ht="15.75" customHeight="1" x14ac:dyDescent="0.25">
      <c r="A127" s="826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</row>
    <row r="128" spans="1:13" ht="15.75" customHeight="1" x14ac:dyDescent="0.25">
      <c r="A128" s="826"/>
      <c r="B128" s="117"/>
      <c r="C128" s="814" t="str">
        <f>List!$B$113</f>
        <v>Zpět na úvod</v>
      </c>
      <c r="D128" s="814"/>
      <c r="E128" s="814"/>
      <c r="F128" s="117"/>
      <c r="G128" s="117"/>
      <c r="H128" s="117"/>
      <c r="I128" s="117"/>
      <c r="J128" s="117"/>
      <c r="K128" s="134"/>
      <c r="L128" s="134"/>
      <c r="M128" s="134"/>
    </row>
    <row r="129" spans="1:20" ht="15.75" customHeight="1" x14ac:dyDescent="0.25">
      <c r="A129" s="826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</row>
    <row r="130" spans="1:20" ht="15.75" customHeight="1" x14ac:dyDescent="0.25">
      <c r="A130" s="826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</row>
    <row r="131" spans="1:20" ht="15.75" customHeight="1" x14ac:dyDescent="0.25">
      <c r="A131" s="826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</row>
    <row r="132" spans="1:20" ht="15.75" customHeight="1" x14ac:dyDescent="0.25">
      <c r="A132" s="826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</row>
    <row r="133" spans="1:20" ht="15.75" customHeight="1" x14ac:dyDescent="0.25">
      <c r="A133" s="826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</row>
    <row r="134" spans="1:20" ht="15.75" customHeight="1" x14ac:dyDescent="0.25">
      <c r="A134" s="826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</row>
    <row r="135" spans="1:20" s="108" customFormat="1" ht="15.75" customHeight="1" x14ac:dyDescent="0.3">
      <c r="A135" s="826"/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2"/>
      <c r="O135" s="2"/>
      <c r="P135" s="2"/>
      <c r="Q135" s="2"/>
      <c r="R135" s="2"/>
      <c r="S135" s="2"/>
      <c r="T135" s="2"/>
    </row>
    <row r="136" spans="1:20" ht="13" x14ac:dyDescent="0.3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08"/>
      <c r="O136" s="108"/>
      <c r="P136" s="108"/>
      <c r="Q136" s="108"/>
      <c r="R136" s="108"/>
      <c r="S136" s="108"/>
      <c r="T136" s="108"/>
    </row>
    <row r="137" spans="1:20" x14ac:dyDescent="0.25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</row>
    <row r="138" spans="1:20" x14ac:dyDescent="0.25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</row>
    <row r="139" spans="1:20" x14ac:dyDescent="0.25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</row>
    <row r="140" spans="1:20" x14ac:dyDescent="0.25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</row>
    <row r="141" spans="1:20" x14ac:dyDescent="0.25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</row>
    <row r="142" spans="1:20" x14ac:dyDescent="0.25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</row>
    <row r="143" spans="1:20" x14ac:dyDescent="0.25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</row>
    <row r="144" spans="1:20" x14ac:dyDescent="0.25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</row>
    <row r="145" spans="1:13" x14ac:dyDescent="0.25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</row>
    <row r="146" spans="1:13" x14ac:dyDescent="0.25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</row>
    <row r="147" spans="1:13" x14ac:dyDescent="0.25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</row>
    <row r="148" spans="1:13" x14ac:dyDescent="0.25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</row>
    <row r="149" spans="1:13" ht="14.5" x14ac:dyDescent="0.35">
      <c r="A149" s="815"/>
      <c r="B149" s="13"/>
      <c r="C149" s="13"/>
      <c r="D149" s="13"/>
      <c r="E149" s="13"/>
      <c r="F149" s="13"/>
      <c r="G149" s="13"/>
      <c r="H149" s="13"/>
      <c r="I149" s="13"/>
      <c r="J149" s="13"/>
      <c r="K149" s="117"/>
      <c r="L149" s="117"/>
      <c r="M149" s="117"/>
    </row>
    <row r="150" spans="1:13" ht="14.5" x14ac:dyDescent="0.35">
      <c r="A150" s="815"/>
      <c r="B150" s="13"/>
      <c r="C150" s="13"/>
      <c r="D150" s="13"/>
      <c r="E150" s="13"/>
      <c r="F150" s="133" t="str">
        <f>List!$B$92&amp;" [%] "</f>
        <v xml:space="preserve">Zadejte výši slevy [%] </v>
      </c>
      <c r="G150" s="133"/>
      <c r="H150" s="137"/>
      <c r="I150" s="13"/>
      <c r="J150" s="13"/>
      <c r="K150" s="117"/>
      <c r="L150" s="117"/>
      <c r="M150" s="117"/>
    </row>
    <row r="151" spans="1:13" ht="14.5" x14ac:dyDescent="0.35">
      <c r="A151" s="815"/>
      <c r="B151" s="13"/>
      <c r="C151" s="13"/>
      <c r="D151" s="13"/>
      <c r="E151" s="13"/>
      <c r="F151" s="13"/>
      <c r="G151" s="13"/>
      <c r="H151" s="13"/>
      <c r="I151" s="13"/>
      <c r="J151" s="13"/>
      <c r="K151" s="117"/>
      <c r="L151" s="117"/>
      <c r="M151" s="117"/>
    </row>
    <row r="152" spans="1:13" ht="14.5" x14ac:dyDescent="0.35">
      <c r="A152" s="815"/>
      <c r="B152" s="13"/>
      <c r="C152" s="13"/>
      <c r="D152" s="13"/>
      <c r="E152" s="13"/>
      <c r="F152" s="13"/>
      <c r="G152" s="13"/>
      <c r="H152" s="13"/>
      <c r="I152" s="13"/>
      <c r="J152" s="13"/>
      <c r="K152" s="117"/>
      <c r="L152" s="117"/>
      <c r="M152" s="117"/>
    </row>
    <row r="153" spans="1:13" ht="14.5" x14ac:dyDescent="0.35">
      <c r="A153" s="815"/>
      <c r="B153" s="13"/>
      <c r="C153" s="13"/>
      <c r="D153" s="13"/>
      <c r="E153" s="13"/>
      <c r="F153" s="13"/>
      <c r="G153" s="13"/>
      <c r="H153" s="13"/>
      <c r="I153" s="13"/>
      <c r="J153" s="13"/>
      <c r="K153" s="117"/>
      <c r="L153" s="117"/>
      <c r="M153" s="117"/>
    </row>
    <row r="154" spans="1:13" ht="14.5" x14ac:dyDescent="0.35">
      <c r="A154" s="815"/>
      <c r="B154" s="13"/>
      <c r="C154" s="13"/>
      <c r="D154" s="13"/>
      <c r="E154" s="13"/>
      <c r="F154" s="814" t="str">
        <f>List!$B$113</f>
        <v>Zpět na úvod</v>
      </c>
      <c r="G154" s="814"/>
      <c r="H154" s="814"/>
      <c r="I154" s="13"/>
      <c r="J154" s="13"/>
      <c r="K154" s="117"/>
      <c r="L154" s="117"/>
      <c r="M154" s="117"/>
    </row>
    <row r="155" spans="1:13" ht="14.5" x14ac:dyDescent="0.35">
      <c r="A155" s="815"/>
      <c r="B155" s="13"/>
      <c r="C155" s="13"/>
      <c r="D155" s="13"/>
      <c r="E155" s="13"/>
      <c r="F155" s="13"/>
      <c r="G155" s="13"/>
      <c r="H155" s="13"/>
      <c r="I155" s="13"/>
      <c r="J155" s="13"/>
      <c r="K155" s="117"/>
      <c r="L155" s="117"/>
      <c r="M155" s="117"/>
    </row>
    <row r="156" spans="1:13" ht="14.5" x14ac:dyDescent="0.35">
      <c r="A156" s="815"/>
      <c r="B156" s="13"/>
      <c r="C156" s="13"/>
      <c r="D156" s="13"/>
      <c r="E156" s="13"/>
      <c r="F156" s="13"/>
      <c r="G156" s="13"/>
      <c r="H156" s="13"/>
      <c r="I156" s="13"/>
      <c r="J156" s="13"/>
      <c r="K156" s="117"/>
      <c r="L156" s="117"/>
      <c r="M156" s="117"/>
    </row>
    <row r="157" spans="1:13" ht="14.5" x14ac:dyDescent="0.35">
      <c r="A157" s="815"/>
      <c r="B157" s="13"/>
      <c r="C157" s="13"/>
      <c r="D157" s="13"/>
      <c r="E157" s="13"/>
      <c r="F157" s="13"/>
      <c r="G157" s="13"/>
      <c r="H157" s="13"/>
      <c r="I157" s="13"/>
      <c r="J157" s="13"/>
      <c r="K157" s="117"/>
      <c r="L157" s="117"/>
      <c r="M157" s="117"/>
    </row>
    <row r="158" spans="1:13" ht="14.5" x14ac:dyDescent="0.35">
      <c r="A158" s="815"/>
      <c r="B158" s="13"/>
      <c r="C158" s="13"/>
      <c r="D158" s="13"/>
      <c r="E158" s="13"/>
      <c r="F158" s="13"/>
      <c r="G158" s="13"/>
      <c r="H158" s="13"/>
      <c r="I158" s="13"/>
      <c r="J158" s="13"/>
      <c r="K158" s="117"/>
      <c r="L158" s="117"/>
      <c r="M158" s="117"/>
    </row>
    <row r="159" spans="1:13" ht="14.5" x14ac:dyDescent="0.35">
      <c r="A159" s="815"/>
      <c r="B159" s="13"/>
      <c r="C159" s="13"/>
      <c r="D159" s="13"/>
      <c r="E159" s="13"/>
      <c r="F159" s="13"/>
      <c r="G159" s="13"/>
      <c r="H159" s="13"/>
      <c r="I159" s="13"/>
      <c r="J159" s="13"/>
      <c r="K159" s="117"/>
      <c r="L159" s="117"/>
      <c r="M159" s="117"/>
    </row>
    <row r="160" spans="1:13" ht="14.5" x14ac:dyDescent="0.35">
      <c r="A160" s="815"/>
      <c r="B160" s="13"/>
      <c r="C160" s="13"/>
      <c r="D160" s="13"/>
      <c r="E160" s="13"/>
      <c r="F160" s="13"/>
      <c r="G160" s="13"/>
      <c r="H160" s="13"/>
      <c r="I160" s="13"/>
      <c r="J160" s="13"/>
      <c r="K160" s="117"/>
      <c r="L160" s="117"/>
      <c r="M160" s="117"/>
    </row>
    <row r="161" spans="1:13" ht="14.5" x14ac:dyDescent="0.35">
      <c r="A161" s="815"/>
      <c r="B161" s="13"/>
      <c r="C161" s="13"/>
      <c r="D161" s="13"/>
      <c r="E161" s="13"/>
      <c r="F161" s="13"/>
      <c r="G161" s="13"/>
      <c r="H161" s="13"/>
      <c r="I161" s="13"/>
      <c r="J161" s="13"/>
      <c r="K161" s="117"/>
      <c r="L161" s="117"/>
      <c r="M161" s="117"/>
    </row>
    <row r="162" spans="1:13" ht="14.5" x14ac:dyDescent="0.35">
      <c r="A162" s="815"/>
      <c r="B162" s="13"/>
      <c r="C162" s="13"/>
      <c r="D162" s="13"/>
      <c r="E162" s="13"/>
      <c r="F162" s="13"/>
      <c r="G162" s="13"/>
      <c r="H162" s="13"/>
      <c r="I162" s="13"/>
      <c r="J162" s="13"/>
      <c r="K162" s="117"/>
      <c r="L162" s="117"/>
      <c r="M162" s="117"/>
    </row>
    <row r="163" spans="1:13" ht="14.5" x14ac:dyDescent="0.35">
      <c r="A163" s="815"/>
      <c r="B163" s="13"/>
      <c r="C163" s="13"/>
      <c r="D163" s="13"/>
      <c r="E163" s="13"/>
      <c r="F163" s="13"/>
      <c r="G163" s="13"/>
      <c r="H163" s="13"/>
      <c r="I163" s="13"/>
      <c r="J163" s="13"/>
      <c r="K163" s="117"/>
      <c r="L163" s="117"/>
      <c r="M163" s="117"/>
    </row>
    <row r="164" spans="1:13" ht="14.5" x14ac:dyDescent="0.35">
      <c r="A164" s="815"/>
      <c r="B164" s="13"/>
      <c r="C164" s="13"/>
      <c r="D164" s="13"/>
      <c r="E164" s="13"/>
      <c r="F164" s="13"/>
      <c r="G164" s="13"/>
      <c r="H164" s="13"/>
      <c r="I164" s="13"/>
      <c r="J164" s="13"/>
      <c r="K164" s="117"/>
      <c r="L164" s="117"/>
      <c r="M164" s="117"/>
    </row>
    <row r="165" spans="1:13" ht="14.5" x14ac:dyDescent="0.35">
      <c r="A165" s="815"/>
      <c r="B165" s="13"/>
      <c r="C165" s="13"/>
      <c r="D165" s="13"/>
      <c r="E165" s="13"/>
      <c r="F165" s="13"/>
      <c r="G165" s="13"/>
      <c r="H165" s="13"/>
      <c r="I165" s="13"/>
      <c r="J165" s="13"/>
      <c r="K165" s="117"/>
      <c r="L165" s="117"/>
      <c r="M165" s="117"/>
    </row>
    <row r="166" spans="1:13" ht="14.5" x14ac:dyDescent="0.35">
      <c r="A166" s="815"/>
      <c r="B166" s="13"/>
      <c r="C166" s="13"/>
      <c r="D166" s="13"/>
      <c r="E166" s="13"/>
      <c r="F166" s="13"/>
      <c r="G166" s="13"/>
      <c r="H166" s="13"/>
      <c r="I166" s="13"/>
      <c r="J166" s="13"/>
      <c r="K166" s="117"/>
      <c r="L166" s="117"/>
      <c r="M166" s="117"/>
    </row>
    <row r="167" spans="1:13" ht="14.5" x14ac:dyDescent="0.35">
      <c r="A167" s="815"/>
      <c r="B167" s="13"/>
      <c r="C167" s="13"/>
      <c r="D167" s="13"/>
      <c r="E167" s="13"/>
      <c r="F167" s="13"/>
      <c r="G167" s="13"/>
      <c r="H167" s="13"/>
      <c r="I167" s="13"/>
      <c r="J167" s="13"/>
      <c r="K167" s="117"/>
      <c r="L167" s="117"/>
      <c r="M167" s="117"/>
    </row>
    <row r="168" spans="1:13" ht="14.5" x14ac:dyDescent="0.35">
      <c r="A168" s="815"/>
      <c r="B168" s="13"/>
      <c r="C168" s="13"/>
      <c r="D168" s="13"/>
      <c r="E168" s="13"/>
      <c r="F168" s="13"/>
      <c r="G168" s="13"/>
      <c r="H168" s="13"/>
      <c r="I168" s="13"/>
      <c r="J168" s="13"/>
      <c r="K168" s="117"/>
      <c r="L168" s="117"/>
      <c r="M168" s="117"/>
    </row>
    <row r="169" spans="1:13" ht="14.5" x14ac:dyDescent="0.35">
      <c r="A169" s="815"/>
      <c r="B169" s="13"/>
      <c r="C169" s="13"/>
      <c r="D169" s="13"/>
      <c r="E169" s="13"/>
      <c r="F169" s="13"/>
      <c r="G169" s="13"/>
      <c r="H169" s="13"/>
      <c r="I169" s="13"/>
      <c r="J169" s="13"/>
      <c r="K169" s="117"/>
      <c r="L169" s="117"/>
      <c r="M169" s="117"/>
    </row>
    <row r="170" spans="1:13" ht="14.5" x14ac:dyDescent="0.35">
      <c r="A170" s="815"/>
      <c r="B170" s="13"/>
      <c r="C170" s="13"/>
      <c r="D170" s="13"/>
      <c r="E170" s="13"/>
      <c r="F170" s="13"/>
      <c r="G170" s="13"/>
      <c r="H170" s="13"/>
      <c r="I170" s="13"/>
      <c r="J170" s="13"/>
      <c r="K170" s="117"/>
      <c r="L170" s="117"/>
      <c r="M170" s="117"/>
    </row>
    <row r="171" spans="1:13" ht="14.5" x14ac:dyDescent="0.35">
      <c r="A171" s="815"/>
      <c r="B171" s="13"/>
      <c r="C171" s="13"/>
      <c r="D171" s="13"/>
      <c r="E171" s="13"/>
      <c r="F171" s="13"/>
      <c r="G171" s="13"/>
      <c r="H171" s="13"/>
      <c r="I171" s="13"/>
      <c r="J171" s="13"/>
      <c r="K171" s="117"/>
      <c r="L171" s="117"/>
      <c r="M171" s="117"/>
    </row>
    <row r="172" spans="1:13" ht="14.5" x14ac:dyDescent="0.35">
      <c r="A172" s="815"/>
      <c r="B172" s="13"/>
      <c r="C172" s="13"/>
      <c r="D172" s="13"/>
      <c r="E172" s="13"/>
      <c r="F172" s="13"/>
      <c r="G172" s="13"/>
      <c r="H172" s="13"/>
      <c r="I172" s="13"/>
      <c r="J172" s="13"/>
      <c r="K172" s="117"/>
      <c r="L172" s="117"/>
      <c r="M172" s="117"/>
    </row>
    <row r="173" spans="1:13" ht="14.5" x14ac:dyDescent="0.35">
      <c r="A173" s="815"/>
      <c r="B173" s="13"/>
      <c r="C173" s="13"/>
      <c r="D173" s="13"/>
      <c r="E173" s="13"/>
      <c r="F173" s="13"/>
      <c r="G173" s="13"/>
      <c r="H173" s="13"/>
      <c r="I173" s="13"/>
      <c r="J173" s="13"/>
      <c r="K173" s="117"/>
      <c r="L173" s="117"/>
      <c r="M173" s="117"/>
    </row>
    <row r="174" spans="1:13" ht="14.5" x14ac:dyDescent="0.35">
      <c r="A174" s="815"/>
      <c r="B174" s="13"/>
      <c r="C174" s="13"/>
      <c r="D174" s="13"/>
      <c r="E174" s="13"/>
      <c r="F174" s="13"/>
      <c r="G174" s="13"/>
      <c r="H174" s="13"/>
      <c r="I174" s="13"/>
      <c r="J174" s="13"/>
      <c r="K174" s="117"/>
      <c r="L174" s="117"/>
      <c r="M174" s="117"/>
    </row>
    <row r="175" spans="1:13" ht="14.5" x14ac:dyDescent="0.35">
      <c r="A175" s="815"/>
      <c r="B175" s="13"/>
      <c r="C175" s="13"/>
      <c r="D175" s="13"/>
      <c r="E175" s="13"/>
      <c r="F175" s="13"/>
      <c r="G175" s="13"/>
      <c r="H175" s="13"/>
      <c r="I175" s="13"/>
      <c r="J175" s="13"/>
      <c r="K175" s="117"/>
      <c r="L175" s="117"/>
      <c r="M175" s="117"/>
    </row>
    <row r="176" spans="1:13" ht="14.5" x14ac:dyDescent="0.35">
      <c r="A176" s="815"/>
      <c r="B176" s="13"/>
      <c r="C176" s="13"/>
      <c r="D176" s="13"/>
      <c r="E176" s="13"/>
      <c r="F176" s="13"/>
      <c r="G176" s="13"/>
      <c r="H176" s="13"/>
      <c r="I176" s="13"/>
      <c r="J176" s="13"/>
      <c r="K176" s="117"/>
      <c r="L176" s="117"/>
      <c r="M176" s="117"/>
    </row>
    <row r="177" spans="1:13" ht="14.5" x14ac:dyDescent="0.35">
      <c r="A177" s="815"/>
      <c r="B177" s="13"/>
      <c r="C177" s="13"/>
      <c r="D177" s="13"/>
      <c r="E177" s="13"/>
      <c r="F177" s="13"/>
      <c r="G177" s="13"/>
      <c r="H177" s="13"/>
      <c r="I177" s="13"/>
      <c r="J177" s="13"/>
      <c r="K177" s="117"/>
      <c r="L177" s="117"/>
      <c r="M177" s="117"/>
    </row>
    <row r="178" spans="1:13" ht="14.5" x14ac:dyDescent="0.35">
      <c r="A178" s="815"/>
      <c r="B178" s="13"/>
      <c r="C178" s="13"/>
      <c r="D178" s="13"/>
      <c r="E178" s="13"/>
      <c r="F178" s="13"/>
      <c r="G178" s="13"/>
      <c r="H178" s="13"/>
      <c r="I178" s="13"/>
      <c r="J178" s="13"/>
      <c r="K178" s="117"/>
      <c r="L178" s="117"/>
      <c r="M178" s="117"/>
    </row>
    <row r="179" spans="1:13" ht="14.5" x14ac:dyDescent="0.35">
      <c r="A179" s="815"/>
      <c r="B179" s="13"/>
      <c r="C179" s="13"/>
      <c r="D179" s="13"/>
      <c r="E179" s="13"/>
      <c r="F179" s="13"/>
      <c r="G179" s="13"/>
      <c r="H179" s="13"/>
      <c r="I179" s="13"/>
      <c r="J179" s="13"/>
      <c r="K179" s="117"/>
      <c r="L179" s="117"/>
      <c r="M179" s="117"/>
    </row>
    <row r="180" spans="1:13" ht="14.5" x14ac:dyDescent="0.35">
      <c r="A180" s="815"/>
      <c r="B180" s="13"/>
      <c r="C180" s="13"/>
      <c r="D180" s="13"/>
      <c r="E180" s="13"/>
      <c r="F180" s="13"/>
      <c r="G180" s="13"/>
      <c r="H180" s="13"/>
      <c r="I180" s="13"/>
      <c r="J180" s="13"/>
      <c r="K180" s="117"/>
      <c r="L180" s="117"/>
      <c r="M180" s="117"/>
    </row>
    <row r="181" spans="1:13" ht="14.5" x14ac:dyDescent="0.35">
      <c r="A181" s="815"/>
      <c r="B181" s="13"/>
      <c r="C181" s="13"/>
      <c r="D181" s="13"/>
      <c r="E181" s="13"/>
      <c r="F181" s="13"/>
      <c r="G181" s="13"/>
      <c r="H181" s="13"/>
      <c r="I181" s="13"/>
      <c r="J181" s="13"/>
      <c r="K181" s="117"/>
      <c r="L181" s="117"/>
      <c r="M181" s="117"/>
    </row>
    <row r="182" spans="1:13" ht="14.5" x14ac:dyDescent="0.35">
      <c r="A182" s="815"/>
      <c r="B182" s="13"/>
      <c r="C182" s="13"/>
      <c r="D182" s="13"/>
      <c r="E182" s="13"/>
      <c r="F182" s="13"/>
      <c r="G182" s="13"/>
      <c r="H182" s="13"/>
      <c r="I182" s="13"/>
      <c r="J182" s="13"/>
      <c r="K182" s="117"/>
      <c r="L182" s="117"/>
      <c r="M182" s="117"/>
    </row>
    <row r="183" spans="1:13" ht="14.5" x14ac:dyDescent="0.35">
      <c r="A183" s="815"/>
      <c r="B183" s="13"/>
      <c r="C183" s="13"/>
      <c r="D183" s="13"/>
      <c r="E183" s="13"/>
      <c r="F183" s="13"/>
      <c r="G183" s="13"/>
      <c r="H183" s="13"/>
      <c r="I183" s="13"/>
      <c r="J183" s="13"/>
      <c r="K183" s="117"/>
      <c r="L183" s="117"/>
      <c r="M183" s="117"/>
    </row>
    <row r="184" spans="1:13" ht="14.5" x14ac:dyDescent="0.35">
      <c r="A184" s="815"/>
      <c r="B184" s="13"/>
      <c r="C184" s="13"/>
      <c r="D184" s="13"/>
      <c r="E184" s="13"/>
      <c r="F184" s="13"/>
      <c r="G184" s="13"/>
      <c r="H184" s="13"/>
      <c r="I184" s="13"/>
      <c r="J184" s="13"/>
      <c r="K184" s="117"/>
      <c r="L184" s="117"/>
      <c r="M184" s="117"/>
    </row>
    <row r="185" spans="1:13" ht="14.5" x14ac:dyDescent="0.35">
      <c r="A185" s="815"/>
      <c r="B185" s="13"/>
      <c r="C185" s="13"/>
      <c r="D185" s="13"/>
      <c r="E185" s="13"/>
      <c r="F185" s="13"/>
      <c r="G185" s="13"/>
      <c r="H185" s="13"/>
      <c r="I185" s="13"/>
      <c r="J185" s="13"/>
      <c r="K185" s="117"/>
      <c r="L185" s="117"/>
      <c r="M185" s="117"/>
    </row>
    <row r="186" spans="1:13" ht="14.5" x14ac:dyDescent="0.35">
      <c r="A186" s="815"/>
      <c r="B186" s="13"/>
      <c r="C186" s="13"/>
      <c r="D186" s="13"/>
      <c r="E186" s="13"/>
      <c r="F186" s="13"/>
      <c r="G186" s="13"/>
      <c r="H186" s="13"/>
      <c r="I186" s="13"/>
      <c r="J186" s="13"/>
      <c r="K186" s="117"/>
      <c r="L186" s="117"/>
      <c r="M186" s="117"/>
    </row>
    <row r="187" spans="1:13" ht="14.5" x14ac:dyDescent="0.35">
      <c r="A187" s="815"/>
      <c r="B187" s="13"/>
      <c r="C187" s="13"/>
      <c r="D187" s="13"/>
      <c r="E187" s="13"/>
      <c r="F187" s="13"/>
      <c r="G187" s="13"/>
      <c r="H187" s="13"/>
      <c r="I187" s="13"/>
      <c r="J187" s="13"/>
      <c r="K187" s="117"/>
      <c r="L187" s="117"/>
      <c r="M187" s="117"/>
    </row>
    <row r="188" spans="1:13" ht="14.5" x14ac:dyDescent="0.35">
      <c r="A188" s="815"/>
      <c r="B188" s="13"/>
      <c r="C188" s="13"/>
      <c r="D188" s="13"/>
      <c r="E188" s="13"/>
      <c r="F188" s="13"/>
      <c r="G188" s="13"/>
      <c r="H188" s="13"/>
      <c r="I188" s="13"/>
      <c r="J188" s="13"/>
      <c r="K188" s="117"/>
      <c r="L188" s="117"/>
      <c r="M188" s="117"/>
    </row>
    <row r="189" spans="1:13" ht="14.5" x14ac:dyDescent="0.35">
      <c r="A189" s="815"/>
      <c r="B189" s="13"/>
      <c r="C189" s="13"/>
      <c r="D189" s="13"/>
      <c r="E189" s="13"/>
      <c r="F189" s="13"/>
      <c r="G189" s="13"/>
      <c r="H189" s="13"/>
      <c r="I189" s="13"/>
      <c r="J189" s="13"/>
      <c r="K189" s="117"/>
      <c r="L189" s="117"/>
      <c r="M189" s="117"/>
    </row>
    <row r="190" spans="1:13" ht="14.5" x14ac:dyDescent="0.35">
      <c r="A190" s="815"/>
      <c r="B190" s="13"/>
      <c r="C190" s="13"/>
      <c r="D190" s="13"/>
      <c r="E190" s="13"/>
      <c r="F190" s="13"/>
      <c r="G190" s="13"/>
      <c r="H190" s="13"/>
      <c r="I190" s="13"/>
      <c r="J190" s="13"/>
      <c r="K190" s="117"/>
      <c r="L190" s="117"/>
      <c r="M190" s="117"/>
    </row>
    <row r="191" spans="1:13" ht="14.5" x14ac:dyDescent="0.35">
      <c r="A191" s="815"/>
      <c r="B191" s="13"/>
      <c r="C191" s="13"/>
      <c r="D191" s="13"/>
      <c r="E191" s="13"/>
      <c r="F191" s="13"/>
      <c r="G191" s="13"/>
      <c r="H191" s="13"/>
      <c r="I191" s="13"/>
      <c r="J191" s="13"/>
      <c r="K191" s="117"/>
      <c r="L191" s="117"/>
      <c r="M191" s="117"/>
    </row>
    <row r="192" spans="1:13" ht="14.5" x14ac:dyDescent="0.35">
      <c r="A192" s="815"/>
      <c r="B192" s="13"/>
      <c r="C192" s="13"/>
      <c r="D192" s="13"/>
      <c r="E192" s="13"/>
      <c r="F192" s="13"/>
      <c r="G192" s="13"/>
      <c r="H192" s="13"/>
      <c r="I192" s="13"/>
      <c r="J192" s="13"/>
      <c r="K192" s="117"/>
      <c r="L192" s="117"/>
      <c r="M192" s="117"/>
    </row>
    <row r="193" spans="1:13" x14ac:dyDescent="0.25">
      <c r="A193" s="117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</row>
    <row r="194" spans="1:13" x14ac:dyDescent="0.25">
      <c r="A194" s="117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</row>
    <row r="195" spans="1:13" x14ac:dyDescent="0.25">
      <c r="A195" s="117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</row>
    <row r="196" spans="1:13" x14ac:dyDescent="0.25">
      <c r="A196" s="117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</row>
    <row r="197" spans="1:13" x14ac:dyDescent="0.25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</row>
    <row r="198" spans="1:13" x14ac:dyDescent="0.25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</row>
    <row r="199" spans="1:13" x14ac:dyDescent="0.25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</row>
    <row r="200" spans="1:13" x14ac:dyDescent="0.25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</row>
    <row r="201" spans="1:13" x14ac:dyDescent="0.25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</row>
    <row r="202" spans="1:13" x14ac:dyDescent="0.25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</row>
    <row r="203" spans="1:13" x14ac:dyDescent="0.25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</row>
    <row r="204" spans="1:13" x14ac:dyDescent="0.25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</row>
    <row r="205" spans="1:13" x14ac:dyDescent="0.25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</row>
    <row r="206" spans="1:13" x14ac:dyDescent="0.25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</row>
    <row r="207" spans="1:13" x14ac:dyDescent="0.25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</row>
    <row r="208" spans="1:13" x14ac:dyDescent="0.25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</row>
    <row r="209" spans="1:13" x14ac:dyDescent="0.25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</row>
    <row r="210" spans="1:13" x14ac:dyDescent="0.25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</row>
    <row r="211" spans="1:13" x14ac:dyDescent="0.2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</row>
    <row r="212" spans="1:13" x14ac:dyDescent="0.2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</row>
    <row r="213" spans="1:13" x14ac:dyDescent="0.2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</row>
    <row r="214" spans="1:13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</row>
    <row r="215" spans="1:13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</row>
    <row r="216" spans="1:13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spans="1:13" x14ac:dyDescent="0.2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</row>
    <row r="218" spans="1:13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</row>
    <row r="219" spans="1:13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</row>
    <row r="220" spans="1:13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</row>
    <row r="221" spans="1:13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</row>
    <row r="222" spans="1:13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</row>
    <row r="223" spans="1:13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</row>
    <row r="224" spans="1:13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</row>
    <row r="225" spans="1:13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</row>
    <row r="226" spans="1:13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</row>
    <row r="227" spans="1:13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</row>
    <row r="228" spans="1:13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</row>
    <row r="229" spans="1:13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</row>
    <row r="230" spans="1:13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</row>
    <row r="231" spans="1:13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</row>
    <row r="232" spans="1:13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</row>
    <row r="233" spans="1:13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</row>
    <row r="234" spans="1:13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</row>
    <row r="235" spans="1:13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</row>
    <row r="236" spans="1:13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</row>
    <row r="237" spans="1:13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</row>
    <row r="238" spans="1:13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</row>
    <row r="239" spans="1:13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</row>
    <row r="240" spans="1:13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</row>
    <row r="241" spans="1:13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</row>
    <row r="242" spans="1:13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</row>
    <row r="243" spans="1:13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</row>
    <row r="244" spans="1:13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</row>
    <row r="245" spans="1:13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</row>
    <row r="246" spans="1:13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</row>
    <row r="247" spans="1:13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</row>
    <row r="248" spans="1:13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</row>
    <row r="249" spans="1:13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</row>
    <row r="250" spans="1:13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</row>
    <row r="251" spans="1:13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</row>
    <row r="252" spans="1:13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</row>
    <row r="253" spans="1:13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</row>
    <row r="254" spans="1:13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</row>
    <row r="255" spans="1:13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</row>
    <row r="256" spans="1:13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</row>
    <row r="257" spans="1:13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</row>
    <row r="258" spans="1:13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</row>
    <row r="259" spans="1:13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</row>
    <row r="260" spans="1:13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</row>
    <row r="261" spans="1:13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</row>
    <row r="262" spans="1:13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</row>
    <row r="263" spans="1:13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</row>
    <row r="264" spans="1:13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</row>
    <row r="265" spans="1:13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</row>
    <row r="266" spans="1:13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</row>
    <row r="267" spans="1:13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</row>
    <row r="268" spans="1:13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</row>
    <row r="269" spans="1:13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</row>
    <row r="270" spans="1:13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</row>
    <row r="271" spans="1:13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</row>
    <row r="272" spans="1:13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</row>
    <row r="273" spans="1:13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</row>
    <row r="274" spans="1:13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</row>
    <row r="275" spans="1:13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</row>
    <row r="276" spans="1:13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</row>
    <row r="277" spans="1:13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</row>
    <row r="278" spans="1:13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</row>
    <row r="279" spans="1:13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</row>
    <row r="280" spans="1:13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</row>
    <row r="281" spans="1:13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</row>
    <row r="282" spans="1:13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</row>
    <row r="283" spans="1:13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</row>
    <row r="284" spans="1:13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</row>
    <row r="285" spans="1:13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</row>
    <row r="286" spans="1:13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</row>
    <row r="287" spans="1:13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</row>
    <row r="288" spans="1:13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</row>
    <row r="289" spans="1:13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</row>
    <row r="290" spans="1:13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</row>
    <row r="291" spans="1:13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</row>
    <row r="292" spans="1:13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</row>
    <row r="293" spans="1:13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</row>
    <row r="294" spans="1:13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</row>
    <row r="295" spans="1:13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</row>
    <row r="296" spans="1:13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</row>
    <row r="297" spans="1:13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</row>
    <row r="298" spans="1:13" x14ac:dyDescent="0.25">
      <c r="A298" s="816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</row>
    <row r="299" spans="1:13" x14ac:dyDescent="0.25">
      <c r="A299" s="816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</row>
    <row r="300" spans="1:13" x14ac:dyDescent="0.25">
      <c r="A300" s="816"/>
      <c r="B300" s="817" t="str">
        <f>List!$B$259</f>
        <v>Ceník</v>
      </c>
      <c r="C300" s="818"/>
      <c r="D300" s="793"/>
      <c r="E300" s="117"/>
      <c r="F300" s="819" t="s">
        <v>200</v>
      </c>
      <c r="G300" s="820"/>
      <c r="H300" s="821"/>
      <c r="I300" s="117"/>
      <c r="J300" s="117"/>
      <c r="K300" s="822" t="str">
        <f>List!$B$113</f>
        <v>Zpět na úvod</v>
      </c>
      <c r="L300" s="822"/>
      <c r="M300" s="117"/>
    </row>
    <row r="301" spans="1:13" x14ac:dyDescent="0.25">
      <c r="A301" s="816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</row>
    <row r="302" spans="1:13" x14ac:dyDescent="0.25">
      <c r="A302" s="816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</row>
    <row r="303" spans="1:13" x14ac:dyDescent="0.25">
      <c r="A303" s="816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</row>
    <row r="304" spans="1:13" x14ac:dyDescent="0.25">
      <c r="A304" s="816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</row>
    <row r="305" spans="1:13" x14ac:dyDescent="0.25">
      <c r="A305" s="816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</row>
    <row r="306" spans="1:13" x14ac:dyDescent="0.25">
      <c r="A306" s="816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</row>
    <row r="307" spans="1:13" x14ac:dyDescent="0.25">
      <c r="A307" s="816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</row>
    <row r="308" spans="1:13" x14ac:dyDescent="0.25">
      <c r="A308" s="816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</row>
    <row r="309" spans="1:13" x14ac:dyDescent="0.25">
      <c r="A309" s="816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</row>
    <row r="399" spans="1:12" x14ac:dyDescent="0.25">
      <c r="A399" s="823"/>
    </row>
    <row r="400" spans="1:12" ht="17.5" x14ac:dyDescent="0.35">
      <c r="A400" s="823"/>
      <c r="B400" s="192" t="str">
        <f>"     "&amp;List!$B$16&amp;": "&amp;List!$B$13</f>
        <v xml:space="preserve">     Nápověda: Úvod</v>
      </c>
      <c r="C400" s="7"/>
      <c r="D400" s="7"/>
      <c r="E400" s="7"/>
      <c r="F400" s="7"/>
      <c r="G400" s="7"/>
      <c r="H400" s="7"/>
      <c r="I400" s="7"/>
      <c r="J400" s="7"/>
      <c r="K400" s="7"/>
      <c r="L400" s="73"/>
    </row>
    <row r="401" spans="1:2" x14ac:dyDescent="0.25">
      <c r="A401" s="823"/>
    </row>
    <row r="402" spans="1:2" x14ac:dyDescent="0.25">
      <c r="A402" s="823"/>
      <c r="B402" s="2" t="str">
        <f>List!B269&amp;":"</f>
        <v>Před prvním spuštěním:</v>
      </c>
    </row>
    <row r="403" spans="1:2" x14ac:dyDescent="0.25">
      <c r="A403" s="823"/>
    </row>
    <row r="404" spans="1:2" x14ac:dyDescent="0.25">
      <c r="A404" s="823"/>
      <c r="B404" s="2" t="str">
        <f>"1. "&amp;List!$B$270&amp;" ' "&amp;List!$B$24&amp;" '"</f>
        <v>1. Přejděte na  ' Základní údaje '</v>
      </c>
    </row>
    <row r="405" spans="1:2" x14ac:dyDescent="0.25">
      <c r="A405" s="823"/>
      <c r="B405" s="2" t="str">
        <f>"2. "&amp;List!$B$271</f>
        <v>2. Vyplňte identifikační údaje a výši slevy od prodejce</v>
      </c>
    </row>
    <row r="406" spans="1:2" x14ac:dyDescent="0.25">
      <c r="A406" s="823"/>
      <c r="B406" s="2" t="str">
        <f>"3. "&amp;List!$B$272</f>
        <v>3. Po vyplnění se vraťte na úvod a subor uložte nebo zavřete s potvrzením změn</v>
      </c>
    </row>
    <row r="407" spans="1:2" x14ac:dyDescent="0.25">
      <c r="A407" s="823"/>
      <c r="B407" s="2" t="str">
        <f>"    "&amp;List!$B$273</f>
        <v xml:space="preserve">    Identifikační údaje se budou zobrazovat v objednávkách</v>
      </c>
    </row>
    <row r="408" spans="1:2" x14ac:dyDescent="0.25">
      <c r="A408" s="823"/>
    </row>
    <row r="409" spans="1:2" x14ac:dyDescent="0.25">
      <c r="A409" s="823"/>
      <c r="B409" s="2" t="str">
        <f>List!$B$279&amp;":"</f>
        <v>Volby:</v>
      </c>
    </row>
    <row r="410" spans="1:2" x14ac:dyDescent="0.25">
      <c r="A410" s="823"/>
      <c r="B410" s="2" t="str">
        <f>List!$B$280</f>
        <v>Vyberte barvu povrchové úpravy</v>
      </c>
    </row>
    <row r="411" spans="1:2" ht="17.5" customHeight="1" x14ac:dyDescent="0.25">
      <c r="A411" s="823"/>
      <c r="B411" s="2" t="str">
        <f>List!$B$281</f>
        <v>Vyberte, z čeho budou vyrobeny čela</v>
      </c>
    </row>
    <row r="412" spans="1:2" x14ac:dyDescent="0.25">
      <c r="A412" s="823"/>
      <c r="B412" s="2" t="str">
        <f>"  "&amp;List!B46&amp;": "&amp;List!$B$282</f>
        <v xml:space="preserve">  Standardní materiály: materiály tloušťky od 15 mm</v>
      </c>
    </row>
    <row r="413" spans="1:2" x14ac:dyDescent="0.25">
      <c r="A413" s="823"/>
      <c r="B413" s="2" t="str">
        <f>"  "&amp;List!B47&amp;": "&amp;List!$B$283</f>
        <v xml:space="preserve">  Tenké materiály: materiály tloušťky od 8 do 14 mm</v>
      </c>
    </row>
    <row r="414" spans="1:2" ht="17.5" customHeight="1" x14ac:dyDescent="0.25">
      <c r="A414" s="823"/>
      <c r="B414" s="2" t="str">
        <f>List!$B$284</f>
        <v>Vyberte způsob montáže čelního kování</v>
      </c>
    </row>
    <row r="415" spans="1:2" x14ac:dyDescent="0.25">
      <c r="A415" s="823"/>
    </row>
    <row r="416" spans="1:2" x14ac:dyDescent="0.25">
      <c r="A416" s="823"/>
    </row>
    <row r="417" spans="1:2" x14ac:dyDescent="0.25">
      <c r="A417" s="823"/>
      <c r="B417" s="2" t="str">
        <f>List!B275</f>
        <v>Na úvodní obrazovce vyberte, jaké ceny se budou zobrazovat:</v>
      </c>
    </row>
    <row r="418" spans="1:2" x14ac:dyDescent="0.25">
      <c r="A418" s="823"/>
      <c r="B418" s="2" t="str">
        <f>" - "&amp;List!B276</f>
        <v xml:space="preserve"> - Základní (ceníkové) ceny bez slevy</v>
      </c>
    </row>
    <row r="419" spans="1:2" x14ac:dyDescent="0.25">
      <c r="A419" s="823"/>
      <c r="B419" s="2" t="str">
        <f>" - "&amp;List!$B$90&amp;" ("&amp;List!$B$94&amp;")"</f>
        <v xml:space="preserve"> - Nákupní ceny (Ceny se slevou od prodejce)</v>
      </c>
    </row>
    <row r="420" spans="1:2" x14ac:dyDescent="0.25">
      <c r="A420" s="823"/>
      <c r="B420" s="2" t="str">
        <f>" - "&amp;List!$B$93</f>
        <v xml:space="preserve"> - Ceny s volitelnou slevou</v>
      </c>
    </row>
    <row r="421" spans="1:2" ht="13" x14ac:dyDescent="0.3">
      <c r="A421" s="823"/>
      <c r="B421" s="229" t="str">
        <f>"     Tip: "&amp;List!B277</f>
        <v xml:space="preserve">     Tip: Zadáte-li slevu s mínusovým znamínkem, zobrazí se ceny o tuto hodnotu vyšší </v>
      </c>
    </row>
    <row r="422" spans="1:2" x14ac:dyDescent="0.25">
      <c r="A422" s="823"/>
    </row>
    <row r="423" spans="1:2" x14ac:dyDescent="0.25">
      <c r="A423" s="823"/>
    </row>
    <row r="424" spans="1:2" x14ac:dyDescent="0.25">
      <c r="A424" s="823"/>
    </row>
    <row r="425" spans="1:2" x14ac:dyDescent="0.25">
      <c r="A425" s="823"/>
    </row>
    <row r="426" spans="1:2" x14ac:dyDescent="0.25">
      <c r="A426" s="823"/>
    </row>
    <row r="427" spans="1:2" x14ac:dyDescent="0.25">
      <c r="A427" s="823"/>
    </row>
    <row r="428" spans="1:2" x14ac:dyDescent="0.25">
      <c r="A428" s="823"/>
    </row>
    <row r="429" spans="1:2" x14ac:dyDescent="0.25">
      <c r="A429" s="823"/>
    </row>
    <row r="430" spans="1:2" x14ac:dyDescent="0.25">
      <c r="A430" s="823"/>
    </row>
    <row r="431" spans="1:2" x14ac:dyDescent="0.25">
      <c r="A431" s="823"/>
    </row>
    <row r="432" spans="1:2" x14ac:dyDescent="0.25">
      <c r="A432" s="823"/>
    </row>
    <row r="433" spans="1:11" x14ac:dyDescent="0.25">
      <c r="A433" s="823"/>
    </row>
    <row r="434" spans="1:11" x14ac:dyDescent="0.25">
      <c r="A434" s="823"/>
    </row>
    <row r="435" spans="1:11" x14ac:dyDescent="0.25">
      <c r="A435" s="823"/>
    </row>
    <row r="436" spans="1:11" x14ac:dyDescent="0.25">
      <c r="A436" s="823"/>
      <c r="I436" s="814" t="str">
        <f>List!$B$113</f>
        <v>Zpět na úvod</v>
      </c>
      <c r="J436" s="814"/>
      <c r="K436" s="814"/>
    </row>
    <row r="437" spans="1:11" x14ac:dyDescent="0.25">
      <c r="A437" s="823"/>
    </row>
    <row r="438" spans="1:11" x14ac:dyDescent="0.25">
      <c r="A438" s="823"/>
    </row>
    <row r="439" spans="1:11" x14ac:dyDescent="0.25">
      <c r="A439" s="823"/>
    </row>
    <row r="440" spans="1:11" x14ac:dyDescent="0.25">
      <c r="A440" s="823"/>
    </row>
    <row r="441" spans="1:11" x14ac:dyDescent="0.25">
      <c r="A441" s="151"/>
    </row>
  </sheetData>
  <sheetProtection algorithmName="SHA-512" hashValue="xm6Kb3zLnAmSout9m4XUjBQxlWSbSgGtc1Xaoz4MMz/XvO1fYoNooFpbbV/Kgtleu42RcknxURlb5L+ZlpHhaw==" saltValue="AGZHn6a1ROG/eCjp3vP1gQ==" spinCount="100000" sheet="1" objects="1" scenarios="1"/>
  <mergeCells count="25">
    <mergeCell ref="L3:L4"/>
    <mergeCell ref="A101:A135"/>
    <mergeCell ref="C104:F104"/>
    <mergeCell ref="C106:F106"/>
    <mergeCell ref="C107:F107"/>
    <mergeCell ref="C108:F108"/>
    <mergeCell ref="C110:F110"/>
    <mergeCell ref="C111:F111"/>
    <mergeCell ref="C112:F112"/>
    <mergeCell ref="C128:E128"/>
    <mergeCell ref="B23:C23"/>
    <mergeCell ref="C114:E114"/>
    <mergeCell ref="C115:E115"/>
    <mergeCell ref="B24:H24"/>
    <mergeCell ref="C117:E117"/>
    <mergeCell ref="C118:E118"/>
    <mergeCell ref="C119:F119"/>
    <mergeCell ref="I436:K436"/>
    <mergeCell ref="A149:A192"/>
    <mergeCell ref="F154:H154"/>
    <mergeCell ref="A298:A309"/>
    <mergeCell ref="B300:C300"/>
    <mergeCell ref="F300:H300"/>
    <mergeCell ref="K300:L300"/>
    <mergeCell ref="A399:A440"/>
  </mergeCells>
  <phoneticPr fontId="52" type="noConversion"/>
  <hyperlinks>
    <hyperlink ref="C128" location="HFww!A1" tooltip=" " display="HFww!A1" xr:uid="{00000000-0004-0000-0000-000000000000}"/>
    <hyperlink ref="C128:E128" location="Form!A1" tooltip=" " display="Form!A1" xr:uid="{00000000-0004-0000-0000-000001000000}"/>
    <hyperlink ref="L2" location="Form!A100" tooltip=" " display="Form!A100" xr:uid="{00000000-0004-0000-0000-000002000000}"/>
    <hyperlink ref="H25" location="Form!A150" tooltip=" " display="Form!A150" xr:uid="{00000000-0004-0000-0000-000003000000}"/>
    <hyperlink ref="F154" location="HFww!A1" tooltip=" " display="HFww!A1" xr:uid="{00000000-0004-0000-0000-000004000000}"/>
    <hyperlink ref="F154:H154" location="Form!A1" tooltip=" " display="Form!A1" xr:uid="{00000000-0004-0000-0000-000005000000}"/>
    <hyperlink ref="B300:C300" location="Price!A1" tooltip=" " display="Price!A1" xr:uid="{00000000-0004-0000-0000-000006000000}"/>
    <hyperlink ref="K300" location="Form!A1" tooltip=" " display="Form!A1" xr:uid="{00000000-0004-0000-0000-000007000000}"/>
    <hyperlink ref="F300:H300" location="List!A1" tooltip=" " display="List" xr:uid="{00000000-0004-0000-0000-000008000000}"/>
    <hyperlink ref="L7" location="Menu!A1" tooltip=" " display="Menu!A1" xr:uid="{00000000-0004-0000-0000-000009000000}"/>
    <hyperlink ref="L11" location="AL!A1" tooltip=" " display="AL!A1" xr:uid="{00000000-0004-0000-0000-00000A000000}"/>
    <hyperlink ref="L9" location="Acs!A1" tooltip=" " display="Acs!A1" xr:uid="{00000000-0004-0000-0000-00000B000000}"/>
    <hyperlink ref="I436" location="HFww!A1" tooltip=" " display="HFww!A1" xr:uid="{00000000-0004-0000-0000-00000C000000}"/>
    <hyperlink ref="I436:K436" location="Form!A1" tooltip=" " display="Form!A1" xr:uid="{00000000-0004-0000-0000-00000D000000}"/>
    <hyperlink ref="L13" location="Form!A400" tooltip=" " display="Form!A400" xr:uid="{00000000-0004-0000-0000-00000E000000}"/>
    <hyperlink ref="L10" location="SD!A1" tooltip=" " display="SD!A1" xr:uid="{00000000-0004-0000-0000-00000F000000}"/>
  </hyperlinks>
  <pageMargins left="0.7" right="0.7" top="0.78740157499999996" bottom="0.78740157499999996" header="0.3" footer="0.3"/>
  <pageSetup paperSize="9" orientation="portrait" horizontalDpi="4294967293" verticalDpi="200" r:id="rId1"/>
  <ignoredErrors>
    <ignoredError sqref="U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5" name="Drop Down 8">
              <controlPr defaultSize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6" name="Drop Down 9">
              <controlPr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781050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7" name="Drop Down 10">
              <controlPr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8">
    <tabColor theme="5" tint="0.39997558519241921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542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"&amp;List!$B$69&amp;" "&amp;List!$B$67</f>
        <v>Vnitřní výsuv C, vysoký přední zásuvný prvek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Cen!A166</f>
        <v>Bočnice C free, 350mm, Orion šedá</v>
      </c>
      <c r="Q5" s="125" t="str">
        <f>Cen!B166</f>
        <v>780C3502S</v>
      </c>
      <c r="R5" s="125" t="str">
        <f>Cen!C166</f>
        <v>OG-M</v>
      </c>
      <c r="S5" s="257">
        <f>SUM(F20,F26,F32)</f>
        <v>0</v>
      </c>
      <c r="T5" s="261">
        <f>Cen!F166</f>
        <v>957.21118000000001</v>
      </c>
      <c r="U5" s="258">
        <f t="shared" ref="U5:U10" si="0">S5*T5</f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125" t="str">
        <f>Cen!A171</f>
        <v>Bočnice C free, 400mm, Orion šedá</v>
      </c>
      <c r="Q6" s="125" t="str">
        <f>Cen!B171</f>
        <v>780C4002S</v>
      </c>
      <c r="R6" s="125" t="str">
        <f>Cen!C171</f>
        <v>OG-M</v>
      </c>
      <c r="S6" s="257">
        <f>SUM(G20,G26,G32)</f>
        <v>0</v>
      </c>
      <c r="T6" s="261">
        <f>Cen!F171</f>
        <v>964.26940999999999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 t="str">
        <f>List!$B$36&amp;":"</f>
        <v>sklo:</v>
      </c>
      <c r="I7" s="120"/>
      <c r="J7" s="119" t="str">
        <f>Form!$P$9</f>
        <v>čiré</v>
      </c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Cen!A176</f>
        <v>Bočnice C free, 450mm, Orion šedá</v>
      </c>
      <c r="Q7" s="125" t="str">
        <f>Cen!B176</f>
        <v>780C4502S</v>
      </c>
      <c r="R7" s="125" t="str">
        <f>Cen!C176</f>
        <v>OG-M</v>
      </c>
      <c r="S7" s="257">
        <f>SUM(H20:H21,H26:H27,H32:H33)</f>
        <v>0</v>
      </c>
      <c r="T7" s="261">
        <f>Cen!F176</f>
        <v>971.33302000000003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Cen!C181</f>
        <v>OG-M</v>
      </c>
      <c r="S8" s="257">
        <f>SUM(I20:I21,I26:I27,I32:I33)</f>
        <v>0</v>
      </c>
      <c r="T8" s="261">
        <f>Cen!F181</f>
        <v>978.39665000000002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$U$84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Cen!C186</f>
        <v>OG-M</v>
      </c>
      <c r="S9" s="257">
        <f>SUM(J20:J21,J26:J27,J32:J33)</f>
        <v>0</v>
      </c>
      <c r="T9" s="261">
        <f>Cen!F186</f>
        <v>1034.8882699999999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Cen!A191</f>
        <v>Bočnice C free, 600mm, Orion šedá</v>
      </c>
      <c r="Q10" s="125" t="str">
        <f>Cen!B191</f>
        <v>780C6002S</v>
      </c>
      <c r="R10" s="125" t="str">
        <f>Cen!C191</f>
        <v>OG-M</v>
      </c>
      <c r="S10" s="257">
        <f>SUM(K20:K21,K26:K27,K32:K33)</f>
        <v>0</v>
      </c>
      <c r="T10" s="261">
        <f>Cen!F191</f>
        <v>1123.16077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List!$B$149&amp;":"</f>
        <v>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Cen!A196</f>
        <v>Bočnice C free, 650mm, Orion šedá</v>
      </c>
      <c r="Q11" s="125" t="str">
        <f>Cen!B196</f>
        <v>780C6502S</v>
      </c>
      <c r="R11" s="125" t="str">
        <f>Cen!C196</f>
        <v>OG-M</v>
      </c>
      <c r="S11" s="257">
        <f>SUM(L21,L27,L33)</f>
        <v>0</v>
      </c>
      <c r="T11" s="261">
        <f>Cen!F196</f>
        <v>1156.3666000000001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List!$C$67&amp;":"</f>
        <v>přední zásuvný prvek: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72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117" t="str">
        <f>"       "&amp;List!$C$75&amp;"  =  LW - 80"</f>
        <v xml:space="preserve">       šířka  =  LW - 80</v>
      </c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117" t="str">
        <f>"       "&amp;List!$C$76&amp;" = 138 mm"</f>
        <v xml:space="preserve">       výška = 138 mm</v>
      </c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4" x14ac:dyDescent="0.3">
      <c r="A17" s="117"/>
      <c r="B17" s="117"/>
      <c r="C17" s="117"/>
      <c r="D17" s="117"/>
      <c r="E17" s="117"/>
      <c r="F17" s="117"/>
      <c r="G17" s="117"/>
      <c r="H17" s="466" t="str">
        <f>IF(AND(SUM(S3:S10)&gt;0,SUM(S69:S72)=0),List!$B$169&amp;" "&amp;List!$B$170," ")</f>
        <v xml:space="preserve"> </v>
      </c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0"/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651</v>
      </c>
      <c r="C20" s="293" t="s">
        <v>432</v>
      </c>
      <c r="D20" s="559"/>
      <c r="E20" s="559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652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/>
      <c r="E25" s="300"/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653</v>
      </c>
      <c r="C26" s="293" t="s">
        <v>432</v>
      </c>
      <c r="D26" s="559"/>
      <c r="E26" s="559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654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si="1"/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1"/>
        <v>0</v>
      </c>
    </row>
    <row r="29" spans="1:21" x14ac:dyDescent="0.25">
      <c r="A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1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1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/>
      <c r="E31" s="300"/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1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559"/>
      <c r="E32" s="559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1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1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1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1"/>
        <v>0</v>
      </c>
    </row>
    <row r="36" spans="2:21" ht="14" x14ac:dyDescent="0.3">
      <c r="B36" s="286"/>
      <c r="C36" s="286"/>
      <c r="D36" s="303"/>
      <c r="E36" s="303"/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1"/>
        <v>0</v>
      </c>
    </row>
    <row r="37" spans="2:21" ht="14.5" thickBot="1" x14ac:dyDescent="0.35">
      <c r="B37" s="175"/>
      <c r="C37" s="286"/>
      <c r="D37" s="559"/>
      <c r="E37" s="559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1"/>
        <v>0</v>
      </c>
    </row>
    <row r="38" spans="2:21" x14ac:dyDescent="0.25">
      <c r="C38" s="651"/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1"/>
        <v>0</v>
      </c>
    </row>
    <row r="39" spans="2:21" ht="20" customHeight="1" x14ac:dyDescent="0.3">
      <c r="C39" s="282"/>
      <c r="D39" s="725" t="str">
        <f>"        ** "&amp;List!$B$325&amp;"!"</f>
        <v xml:space="preserve">        ** Jednotky L1 nelze kombinovat s lištami se zvýšenou nosností (70 kg)!</v>
      </c>
      <c r="H39" s="284"/>
      <c r="I39" s="284"/>
      <c r="J39" s="284"/>
      <c r="K39" s="284"/>
      <c r="L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3" x14ac:dyDescent="0.3">
      <c r="B40" s="282"/>
      <c r="C40" s="282"/>
      <c r="D40" s="725" t="str">
        <f>"       *** "&amp;List!$B$326&amp;"!"</f>
        <v xml:space="preserve">       *** Jednotky L5 nelze kombinovat s lištami se základní nosností (40 kg)!</v>
      </c>
      <c r="H40" s="285"/>
      <c r="I40" s="285"/>
      <c r="J40" s="285"/>
      <c r="K40" s="285"/>
      <c r="L40" s="285"/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D41" s="650"/>
      <c r="P41" s="120"/>
      <c r="Q41" s="120"/>
      <c r="R41" s="120"/>
      <c r="S41" s="121"/>
      <c r="T41" s="116"/>
      <c r="U41" s="116"/>
    </row>
    <row r="42" spans="2:21" ht="13" x14ac:dyDescent="0.3">
      <c r="B42" s="117"/>
      <c r="C42" s="282"/>
      <c r="D42" s="725" t="str">
        <f>"     "&amp;List!$B$313</f>
        <v xml:space="preserve">     Synchronizace bude přidána automaticky. </v>
      </c>
      <c r="H42" s="286"/>
      <c r="I42" s="286"/>
      <c r="J42" s="286"/>
      <c r="K42" s="286"/>
      <c r="L42" s="286"/>
      <c r="P42" s="120"/>
      <c r="Q42" s="120"/>
      <c r="R42" s="120"/>
      <c r="S42" s="121"/>
      <c r="T42" s="116"/>
      <c r="U42" s="116"/>
    </row>
    <row r="43" spans="2:21" ht="13" x14ac:dyDescent="0.3">
      <c r="B43" s="282"/>
      <c r="C43" s="282"/>
      <c r="D43" s="725" t="str">
        <f>"     "&amp;List!$B$314</f>
        <v xml:space="preserve">     Pozor! Pro každý výsuv je započítána jedna hřídel. Počet hřídelí upravte v objednávce!</v>
      </c>
      <c r="E43" s="117"/>
      <c r="F43" s="117"/>
      <c r="G43" s="117"/>
      <c r="H43" s="142"/>
      <c r="I43" s="142"/>
      <c r="J43" s="117"/>
      <c r="K43" s="117"/>
      <c r="L43" s="117"/>
      <c r="P43" s="120"/>
      <c r="Q43" s="120"/>
      <c r="R43" s="120"/>
      <c r="S43" s="121"/>
      <c r="T43" s="116"/>
      <c r="U43" s="116"/>
    </row>
    <row r="44" spans="2:21" ht="13" x14ac:dyDescent="0.3">
      <c r="B44" s="282"/>
      <c r="C44" s="282"/>
      <c r="D44" s="725"/>
      <c r="E44" s="117"/>
      <c r="F44" s="117"/>
      <c r="G44" s="117"/>
      <c r="H44" s="142"/>
      <c r="I44" s="142"/>
      <c r="J44" s="117"/>
      <c r="K44" s="117"/>
      <c r="L44" s="117"/>
      <c r="P44" s="120"/>
      <c r="Q44" s="120"/>
      <c r="R44" s="120"/>
      <c r="S44" s="121"/>
      <c r="T44" s="116"/>
      <c r="U44" s="116"/>
    </row>
    <row r="45" spans="2:21" ht="13" x14ac:dyDescent="0.3">
      <c r="B45" s="282"/>
      <c r="C45" s="282"/>
      <c r="H45" s="285"/>
      <c r="I45" s="285"/>
      <c r="J45" s="285"/>
      <c r="K45" s="285"/>
      <c r="L45" s="285"/>
      <c r="P45" s="120"/>
      <c r="Q45" s="120"/>
      <c r="R45" s="120"/>
      <c r="S45" s="121"/>
      <c r="T45" s="116"/>
      <c r="U45" s="116"/>
    </row>
    <row r="46" spans="2:21" ht="15.5" x14ac:dyDescent="0.35">
      <c r="B46" s="316" t="str">
        <f>List!$B$66&amp;" - "&amp;List!$B$36</f>
        <v>Přední zásuvné prvky - sklo</v>
      </c>
      <c r="C46" s="282"/>
      <c r="H46" s="283"/>
      <c r="I46" s="283"/>
      <c r="J46" s="283"/>
      <c r="K46" s="283"/>
      <c r="L46" s="283"/>
      <c r="P46" s="120"/>
      <c r="Q46" s="120"/>
      <c r="R46" s="120"/>
      <c r="S46" s="121"/>
      <c r="T46" s="116"/>
      <c r="U46" s="116"/>
    </row>
    <row r="47" spans="2:21" ht="15.5" x14ac:dyDescent="0.3">
      <c r="B47" s="307"/>
      <c r="C47" s="7"/>
      <c r="D47" s="315" t="str">
        <f>List!$B$115&amp;" KB: "</f>
        <v xml:space="preserve">Šířka korpusu KB: </v>
      </c>
      <c r="E47" s="303" t="s">
        <v>111</v>
      </c>
      <c r="F47" s="309" t="s">
        <v>112</v>
      </c>
      <c r="G47" s="300" t="s">
        <v>642</v>
      </c>
      <c r="H47" s="302" t="s">
        <v>643</v>
      </c>
      <c r="I47" s="286"/>
      <c r="J47" s="286"/>
      <c r="K47" s="286"/>
      <c r="L47" s="286"/>
      <c r="P47" s="684"/>
      <c r="Q47" s="684"/>
      <c r="R47" s="684"/>
      <c r="S47" s="685"/>
      <c r="T47" s="686"/>
      <c r="U47" s="686"/>
    </row>
    <row r="48" spans="2:21" ht="14" x14ac:dyDescent="0.3">
      <c r="B48" s="314"/>
      <c r="D48" s="317" t="str">
        <f>List!$B$103&amp;": "</f>
        <v xml:space="preserve">Celkový počet ks: </v>
      </c>
      <c r="E48" s="312"/>
      <c r="F48" s="312"/>
      <c r="G48" s="312"/>
      <c r="H48" s="313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4" x14ac:dyDescent="0.3">
      <c r="B49" s="314"/>
      <c r="D49" s="317"/>
      <c r="E49" s="290"/>
      <c r="F49" s="290"/>
      <c r="G49" s="290"/>
      <c r="H49" s="290"/>
      <c r="I49" s="284"/>
      <c r="J49" s="284"/>
      <c r="K49" s="284"/>
      <c r="L49" s="284"/>
      <c r="P49" s="120"/>
      <c r="Q49" s="120"/>
      <c r="R49" s="120"/>
      <c r="S49" s="121"/>
      <c r="T49" s="116"/>
      <c r="U49" s="116"/>
    </row>
    <row r="50" spans="2:21" ht="14" x14ac:dyDescent="0.3">
      <c r="B50" s="310"/>
      <c r="C50" s="311"/>
      <c r="D50" s="290"/>
      <c r="E50" s="290"/>
      <c r="F50" s="290"/>
      <c r="G50" s="290"/>
      <c r="I50" s="285"/>
      <c r="J50" s="285"/>
      <c r="K50" s="285"/>
      <c r="L50" s="285"/>
      <c r="P50" s="120"/>
      <c r="Q50" s="120"/>
      <c r="R50" s="120"/>
      <c r="S50" s="121"/>
      <c r="T50" s="116"/>
      <c r="U50" s="116"/>
    </row>
    <row r="51" spans="2:21" ht="13" x14ac:dyDescent="0.3">
      <c r="B51" s="117" t="str">
        <f>"        "&amp;List!$B$171</f>
        <v xml:space="preserve">        Zadejte celkový počet předních zásuvných prvků pro příslušnou šířku korpusu</v>
      </c>
      <c r="C51" s="282"/>
      <c r="H51" s="283"/>
      <c r="I51" s="283"/>
      <c r="J51" s="283"/>
      <c r="K51" s="283"/>
      <c r="L51" s="283"/>
      <c r="P51" s="120"/>
      <c r="Q51" s="120"/>
      <c r="R51" s="120"/>
      <c r="S51" s="121"/>
      <c r="T51" s="116"/>
      <c r="U51" s="116"/>
    </row>
    <row r="52" spans="2:21" ht="13" x14ac:dyDescent="0.3">
      <c r="B52" s="117" t="str">
        <f>"        "&amp;List!$B$175</f>
        <v xml:space="preserve">        Máte-li zásuvné prvky vlastní, počty nezadávejte</v>
      </c>
      <c r="C52" s="282"/>
      <c r="H52" s="286"/>
      <c r="I52" s="286"/>
      <c r="J52" s="286"/>
      <c r="K52" s="286"/>
      <c r="L52" s="286"/>
      <c r="P52" s="120"/>
      <c r="Q52" s="120"/>
      <c r="R52" s="120"/>
      <c r="S52" s="121"/>
      <c r="T52" s="116"/>
      <c r="U52" s="116"/>
    </row>
    <row r="53" spans="2:21" ht="13" x14ac:dyDescent="0.3">
      <c r="B53" s="117"/>
      <c r="C53" s="282"/>
      <c r="H53" s="286"/>
      <c r="I53" s="286"/>
      <c r="J53" s="286"/>
      <c r="K53" s="286"/>
      <c r="L53" s="286"/>
      <c r="P53" s="120"/>
      <c r="Q53" s="120"/>
      <c r="R53" s="120"/>
      <c r="S53" s="121"/>
      <c r="T53" s="116"/>
      <c r="U53" s="116"/>
    </row>
    <row r="54" spans="2:21" ht="13" x14ac:dyDescent="0.3">
      <c r="B54" s="117" t="str">
        <f>"        "&amp;List!$B$161</f>
        <v xml:space="preserve">        Pro každý výsuv je započítán jeden přední díl</v>
      </c>
      <c r="C54" s="282"/>
      <c r="H54" s="286"/>
      <c r="I54" s="286"/>
      <c r="J54" s="286"/>
      <c r="K54" s="286"/>
      <c r="L54" s="286"/>
      <c r="P54" s="120"/>
      <c r="Q54" s="120"/>
      <c r="R54" s="120"/>
      <c r="S54" s="121"/>
      <c r="T54" s="116"/>
      <c r="U54" s="116"/>
    </row>
    <row r="55" spans="2:21" ht="13" x14ac:dyDescent="0.3">
      <c r="B55" s="117" t="str">
        <f>"        "&amp;List!$B$163</f>
        <v xml:space="preserve">        Potřebný počet předních dílů upravte v objednávce</v>
      </c>
      <c r="C55" s="282"/>
      <c r="H55" s="286"/>
      <c r="I55" s="286"/>
      <c r="J55" s="286"/>
      <c r="K55" s="286"/>
      <c r="L55" s="286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2">S55*T55</f>
        <v>0</v>
      </c>
    </row>
    <row r="56" spans="2:21" ht="13" x14ac:dyDescent="0.3">
      <c r="B56" s="117"/>
      <c r="C56" s="282"/>
      <c r="H56" s="286"/>
      <c r="I56" s="286"/>
      <c r="J56" s="286"/>
      <c r="K56" s="286"/>
      <c r="L56" s="286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3">S56*T56</f>
        <v>0</v>
      </c>
    </row>
    <row r="57" spans="2:21" ht="13" x14ac:dyDescent="0.3">
      <c r="B57" s="117" t="str">
        <f>"        "&amp;List!$B$172</f>
        <v xml:space="preserve">        Boční zásuvné prvky se načtou automaticky</v>
      </c>
      <c r="C57" s="282"/>
      <c r="H57" s="286"/>
      <c r="I57" s="286"/>
      <c r="J57" s="286"/>
      <c r="K57" s="286"/>
      <c r="L57" s="286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3"/>
        <v>0</v>
      </c>
    </row>
    <row r="58" spans="2:21" ht="13" x14ac:dyDescent="0.3">
      <c r="B58" s="117" t="str">
        <f>"        "&amp;List!$B$176</f>
        <v xml:space="preserve">        Máte-li zásuvné prvky vlastní, upravte počty v objednávce</v>
      </c>
      <c r="C58" s="282"/>
      <c r="H58" s="286"/>
      <c r="I58" s="286"/>
      <c r="J58" s="286"/>
      <c r="K58" s="286"/>
      <c r="L58" s="286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3"/>
        <v>0</v>
      </c>
    </row>
    <row r="59" spans="2:21" ht="13" x14ac:dyDescent="0.3">
      <c r="C59" s="282"/>
      <c r="H59" s="286"/>
      <c r="I59" s="286"/>
      <c r="J59" s="286"/>
      <c r="K59" s="286"/>
      <c r="L59" s="286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3"/>
        <v>0</v>
      </c>
    </row>
    <row r="60" spans="2:21" ht="13" x14ac:dyDescent="0.3">
      <c r="B60" s="117"/>
      <c r="C60" s="282"/>
      <c r="H60" s="286"/>
      <c r="I60" s="286"/>
      <c r="J60" s="286"/>
      <c r="K60" s="286"/>
      <c r="L60" s="286"/>
      <c r="P60" s="142"/>
      <c r="Q60" s="142"/>
      <c r="R60" s="142"/>
      <c r="S60" s="148"/>
      <c r="T60" s="152"/>
      <c r="U60" s="152"/>
    </row>
    <row r="61" spans="2:21" ht="13" x14ac:dyDescent="0.3">
      <c r="B61" s="117"/>
      <c r="C61" s="282"/>
      <c r="H61" s="286"/>
      <c r="I61" s="286"/>
      <c r="J61" s="286"/>
      <c r="K61" s="286"/>
      <c r="L61" s="286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 t="shared" ref="U61" si="4">S61*T61</f>
        <v>0</v>
      </c>
    </row>
    <row r="62" spans="2:21" ht="13" x14ac:dyDescent="0.3">
      <c r="C62" s="282"/>
      <c r="H62" s="284"/>
      <c r="I62" s="284"/>
      <c r="J62" s="284"/>
      <c r="K62" s="284"/>
      <c r="L62" s="284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 t="shared" ref="U62" si="5">S62*T62</f>
        <v>0</v>
      </c>
    </row>
    <row r="63" spans="2:21" x14ac:dyDescent="0.25">
      <c r="H63" s="285"/>
      <c r="I63" s="285"/>
      <c r="J63" s="285"/>
      <c r="K63" s="285"/>
      <c r="L63" s="285"/>
      <c r="P63" s="120"/>
      <c r="Q63" s="120"/>
      <c r="R63" s="120"/>
      <c r="S63" s="121"/>
      <c r="T63" s="116"/>
      <c r="U63" s="116"/>
    </row>
    <row r="64" spans="2:21" ht="13" x14ac:dyDescent="0.3">
      <c r="H64" s="283"/>
      <c r="I64" s="283"/>
      <c r="J64" s="283"/>
      <c r="K64" s="283"/>
      <c r="L64" s="283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 t="shared" si="1"/>
        <v>0</v>
      </c>
    </row>
    <row r="65" spans="3:21" ht="13" x14ac:dyDescent="0.3">
      <c r="C65" s="282"/>
      <c r="H65" s="284"/>
      <c r="I65" s="284"/>
      <c r="J65" s="284"/>
      <c r="K65" s="284"/>
      <c r="L65" s="284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SUM(S3:S11)</f>
        <v>0</v>
      </c>
      <c r="T65" s="116">
        <f>Cen!F369</f>
        <v>585.05386999999996</v>
      </c>
      <c r="U65" s="116">
        <f t="shared" si="1"/>
        <v>0</v>
      </c>
    </row>
    <row r="66" spans="3:21" x14ac:dyDescent="0.25">
      <c r="H66" s="285"/>
      <c r="I66" s="285"/>
      <c r="J66" s="285"/>
      <c r="K66" s="285"/>
      <c r="L66" s="285"/>
      <c r="P66" s="120"/>
      <c r="Q66" s="120"/>
      <c r="R66" s="120"/>
      <c r="S66" s="121"/>
      <c r="T66" s="116"/>
      <c r="U66" s="116"/>
    </row>
    <row r="67" spans="3:21" ht="13" x14ac:dyDescent="0.3">
      <c r="H67" s="283"/>
      <c r="I67" s="283"/>
      <c r="J67" s="283"/>
      <c r="K67" s="283"/>
      <c r="L67" s="283"/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329">
        <f>SUM($S$3:$S$11)</f>
        <v>0</v>
      </c>
      <c r="T67" s="116">
        <f>Cen!F384</f>
        <v>446.52434</v>
      </c>
      <c r="U67" s="116">
        <f t="shared" si="1"/>
        <v>0</v>
      </c>
    </row>
    <row r="68" spans="3:21" x14ac:dyDescent="0.25">
      <c r="P68" s="120"/>
      <c r="Q68" s="120"/>
      <c r="R68" s="120"/>
      <c r="S68" s="121"/>
      <c r="T68" s="116"/>
      <c r="U68" s="116"/>
    </row>
    <row r="69" spans="3:21" x14ac:dyDescent="0.25">
      <c r="P69" s="124" t="str">
        <f>Cen!A403</f>
        <v>Přední zásuvný prvek vysoký, sklo, KB 450mm</v>
      </c>
      <c r="Q69" s="124" t="str">
        <f>Cen!B403</f>
        <v>ZE7W332G</v>
      </c>
      <c r="R69" s="124" t="str">
        <f>Cen!C403</f>
        <v>KLA</v>
      </c>
      <c r="S69" s="327">
        <f>IF(SUM($S$3:$S$11)&gt;0,E48,0)</f>
        <v>0</v>
      </c>
      <c r="T69" s="328">
        <f>Cen!F403</f>
        <v>389.35672</v>
      </c>
      <c r="U69" s="328">
        <f t="shared" si="1"/>
        <v>0</v>
      </c>
    </row>
    <row r="70" spans="3:21" x14ac:dyDescent="0.25">
      <c r="P70" s="125" t="str">
        <f>Cen!A404</f>
        <v>Přední zásuvný prvek vysoký, sklo, KB 600mm</v>
      </c>
      <c r="Q70" s="125" t="str">
        <f>Cen!B404</f>
        <v>ZE7W482G</v>
      </c>
      <c r="R70" s="125" t="str">
        <f>Cen!C404</f>
        <v>KLA</v>
      </c>
      <c r="S70" s="327">
        <f>IF(SUM($S$3:$S$11)&gt;0,F48,0)</f>
        <v>0</v>
      </c>
      <c r="T70" s="258">
        <f>Cen!F404</f>
        <v>442.47012999999998</v>
      </c>
      <c r="U70" s="258">
        <f t="shared" si="1"/>
        <v>0</v>
      </c>
    </row>
    <row r="71" spans="3:21" x14ac:dyDescent="0.25">
      <c r="P71" s="125" t="str">
        <f>Cen!A405</f>
        <v>Přední zásuvný prvek vysoký, sklo, KB 900mm</v>
      </c>
      <c r="Q71" s="125" t="str">
        <f>Cen!B405</f>
        <v>ZE7W782G</v>
      </c>
      <c r="R71" s="125" t="str">
        <f>Cen!C405</f>
        <v>KLA</v>
      </c>
      <c r="S71" s="327">
        <f>IF(SUM($S$3:$S$11)&gt;0,G48,0)</f>
        <v>0</v>
      </c>
      <c r="T71" s="258">
        <f>Cen!F405</f>
        <v>737.45001999999988</v>
      </c>
      <c r="U71" s="258">
        <f t="shared" si="1"/>
        <v>0</v>
      </c>
    </row>
    <row r="72" spans="3:21" x14ac:dyDescent="0.25">
      <c r="P72" s="202" t="str">
        <f>Cen!A406</f>
        <v>Přední zásuvný prvek vysoký, sklo, KB 1200mm</v>
      </c>
      <c r="Q72" s="202" t="str">
        <f>Cen!B406</f>
        <v>ZE7W1082G</v>
      </c>
      <c r="R72" s="202" t="str">
        <f>Cen!C406</f>
        <v>KLA</v>
      </c>
      <c r="S72" s="259">
        <f>IF(SUM($S$3:$S$11)&gt;0,H48,0)</f>
        <v>0</v>
      </c>
      <c r="T72" s="260">
        <f>Cen!F406</f>
        <v>949.83555999999999</v>
      </c>
      <c r="U72" s="260">
        <f t="shared" si="1"/>
        <v>0</v>
      </c>
    </row>
    <row r="73" spans="3:21" x14ac:dyDescent="0.25">
      <c r="P73" s="117"/>
      <c r="Q73" s="117"/>
    </row>
    <row r="74" spans="3:21" x14ac:dyDescent="0.25">
      <c r="P74" s="205" t="str">
        <f>Cen!A232</f>
        <v>Boční zásuvné prvky, sklo, pro 350 mm</v>
      </c>
      <c r="Q74" s="205" t="str">
        <f>Cen!B232</f>
        <v>ZE7S238G</v>
      </c>
      <c r="R74" s="205" t="str">
        <f>Cen!C232</f>
        <v>KLA</v>
      </c>
      <c r="S74" s="255">
        <f t="shared" ref="S74:S80" si="6">S5</f>
        <v>0</v>
      </c>
      <c r="T74" s="594">
        <f>Cen!F232</f>
        <v>625.33465999999999</v>
      </c>
      <c r="U74" s="256">
        <f>S74*T74</f>
        <v>0</v>
      </c>
    </row>
    <row r="75" spans="3:21" x14ac:dyDescent="0.25">
      <c r="P75" s="125" t="str">
        <f>Cen!A233</f>
        <v>Boční zásuvné prvky, sklo, pro 400 mm</v>
      </c>
      <c r="Q75" s="125" t="str">
        <f>Cen!B233</f>
        <v>ZE7S288G</v>
      </c>
      <c r="R75" s="125" t="str">
        <f>Cen!C233</f>
        <v>KLA</v>
      </c>
      <c r="S75" s="257">
        <f t="shared" si="6"/>
        <v>0</v>
      </c>
      <c r="T75" s="261">
        <f>Cen!F233</f>
        <v>660.74360999999999</v>
      </c>
      <c r="U75" s="258">
        <f t="shared" ref="U75:U80" si="7">S75*T75</f>
        <v>0</v>
      </c>
    </row>
    <row r="76" spans="3:21" x14ac:dyDescent="0.25">
      <c r="P76" s="125" t="str">
        <f>Cen!A234</f>
        <v>Boční zásuvné prvky, sklo, pro 450 mm</v>
      </c>
      <c r="Q76" s="125" t="str">
        <f>Cen!B234</f>
        <v>ZE7S338G</v>
      </c>
      <c r="R76" s="125" t="str">
        <f>Cen!C234</f>
        <v>KLA</v>
      </c>
      <c r="S76" s="257">
        <f t="shared" si="6"/>
        <v>0</v>
      </c>
      <c r="T76" s="261">
        <f>Cen!F234</f>
        <v>696.15254000000004</v>
      </c>
      <c r="U76" s="258">
        <f t="shared" si="7"/>
        <v>0</v>
      </c>
    </row>
    <row r="77" spans="3:21" x14ac:dyDescent="0.25">
      <c r="P77" s="125" t="str">
        <f>Cen!A235</f>
        <v>Boční zásuvné prvky, sklo, pro 500 mm</v>
      </c>
      <c r="Q77" s="125" t="str">
        <f>Cen!B235</f>
        <v>ZE7S388G</v>
      </c>
      <c r="R77" s="125" t="str">
        <f>Cen!C235</f>
        <v>KLA</v>
      </c>
      <c r="S77" s="257">
        <f t="shared" si="6"/>
        <v>0</v>
      </c>
      <c r="T77" s="261">
        <f>Cen!F235</f>
        <v>731.56149000000005</v>
      </c>
      <c r="U77" s="258">
        <f t="shared" si="7"/>
        <v>0</v>
      </c>
    </row>
    <row r="78" spans="3:21" x14ac:dyDescent="0.25">
      <c r="P78" s="125" t="str">
        <f>Cen!A236</f>
        <v>Boční zásuvné prvky, sklo, pro 550 mm</v>
      </c>
      <c r="Q78" s="125" t="str">
        <f>Cen!B236</f>
        <v>ZE7S438G</v>
      </c>
      <c r="R78" s="125" t="str">
        <f>Cen!C236</f>
        <v>KLA</v>
      </c>
      <c r="S78" s="257">
        <f t="shared" si="6"/>
        <v>0</v>
      </c>
      <c r="T78" s="261">
        <f>Cen!F236</f>
        <v>802.35667000000001</v>
      </c>
      <c r="U78" s="258">
        <f t="shared" si="7"/>
        <v>0</v>
      </c>
    </row>
    <row r="79" spans="3:21" x14ac:dyDescent="0.25">
      <c r="P79" s="125" t="str">
        <f>Cen!A237</f>
        <v>Boční zásuvné prvky, sklo, pro 600 mm</v>
      </c>
      <c r="Q79" s="125" t="str">
        <f>Cen!B237</f>
        <v>ZE7S488G</v>
      </c>
      <c r="R79" s="125" t="str">
        <f>Cen!C237</f>
        <v>KLA</v>
      </c>
      <c r="S79" s="257">
        <f t="shared" si="6"/>
        <v>0</v>
      </c>
      <c r="T79" s="261">
        <f>Cen!F237</f>
        <v>873.15183000000002</v>
      </c>
      <c r="U79" s="258">
        <f t="shared" si="7"/>
        <v>0</v>
      </c>
    </row>
    <row r="80" spans="3:21" ht="13" thickBot="1" x14ac:dyDescent="0.3">
      <c r="P80" s="595" t="str">
        <f>Cen!A238</f>
        <v>Boční zásuvné prvky, sklo, pro 650 mm</v>
      </c>
      <c r="Q80" s="595" t="str">
        <f>Cen!B238</f>
        <v>ZE7S538G</v>
      </c>
      <c r="R80" s="595" t="str">
        <f>Cen!C238</f>
        <v>KLA</v>
      </c>
      <c r="S80" s="596">
        <f t="shared" si="6"/>
        <v>0</v>
      </c>
      <c r="T80" s="597">
        <f>Cen!F238</f>
        <v>943.94700999999998</v>
      </c>
      <c r="U80" s="598">
        <f t="shared" si="7"/>
        <v>0</v>
      </c>
    </row>
    <row r="81" spans="16:21" x14ac:dyDescent="0.25">
      <c r="P81" s="117"/>
      <c r="Q81" s="117"/>
    </row>
    <row r="82" spans="16:21" x14ac:dyDescent="0.25">
      <c r="P82" s="117"/>
      <c r="Q82" s="117"/>
    </row>
    <row r="83" spans="16:21" x14ac:dyDescent="0.25">
      <c r="P83" s="117"/>
      <c r="Q83" s="117"/>
    </row>
    <row r="84" spans="16:21" x14ac:dyDescent="0.25">
      <c r="P84" s="117" t="str">
        <f>List!$B$316&amp;"!"</f>
        <v>S0 a S1 pouze pro jmenovitou délku 270 a 300 mm!</v>
      </c>
      <c r="Q84" s="117"/>
      <c r="S84" s="74" t="str">
        <f>List!$B$97</f>
        <v>cena kování</v>
      </c>
      <c r="U84" s="346">
        <f>SUM(U3:U80)</f>
        <v>0</v>
      </c>
    </row>
    <row r="85" spans="16:21" x14ac:dyDescent="0.25">
      <c r="P85" s="117" t="str">
        <f>List!$B$317&amp;"!"</f>
        <v>Pro výsuvy délky 270 a 300 mm vyberte jednotky S0 nebo S1!</v>
      </c>
      <c r="Q85" s="117"/>
    </row>
    <row r="86" spans="16:21" x14ac:dyDescent="0.25">
      <c r="P86" s="117" t="str">
        <f>List!$B$318&amp;"!"</f>
        <v>Počet jednotek L neodpovídá počtu korpusových lišt!</v>
      </c>
      <c r="Q86" s="117"/>
    </row>
    <row r="87" spans="16:21" x14ac:dyDescent="0.25">
      <c r="P87" s="117" t="str">
        <f>List!$B$319&amp;"!"</f>
        <v>Počet jednotek S neodpovídá počtu korpusových lišt!</v>
      </c>
      <c r="Q87" s="117"/>
    </row>
    <row r="88" spans="16:21" x14ac:dyDescent="0.25">
      <c r="Q88" s="117"/>
    </row>
    <row r="89" spans="16:21" x14ac:dyDescent="0.25">
      <c r="P89" s="117"/>
      <c r="Q89" s="117"/>
    </row>
    <row r="90" spans="16:21" x14ac:dyDescent="0.25">
      <c r="P90" s="117"/>
      <c r="Q90" s="117"/>
    </row>
    <row r="91" spans="16:21" x14ac:dyDescent="0.25">
      <c r="P91" s="117"/>
      <c r="Q91" s="117"/>
    </row>
    <row r="92" spans="16:21" x14ac:dyDescent="0.25">
      <c r="P92" s="117"/>
      <c r="Q92" s="117"/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4.5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/>
      <c r="E107" s="838"/>
      <c r="F107" s="839"/>
      <c r="G107" s="801"/>
      <c r="H107" s="877"/>
      <c r="I107" s="878"/>
      <c r="J107" s="807"/>
      <c r="K107" s="720"/>
      <c r="L107" s="72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801"/>
      <c r="H108" s="877"/>
      <c r="I108" s="878"/>
      <c r="J108" s="807"/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979</v>
      </c>
      <c r="E109" s="838"/>
      <c r="F109" s="839"/>
      <c r="G109" s="801" t="s">
        <v>1421</v>
      </c>
      <c r="H109" s="873" t="s">
        <v>950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801" t="s">
        <v>948</v>
      </c>
      <c r="H110" s="873" t="s">
        <v>951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801" t="s">
        <v>1423</v>
      </c>
      <c r="H111" s="873" t="s">
        <v>952</v>
      </c>
      <c r="I111" s="874"/>
      <c r="J111" s="698"/>
      <c r="K111" s="876" t="s">
        <v>1024</v>
      </c>
      <c r="L111" s="876"/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9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692"/>
      <c r="E113" s="692"/>
      <c r="F113" s="692"/>
      <c r="G113" s="693"/>
      <c r="H113" s="851"/>
      <c r="I113" s="851"/>
      <c r="J113" s="851"/>
      <c r="K113" s="851"/>
      <c r="L113" s="851"/>
    </row>
    <row r="114" spans="1:12" ht="12.5" customHeight="1" x14ac:dyDescent="0.25">
      <c r="A114" s="823"/>
    </row>
    <row r="115" spans="1:12" ht="12.5" customHeight="1" x14ac:dyDescent="0.25">
      <c r="A115" s="823"/>
      <c r="E115" s="725" t="str">
        <f>"        ** "&amp;List!$B$325&amp;"!"</f>
        <v xml:space="preserve">        ** Jednotky L1 nelze kombinovat s lištami se zvýšenou nosností (70 kg)!</v>
      </c>
    </row>
    <row r="116" spans="1:12" ht="12.5" customHeight="1" x14ac:dyDescent="0.25">
      <c r="A116" s="823"/>
      <c r="E116" s="725" t="str">
        <f>"       *** "&amp;List!$B$326&amp;"!"</f>
        <v xml:space="preserve">       *** Jednotky L5 nelze kombinovat s lištami se základní nosností (40 kg)!</v>
      </c>
    </row>
    <row r="117" spans="1:12" ht="12.5" customHeight="1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ecijfo1cMp646c0bVxEaB0YSv2+tJmNnzZN9G2aKjn6fAZS+lTG2Gj36VghJ00F1xRTu9/ZFQecZu8dmOsuIYg==" saltValue="q1lPMSd9CtW4ekn9ZnMI4g==" spinCount="100000" sheet="1" objects="1" scenarios="1"/>
  <mergeCells count="19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</mergeCells>
  <hyperlinks>
    <hyperlink ref="N3" location="Form!A1" tooltip=" " display="Form!A1" xr:uid="{00000000-0004-0000-0900-000000000000}"/>
    <hyperlink ref="N4" location="Menu!A1" tooltip=" " display="Menu!A1" xr:uid="{00000000-0004-0000-0900-000001000000}"/>
    <hyperlink ref="N7" location="Acs!A1" tooltip=" " display="Acs!A1" xr:uid="{00000000-0004-0000-0900-000002000000}"/>
    <hyperlink ref="N8" location="SD!A1" tooltip=" " display="SD!A1" xr:uid="{00000000-0004-0000-0900-000003000000}"/>
    <hyperlink ref="N10" location="Sum!A1" tooltip=" " display="Sum!A1" xr:uid="{00000000-0004-0000-0900-000004000000}"/>
    <hyperlink ref="N11" location="Ord!A1" tooltip=" " display="Ord!A1" xr:uid="{00000000-0004-0000-0900-000005000000}"/>
    <hyperlink ref="N9" location="AL!A1" tooltip=" " display="AL!A1" xr:uid="{00000000-0004-0000-0900-000006000000}"/>
    <hyperlink ref="N31" location="'7C41VF'!A100" tooltip=" " display="'7C41VF'!A100" xr:uid="{00000000-0004-0000-0900-000007000000}"/>
    <hyperlink ref="N112" location="'7C41VF'!A1" tooltip=" " display="'7C41VF'!A1" xr:uid="{00000000-0004-0000-09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3">
    <tabColor indexed="22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10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"&amp;List!$B$70&amp;" "&amp;List!$B$67</f>
        <v>Vnitřní výsuv C, nízký přední zásuvný prvek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Cen!A111</f>
        <v>Bočnice C pure, 270mm, Orion šedá</v>
      </c>
      <c r="Q3" s="125" t="str">
        <f>Cen!B111</f>
        <v>770C2702S</v>
      </c>
      <c r="R3" s="125" t="str">
        <f>Cen!C111</f>
        <v>OG-M</v>
      </c>
      <c r="S3" s="257">
        <f>SUM(D20,D26,D32)</f>
        <v>0</v>
      </c>
      <c r="T3" s="261">
        <f>Cen!F111</f>
        <v>920.62116000000003</v>
      </c>
      <c r="U3" s="258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Cen!A116</f>
        <v>Bočnice C pure, 300mm, Orion šedá</v>
      </c>
      <c r="Q4" s="125" t="str">
        <f>Cen!B116</f>
        <v>770C3002S</v>
      </c>
      <c r="R4" s="125" t="str">
        <f>Cen!C116</f>
        <v>OG-M</v>
      </c>
      <c r="S4" s="257">
        <f>SUM(E20,E26,E32)</f>
        <v>0</v>
      </c>
      <c r="T4" s="261">
        <f>Cen!F116</f>
        <v>920.62116000000003</v>
      </c>
      <c r="U4" s="258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Cen!A121</f>
        <v>Bočnice C pure, 350mm, Orion šedá</v>
      </c>
      <c r="Q5" s="125" t="str">
        <f>Cen!B121</f>
        <v>770C3502S</v>
      </c>
      <c r="R5" s="125" t="str">
        <f>Cen!C121</f>
        <v>OG-M</v>
      </c>
      <c r="S5" s="257">
        <f>SUM(F20,F26,F32)</f>
        <v>0</v>
      </c>
      <c r="T5" s="261">
        <f>Cen!F121</f>
        <v>920.62116000000003</v>
      </c>
      <c r="U5" s="258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125" t="str">
        <f>Cen!A126</f>
        <v>Bočnice C pure, 400mm, Orion šedá</v>
      </c>
      <c r="Q6" s="125" t="str">
        <f>Cen!B126</f>
        <v>770C4002S</v>
      </c>
      <c r="R6" s="125" t="str">
        <f>Cen!C126</f>
        <v>OG-M</v>
      </c>
      <c r="S6" s="257">
        <f>SUM(G20,G26,G32)</f>
        <v>0</v>
      </c>
      <c r="T6" s="261">
        <f>Cen!F126</f>
        <v>931.92665999999997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 t="str">
        <f>List!$B$36&amp;":"</f>
        <v>sklo:</v>
      </c>
      <c r="I7" s="120"/>
      <c r="J7" s="119" t="str">
        <f>Form!$P$9</f>
        <v>čiré</v>
      </c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Cen!A131</f>
        <v>Bočnice C pure, 450mm, Orion šedá</v>
      </c>
      <c r="Q7" s="125" t="str">
        <f>Cen!B131</f>
        <v>770C4502S</v>
      </c>
      <c r="R7" s="125" t="str">
        <f>Cen!C131</f>
        <v>OG-M</v>
      </c>
      <c r="S7" s="257">
        <f>SUM(H20:H21,H26:H27,H32:H33)</f>
        <v>0</v>
      </c>
      <c r="T7" s="261">
        <f>Cen!F131</f>
        <v>921.30178999999998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257">
        <f>SUM(I20:I21,I26:I27,I32:I33)</f>
        <v>0</v>
      </c>
      <c r="T8" s="261">
        <f>Cen!F136</f>
        <v>932.34378000000004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$U$74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257">
        <f>SUM(J20:J21,J26:J27,J32:J33)</f>
        <v>0</v>
      </c>
      <c r="T9" s="261">
        <f>Cen!F141</f>
        <v>1011.04004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Cen!A146</f>
        <v>Bočnice C pure, 600mm, Orion šedá</v>
      </c>
      <c r="Q10" s="125" t="str">
        <f>Cen!B146</f>
        <v>770C6002S</v>
      </c>
      <c r="R10" s="125" t="str">
        <f>Cen!C146</f>
        <v>OG-M</v>
      </c>
      <c r="S10" s="257">
        <f>SUM(K20:K21,K26:K27,K32:K33)</f>
        <v>0</v>
      </c>
      <c r="T10" s="261">
        <f>Cen!F146</f>
        <v>1127.97047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List!$B$149&amp;":"</f>
        <v>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Cen!A151</f>
        <v>Bočnice C pure, 650mm, Orion šedá</v>
      </c>
      <c r="Q11" s="125" t="str">
        <f>Cen!B151</f>
        <v>770C6502S</v>
      </c>
      <c r="R11" s="125" t="str">
        <f>Cen!C151</f>
        <v>OG-M</v>
      </c>
      <c r="S11" s="257">
        <f>SUM(L21,L27,L33)</f>
        <v>0</v>
      </c>
      <c r="T11" s="261">
        <f>Cen!F151</f>
        <v>1167.5130999999999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List!$C$67&amp;":"</f>
        <v>přední zásuvný prvek: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117" t="str">
        <f>"       "&amp;List!$C$75&amp;"  =  LW - 80"</f>
        <v xml:space="preserve">       šířka  =  LW - 80</v>
      </c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117" t="str">
        <f>"       "&amp;List!$C$76&amp;" =  70 mm"</f>
        <v xml:space="preserve">       výška =  70 mm</v>
      </c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4" x14ac:dyDescent="0.3">
      <c r="A17" s="117"/>
      <c r="B17" s="117"/>
      <c r="C17" s="117"/>
      <c r="D17" s="117"/>
      <c r="E17" s="117"/>
      <c r="F17" s="117"/>
      <c r="G17" s="117"/>
      <c r="H17" s="466" t="str">
        <f>IF(AND(SUM(S3:S10)&gt;0,SUM(S69:S72)=0), List!$B$169&amp;" "&amp;List!$B$170," ")</f>
        <v xml:space="preserve"> </v>
      </c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667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668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 t="s">
        <v>522</v>
      </c>
      <c r="E25" s="300" t="s">
        <v>56</v>
      </c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669</v>
      </c>
      <c r="C26" s="293" t="s">
        <v>432</v>
      </c>
      <c r="D26" s="294"/>
      <c r="E26" s="294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670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x14ac:dyDescent="0.25">
      <c r="A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 t="s">
        <v>522</v>
      </c>
      <c r="E31" s="300" t="s">
        <v>56</v>
      </c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294"/>
      <c r="E32" s="294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 t="s">
        <v>1017</v>
      </c>
      <c r="E36" s="303" t="s">
        <v>946</v>
      </c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294"/>
      <c r="E37" s="294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724" t="str">
        <f>IF(AND(SUM($D$32,$E$32)&gt;0,SUM($D$37,$E$37)=0),$P$85, IF(AND(SUM($D$32,$E$32)=0,SUM($D$37,$E$37)&gt;0),$P$84, " "))&amp;IF(SUM($D$32,$E$32)&lt;&gt;SUM($D$37,$E$37)," "&amp;$P$87," ")</f>
        <v xml:space="preserve">  </v>
      </c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3">
      <c r="C39" s="282"/>
      <c r="D39" s="725" t="str">
        <f>"        ** "&amp;List!$B$325&amp;"!"</f>
        <v xml:space="preserve">        ** Jednotky L1 nelze kombinovat s lištami se zvýšenou nosností (70 kg)!</v>
      </c>
      <c r="H39" s="284"/>
      <c r="I39" s="284"/>
      <c r="J39" s="284"/>
      <c r="K39" s="284"/>
      <c r="L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4" x14ac:dyDescent="0.3">
      <c r="B40" s="466"/>
      <c r="C40" s="282"/>
      <c r="D40" s="725" t="str">
        <f>"       *** "&amp;List!$B$326&amp;"!"</f>
        <v xml:space="preserve">       *** Jednotky L5 nelze kombinovat s lištami se základní nosností (40 kg)!</v>
      </c>
      <c r="H40" s="284"/>
      <c r="I40" s="284"/>
      <c r="J40" s="284"/>
      <c r="K40" s="284"/>
      <c r="L40" s="284"/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D41" s="650"/>
      <c r="P41" s="120"/>
      <c r="Q41" s="120"/>
      <c r="R41" s="120"/>
      <c r="S41" s="121"/>
      <c r="T41" s="116"/>
      <c r="U41" s="116"/>
    </row>
    <row r="42" spans="2:21" x14ac:dyDescent="0.25">
      <c r="B42" s="651"/>
      <c r="C42" s="651"/>
      <c r="D42" s="725" t="str">
        <f>"     "&amp;List!$B$313</f>
        <v xml:space="preserve">     Synchronizace bude přidána automaticky. </v>
      </c>
      <c r="P42" s="120"/>
      <c r="Q42" s="120"/>
      <c r="R42" s="120"/>
      <c r="S42" s="121"/>
      <c r="T42" s="116"/>
      <c r="U42" s="116"/>
    </row>
    <row r="43" spans="2:21" ht="13" x14ac:dyDescent="0.3">
      <c r="B43" s="117"/>
      <c r="C43" s="282"/>
      <c r="D43" s="725" t="str">
        <f>"     "&amp;List!$B$314</f>
        <v xml:space="preserve">     Pozor! Pro každý výsuv je započítána jedna hřídel. Počet hřídelí upravte v objednávce!</v>
      </c>
      <c r="H43" s="284"/>
      <c r="I43" s="284"/>
      <c r="J43" s="284"/>
      <c r="K43" s="284"/>
      <c r="L43" s="284"/>
      <c r="P43" s="120"/>
      <c r="Q43" s="120"/>
      <c r="R43" s="120"/>
      <c r="S43" s="121"/>
      <c r="T43" s="116"/>
      <c r="U43" s="116"/>
    </row>
    <row r="44" spans="2:21" ht="13" x14ac:dyDescent="0.3">
      <c r="B44" s="282"/>
      <c r="C44" s="282"/>
      <c r="D44" s="117"/>
      <c r="E44" s="117"/>
      <c r="F44" s="117"/>
      <c r="G44" s="117"/>
      <c r="H44" s="142"/>
      <c r="I44" s="142"/>
      <c r="J44" s="117"/>
      <c r="K44" s="117"/>
      <c r="L44" s="117"/>
      <c r="P44" s="120"/>
      <c r="Q44" s="120"/>
      <c r="R44" s="120"/>
      <c r="S44" s="121"/>
      <c r="T44" s="116"/>
      <c r="U44" s="116"/>
    </row>
    <row r="45" spans="2:21" ht="13" x14ac:dyDescent="0.3">
      <c r="B45" s="282"/>
      <c r="C45" s="282"/>
      <c r="H45" s="285"/>
      <c r="I45" s="285"/>
      <c r="J45" s="285"/>
      <c r="K45" s="285"/>
      <c r="L45" s="285"/>
      <c r="P45" s="120"/>
      <c r="Q45" s="120"/>
      <c r="R45" s="120"/>
      <c r="S45" s="121"/>
      <c r="T45" s="116"/>
      <c r="U45" s="116"/>
    </row>
    <row r="46" spans="2:21" ht="15.5" x14ac:dyDescent="0.35">
      <c r="B46" s="316" t="str">
        <f>List!$B$66&amp;" - "&amp;List!$B$36</f>
        <v>Přední zásuvné prvky - sklo</v>
      </c>
      <c r="C46" s="282"/>
      <c r="H46" s="283"/>
      <c r="I46" s="283"/>
      <c r="J46" s="283"/>
      <c r="K46" s="283"/>
      <c r="L46" s="283"/>
      <c r="P46" s="120"/>
      <c r="Q46" s="120"/>
      <c r="R46" s="120"/>
      <c r="S46" s="121"/>
      <c r="T46" s="116"/>
      <c r="U46" s="116"/>
    </row>
    <row r="47" spans="2:21" ht="15.5" x14ac:dyDescent="0.3">
      <c r="B47" s="307"/>
      <c r="C47" s="7"/>
      <c r="D47" s="315" t="str">
        <f>List!$B$115&amp;" KB: "</f>
        <v xml:space="preserve">Šířka korpusu KB: </v>
      </c>
      <c r="E47" s="303" t="s">
        <v>111</v>
      </c>
      <c r="F47" s="309" t="s">
        <v>112</v>
      </c>
      <c r="G47" s="300" t="s">
        <v>642</v>
      </c>
      <c r="H47" s="302" t="s">
        <v>643</v>
      </c>
      <c r="I47" s="286"/>
      <c r="J47" s="286"/>
      <c r="K47" s="286"/>
      <c r="L47" s="286"/>
      <c r="P47" s="684"/>
      <c r="Q47" s="684"/>
      <c r="R47" s="684"/>
      <c r="S47" s="685"/>
      <c r="T47" s="686"/>
      <c r="U47" s="686"/>
    </row>
    <row r="48" spans="2:21" ht="14" x14ac:dyDescent="0.3">
      <c r="B48" s="314"/>
      <c r="D48" s="317" t="str">
        <f>List!$B$103&amp;": "</f>
        <v xml:space="preserve">Celkový počet ks: </v>
      </c>
      <c r="E48" s="312"/>
      <c r="F48" s="312"/>
      <c r="G48" s="312"/>
      <c r="H48" s="313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4" x14ac:dyDescent="0.3">
      <c r="B49" s="314"/>
      <c r="D49" s="317"/>
      <c r="E49" s="290"/>
      <c r="F49" s="290"/>
      <c r="G49" s="290"/>
      <c r="H49" s="290"/>
      <c r="I49" s="284"/>
      <c r="J49" s="284"/>
      <c r="K49" s="284"/>
      <c r="L49" s="284"/>
      <c r="P49" s="120"/>
      <c r="Q49" s="120"/>
      <c r="R49" s="120"/>
      <c r="S49" s="121"/>
      <c r="T49" s="116"/>
      <c r="U49" s="116"/>
    </row>
    <row r="50" spans="2:21" ht="14" x14ac:dyDescent="0.3">
      <c r="B50" s="310"/>
      <c r="C50" s="311"/>
      <c r="D50" s="290"/>
      <c r="E50" s="290"/>
      <c r="F50" s="290"/>
      <c r="G50" s="290"/>
      <c r="I50" s="285"/>
      <c r="J50" s="285"/>
      <c r="K50" s="285"/>
      <c r="L50" s="285"/>
      <c r="P50" s="120"/>
      <c r="Q50" s="120"/>
      <c r="R50" s="120"/>
      <c r="S50" s="121"/>
      <c r="T50" s="116"/>
      <c r="U50" s="116"/>
    </row>
    <row r="51" spans="2:21" ht="13" x14ac:dyDescent="0.3">
      <c r="B51" s="117" t="str">
        <f>"        "&amp;List!$B$171</f>
        <v xml:space="preserve">        Zadejte celkový počet předních zásuvných prvků pro příslušnou šířku korpusu</v>
      </c>
      <c r="C51" s="282"/>
      <c r="H51" s="283"/>
      <c r="I51" s="283"/>
      <c r="J51" s="283"/>
      <c r="K51" s="283"/>
      <c r="L51" s="283"/>
      <c r="P51" s="120"/>
      <c r="Q51" s="120"/>
      <c r="R51" s="120"/>
      <c r="S51" s="121"/>
      <c r="T51" s="116"/>
      <c r="U51" s="116"/>
    </row>
    <row r="52" spans="2:21" ht="13" x14ac:dyDescent="0.3">
      <c r="B52" s="117" t="str">
        <f>"        "&amp;List!$B$175</f>
        <v xml:space="preserve">        Máte-li zásuvné prvky vlastní, počty nezadávejte</v>
      </c>
      <c r="C52" s="282"/>
      <c r="H52" s="286"/>
      <c r="I52" s="286"/>
      <c r="J52" s="286"/>
      <c r="K52" s="286"/>
      <c r="L52" s="286"/>
      <c r="P52" s="120"/>
      <c r="Q52" s="120"/>
      <c r="R52" s="120"/>
      <c r="S52" s="121"/>
      <c r="T52" s="116"/>
      <c r="U52" s="116"/>
    </row>
    <row r="53" spans="2:21" ht="13" x14ac:dyDescent="0.3">
      <c r="B53" s="117"/>
      <c r="C53" s="282"/>
      <c r="H53" s="284"/>
      <c r="I53" s="284"/>
      <c r="J53" s="284"/>
      <c r="K53" s="284"/>
      <c r="L53" s="284"/>
      <c r="P53" s="120"/>
      <c r="Q53" s="120"/>
      <c r="R53" s="120"/>
      <c r="S53" s="121"/>
      <c r="T53" s="116"/>
      <c r="U53" s="116"/>
    </row>
    <row r="54" spans="2:21" ht="13" x14ac:dyDescent="0.3">
      <c r="B54" s="117" t="str">
        <f>"        "&amp;List!$B$161</f>
        <v xml:space="preserve">        Pro každý výsuv je započítán jeden přední díl</v>
      </c>
      <c r="C54" s="282"/>
      <c r="H54" s="284"/>
      <c r="I54" s="284"/>
      <c r="J54" s="284"/>
      <c r="K54" s="284"/>
      <c r="L54" s="284"/>
      <c r="P54" s="120"/>
      <c r="Q54" s="120"/>
      <c r="R54" s="120"/>
      <c r="S54" s="121"/>
      <c r="T54" s="116"/>
      <c r="U54" s="116"/>
    </row>
    <row r="55" spans="2:21" ht="13" x14ac:dyDescent="0.3">
      <c r="B55" s="117" t="str">
        <f>"        "&amp;List!$B$163</f>
        <v xml:space="preserve">        Potřebný počet předních dílů upravte v objednávce</v>
      </c>
      <c r="C55" s="282"/>
      <c r="H55" s="284"/>
      <c r="I55" s="284"/>
      <c r="J55" s="284"/>
      <c r="K55" s="284"/>
      <c r="L55" s="284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2:21" ht="13" x14ac:dyDescent="0.3">
      <c r="C56" s="282"/>
      <c r="H56" s="284"/>
      <c r="I56" s="284"/>
      <c r="J56" s="284"/>
      <c r="K56" s="284"/>
      <c r="L56" s="284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2:21" ht="13" x14ac:dyDescent="0.3">
      <c r="B57" s="117" t="str">
        <f>"        "&amp;List!$B$161</f>
        <v xml:space="preserve">        Pro každý výsuv je započítán jeden přední díl</v>
      </c>
      <c r="C57" s="282"/>
      <c r="H57" s="284"/>
      <c r="I57" s="284"/>
      <c r="J57" s="284"/>
      <c r="K57" s="284"/>
      <c r="L57" s="284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2:21" ht="13" x14ac:dyDescent="0.3">
      <c r="B58" s="117" t="str">
        <f>"        "&amp;List!$B$163</f>
        <v xml:space="preserve">        Potřebný počet předních dílů upravte v objednávce</v>
      </c>
      <c r="C58" s="282"/>
      <c r="H58" s="284"/>
      <c r="I58" s="284"/>
      <c r="J58" s="284"/>
      <c r="K58" s="284"/>
      <c r="L58" s="284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2:21" ht="13" x14ac:dyDescent="0.3">
      <c r="B59" s="117"/>
      <c r="C59" s="282"/>
      <c r="H59" s="284"/>
      <c r="I59" s="284"/>
      <c r="J59" s="284"/>
      <c r="K59" s="284"/>
      <c r="L59" s="284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2:21" ht="13" x14ac:dyDescent="0.3">
      <c r="B60" s="117"/>
      <c r="C60" s="282"/>
      <c r="H60" s="284"/>
      <c r="I60" s="284"/>
      <c r="J60" s="284"/>
      <c r="K60" s="284"/>
      <c r="L60" s="284"/>
      <c r="P60" s="142"/>
      <c r="Q60" s="142"/>
      <c r="R60" s="142"/>
      <c r="S60" s="148"/>
      <c r="T60" s="152"/>
      <c r="U60" s="152"/>
    </row>
    <row r="61" spans="2:21" ht="13" x14ac:dyDescent="0.3">
      <c r="B61" s="117"/>
      <c r="C61" s="282"/>
      <c r="H61" s="284"/>
      <c r="I61" s="284"/>
      <c r="J61" s="284"/>
      <c r="K61" s="284"/>
      <c r="L61" s="284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2:21" x14ac:dyDescent="0.25">
      <c r="H62" s="285"/>
      <c r="I62" s="285"/>
      <c r="J62" s="285"/>
      <c r="K62" s="285"/>
      <c r="L62" s="285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2:21" ht="13" x14ac:dyDescent="0.3">
      <c r="H63" s="283"/>
      <c r="I63" s="283"/>
      <c r="J63" s="283"/>
      <c r="K63" s="283"/>
      <c r="L63" s="283"/>
      <c r="P63" s="120"/>
      <c r="Q63" s="120"/>
      <c r="R63" s="120"/>
      <c r="S63" s="121"/>
      <c r="T63" s="116"/>
      <c r="U63" s="116"/>
    </row>
    <row r="64" spans="2:21" x14ac:dyDescent="0.25"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>S64*T64</f>
        <v>0</v>
      </c>
    </row>
    <row r="65" spans="8:21" x14ac:dyDescent="0.25">
      <c r="H65" s="285"/>
      <c r="I65" s="285"/>
      <c r="J65" s="285"/>
      <c r="K65" s="285"/>
      <c r="L65" s="285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SUM(S3:S11)</f>
        <v>0</v>
      </c>
      <c r="T65" s="116">
        <f>Cen!F369</f>
        <v>585.05386999999996</v>
      </c>
      <c r="U65" s="116">
        <f>S65*T65</f>
        <v>0</v>
      </c>
    </row>
    <row r="66" spans="8:21" ht="13" x14ac:dyDescent="0.3">
      <c r="H66" s="283"/>
      <c r="I66" s="283"/>
      <c r="J66" s="283"/>
      <c r="K66" s="283"/>
      <c r="L66" s="283"/>
      <c r="P66" s="120"/>
      <c r="Q66" s="120"/>
      <c r="R66" s="120"/>
      <c r="S66" s="121"/>
      <c r="T66" s="116"/>
      <c r="U66" s="116"/>
    </row>
    <row r="67" spans="8:21" x14ac:dyDescent="0.25"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546">
        <f>SUM($S$3:$S$11)</f>
        <v>0</v>
      </c>
      <c r="T67" s="116">
        <f>Cen!F384</f>
        <v>446.52434</v>
      </c>
      <c r="U67" s="116">
        <f>S67*T67</f>
        <v>0</v>
      </c>
    </row>
    <row r="68" spans="8:21" x14ac:dyDescent="0.25">
      <c r="P68" s="120"/>
      <c r="Q68" s="120"/>
      <c r="R68" s="120"/>
      <c r="S68" s="121"/>
      <c r="T68" s="116"/>
      <c r="U68" s="116"/>
    </row>
    <row r="69" spans="8:21" x14ac:dyDescent="0.25">
      <c r="P69" s="124" t="str">
        <f>Cen!A411</f>
        <v>Přední zásuvný prvek nízký, sklo, KB 450mm</v>
      </c>
      <c r="Q69" s="124" t="str">
        <f>Cen!B411</f>
        <v>ZE7V332G</v>
      </c>
      <c r="R69" s="124" t="str">
        <f>Cen!C411</f>
        <v>KLA</v>
      </c>
      <c r="S69" s="327">
        <f>IF(SUM($S$3:$S$11)&gt;0,E48,0)</f>
        <v>0</v>
      </c>
      <c r="T69" s="328">
        <f>Cen!F411</f>
        <v>241.88919000000001</v>
      </c>
      <c r="U69" s="328">
        <f>S69*T69</f>
        <v>0</v>
      </c>
    </row>
    <row r="70" spans="8:21" x14ac:dyDescent="0.25">
      <c r="P70" s="124" t="str">
        <f>Cen!A412</f>
        <v>Přední zásuvný prvek nízký, sklo, KB 600mm</v>
      </c>
      <c r="Q70" s="124" t="str">
        <f>Cen!B412</f>
        <v>ZE7V482G</v>
      </c>
      <c r="R70" s="124" t="str">
        <f>Cen!C412</f>
        <v>KLA</v>
      </c>
      <c r="S70" s="327">
        <f>IF(SUM($S$3:$S$11)&gt;0,F48,0)</f>
        <v>0</v>
      </c>
      <c r="T70" s="328">
        <f>Cen!F412</f>
        <v>277.28676999999999</v>
      </c>
      <c r="U70" s="328">
        <f>S70*T70</f>
        <v>0</v>
      </c>
    </row>
    <row r="71" spans="8:21" x14ac:dyDescent="0.25">
      <c r="P71" s="124" t="str">
        <f>Cen!A413</f>
        <v>Přední zásuvný prvek nízký, sklo, KB 900mm</v>
      </c>
      <c r="Q71" s="124" t="str">
        <f>Cen!B413</f>
        <v>ZE7V782G</v>
      </c>
      <c r="R71" s="124" t="str">
        <f>Cen!C413</f>
        <v>KLA</v>
      </c>
      <c r="S71" s="327">
        <f>IF(SUM($S$3:$S$11)&gt;0,G48,0)</f>
        <v>0</v>
      </c>
      <c r="T71" s="328">
        <f>Cen!F413</f>
        <v>489.67230000000001</v>
      </c>
      <c r="U71" s="328">
        <f>S71*T71</f>
        <v>0</v>
      </c>
    </row>
    <row r="72" spans="8:21" x14ac:dyDescent="0.25">
      <c r="P72" s="202" t="str">
        <f>Cen!A414</f>
        <v>Přední zásuvný prvek nízký, sklo, KB 1200mm</v>
      </c>
      <c r="Q72" s="202" t="str">
        <f>Cen!B414</f>
        <v>ZE7V1082G</v>
      </c>
      <c r="R72" s="202" t="str">
        <f>Cen!C414</f>
        <v>KLA</v>
      </c>
      <c r="S72" s="259">
        <f>IF(SUM($S$3:$S$11)&gt;0,H48,0)</f>
        <v>0</v>
      </c>
      <c r="T72" s="260">
        <f>Cen!F414</f>
        <v>631.26264000000003</v>
      </c>
      <c r="U72" s="260">
        <f>S72*T72</f>
        <v>0</v>
      </c>
    </row>
    <row r="73" spans="8:21" x14ac:dyDescent="0.25">
      <c r="P73" s="117"/>
      <c r="Q73" s="117"/>
    </row>
    <row r="74" spans="8:21" x14ac:dyDescent="0.25">
      <c r="Q74" s="117"/>
      <c r="S74" s="74" t="str">
        <f>List!$B$97</f>
        <v>cena kování</v>
      </c>
      <c r="U74" s="346">
        <f>SUM(U3:U73)</f>
        <v>0</v>
      </c>
    </row>
    <row r="75" spans="8:21" x14ac:dyDescent="0.25">
      <c r="Q75" s="117"/>
    </row>
    <row r="76" spans="8:21" x14ac:dyDescent="0.25">
      <c r="Q76" s="117"/>
    </row>
    <row r="77" spans="8:21" x14ac:dyDescent="0.25">
      <c r="Q77" s="117"/>
    </row>
    <row r="78" spans="8:21" x14ac:dyDescent="0.25">
      <c r="P78" s="117"/>
      <c r="Q78" s="117"/>
    </row>
    <row r="79" spans="8:21" x14ac:dyDescent="0.25">
      <c r="P79" s="117"/>
      <c r="Q79" s="117"/>
    </row>
    <row r="80" spans="8:21" x14ac:dyDescent="0.25">
      <c r="P80" s="117"/>
      <c r="Q80" s="117"/>
    </row>
    <row r="81" spans="16:17" x14ac:dyDescent="0.25">
      <c r="P81" s="117"/>
      <c r="Q81" s="117"/>
    </row>
    <row r="82" spans="16:17" x14ac:dyDescent="0.25">
      <c r="P82" s="117"/>
      <c r="Q82" s="117"/>
    </row>
    <row r="84" spans="16:17" x14ac:dyDescent="0.25">
      <c r="P84" s="117" t="str">
        <f>List!$B$316&amp;"!"</f>
        <v>S0 a S1 pouze pro jmenovitou délku 270 a 300 mm!</v>
      </c>
    </row>
    <row r="85" spans="16:17" x14ac:dyDescent="0.25">
      <c r="P85" s="117" t="str">
        <f>List!$B$317&amp;"!"</f>
        <v>Pro výsuvy délky 270 a 300 mm vyberte jednotky S0 nebo S1!</v>
      </c>
    </row>
    <row r="86" spans="16:17" x14ac:dyDescent="0.25">
      <c r="P86" s="117" t="str">
        <f>List!$B$318&amp;"!"</f>
        <v>Počet jednotek L neodpovídá počtu korpusových lišt!</v>
      </c>
    </row>
    <row r="87" spans="16:17" x14ac:dyDescent="0.25">
      <c r="P87" s="117" t="str">
        <f>List!$B$319&amp;"!"</f>
        <v>Počet jednotek S neodpovídá počtu korpusových lišt!</v>
      </c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12.75" customHeight="1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4.5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 t="s">
        <v>978</v>
      </c>
      <c r="E107" s="838"/>
      <c r="F107" s="839"/>
      <c r="G107" s="721" t="s">
        <v>1017</v>
      </c>
      <c r="H107" s="873" t="s">
        <v>1016</v>
      </c>
      <c r="I107" s="874"/>
      <c r="J107" s="696" t="s">
        <v>1019</v>
      </c>
      <c r="K107" s="720"/>
      <c r="L107" s="72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721" t="s">
        <v>946</v>
      </c>
      <c r="H108" s="873" t="s">
        <v>949</v>
      </c>
      <c r="I108" s="874"/>
      <c r="J108" s="696" t="s">
        <v>1020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979</v>
      </c>
      <c r="E109" s="838"/>
      <c r="F109" s="839"/>
      <c r="G109" s="801" t="s">
        <v>1421</v>
      </c>
      <c r="H109" s="873" t="s">
        <v>950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801" t="s">
        <v>948</v>
      </c>
      <c r="H110" s="873" t="s">
        <v>951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801" t="s">
        <v>1423</v>
      </c>
      <c r="H111" s="873" t="s">
        <v>952</v>
      </c>
      <c r="I111" s="874"/>
      <c r="J111" s="698"/>
      <c r="K111" s="876" t="s">
        <v>1024</v>
      </c>
      <c r="L111" s="876"/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9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692"/>
      <c r="E113" s="692"/>
      <c r="F113" s="692"/>
      <c r="G113" s="693"/>
      <c r="H113" s="851"/>
      <c r="I113" s="851"/>
      <c r="J113" s="851"/>
      <c r="K113" s="851"/>
      <c r="L113" s="851"/>
    </row>
    <row r="114" spans="1:12" ht="12.5" customHeight="1" x14ac:dyDescent="0.25">
      <c r="A114" s="823"/>
    </row>
    <row r="115" spans="1:12" ht="12.5" customHeight="1" x14ac:dyDescent="0.25">
      <c r="A115" s="823"/>
      <c r="E115" s="725" t="str">
        <f>"        ** "&amp;List!$B$325&amp;"!"</f>
        <v xml:space="preserve">        ** Jednotky L1 nelze kombinovat s lištami se zvýšenou nosností (70 kg)!</v>
      </c>
    </row>
    <row r="116" spans="1:12" ht="12.5" customHeight="1" x14ac:dyDescent="0.25">
      <c r="A116" s="823"/>
      <c r="E116" s="725" t="str">
        <f>"       *** "&amp;List!$B$326&amp;"!"</f>
        <v xml:space="preserve">       *** Jednotky L5 nelze kombinovat s lištami se základní nosností (40 kg)!</v>
      </c>
    </row>
    <row r="117" spans="1:12" ht="12.5" customHeight="1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vsUyjBIbdU61GbJhnyJ1PMLQbFEBbQKgZo1IESAqLo5s0n2md4RwN0PfkP2oaR2nK0MSH1nCxY5j7tMH17Y4kA==" saltValue="L2qBT9YyOWah+/jUJoy2FA==" spinCount="100000" sheet="1" objects="1" scenarios="1"/>
  <mergeCells count="19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</mergeCells>
  <phoneticPr fontId="52" type="noConversion"/>
  <hyperlinks>
    <hyperlink ref="N3" location="Form!A1" tooltip=" " display="Form!A1" xr:uid="{00000000-0004-0000-0A00-000000000000}"/>
    <hyperlink ref="N4" location="Menu!A1" tooltip=" " display="Menu!A1" xr:uid="{00000000-0004-0000-0A00-000001000000}"/>
    <hyperlink ref="N7" location="Acs!A1" tooltip=" " display="Acs!A1" xr:uid="{00000000-0004-0000-0A00-000002000000}"/>
    <hyperlink ref="N8" location="SD!A1" tooltip=" " display="SD!A1" xr:uid="{00000000-0004-0000-0A00-000003000000}"/>
    <hyperlink ref="N10" location="Sum!A1" tooltip=" " display="Sum!A1" xr:uid="{00000000-0004-0000-0A00-000004000000}"/>
    <hyperlink ref="N11" location="Ord!A1" tooltip=" " display="Ord!A1" xr:uid="{00000000-0004-0000-0A00-000005000000}"/>
    <hyperlink ref="N9" location="AL!A1" tooltip=" " display="AL!A1" xr:uid="{00000000-0004-0000-0A00-000006000000}"/>
    <hyperlink ref="N31" location="'7C41NP'!A100" tooltip=" " display="'7C41NP'!A100" xr:uid="{00000000-0004-0000-0A00-000007000000}"/>
    <hyperlink ref="N112" location="'7C41NP'!A1" tooltip=" " display="'7C41NP'!A1" xr:uid="{00000000-0004-0000-0A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>
    <tabColor theme="5" tint="0.39997558519241921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10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"&amp;List!$B$70&amp;" "&amp;List!$B$67</f>
        <v>Vnitřní výsuv C, nízký přední zásuvný prvek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Cen!A166</f>
        <v>Bočnice C free, 350mm, Orion šedá</v>
      </c>
      <c r="Q5" s="125" t="str">
        <f>Cen!B166</f>
        <v>780C3502S</v>
      </c>
      <c r="R5" s="125" t="str">
        <f>Cen!C166</f>
        <v>OG-M</v>
      </c>
      <c r="S5" s="257">
        <f>SUM(F20,F26,F32)</f>
        <v>0</v>
      </c>
      <c r="T5" s="261">
        <f>Cen!F166</f>
        <v>957.21118000000001</v>
      </c>
      <c r="U5" s="258">
        <f t="shared" ref="U5:U10" si="0">S5*T5</f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125" t="str">
        <f>Cen!A171</f>
        <v>Bočnice C free, 400mm, Orion šedá</v>
      </c>
      <c r="Q6" s="125" t="str">
        <f>Cen!B171</f>
        <v>780C4002S</v>
      </c>
      <c r="R6" s="125" t="str">
        <f>Cen!C171</f>
        <v>OG-M</v>
      </c>
      <c r="S6" s="257">
        <f>SUM(G20,G26,G32)</f>
        <v>0</v>
      </c>
      <c r="T6" s="261">
        <f>Cen!F171</f>
        <v>964.26940999999999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 t="str">
        <f>List!$B$36&amp;":"</f>
        <v>sklo:</v>
      </c>
      <c r="I7" s="120"/>
      <c r="J7" s="119" t="str">
        <f>Form!$P$9</f>
        <v>čiré</v>
      </c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Cen!A176</f>
        <v>Bočnice C free, 450mm, Orion šedá</v>
      </c>
      <c r="Q7" s="125" t="str">
        <f>Cen!B176</f>
        <v>780C4502S</v>
      </c>
      <c r="R7" s="125" t="str">
        <f>Cen!C176</f>
        <v>OG-M</v>
      </c>
      <c r="S7" s="257">
        <f>SUM(H20:H21,H26:H27,H32:H33)</f>
        <v>0</v>
      </c>
      <c r="T7" s="261">
        <f>Cen!F176</f>
        <v>971.33302000000003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Cen!C181</f>
        <v>OG-M</v>
      </c>
      <c r="S8" s="257">
        <f>SUM(I20:I21,I26:I27,I32:I33)</f>
        <v>0</v>
      </c>
      <c r="T8" s="261">
        <f>Cen!F181</f>
        <v>978.39665000000002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$U$84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Cen!C186</f>
        <v>OG-M</v>
      </c>
      <c r="S9" s="257">
        <f>SUM(J20:J21,J26:J27,J32:J33)</f>
        <v>0</v>
      </c>
      <c r="T9" s="261">
        <f>Cen!F186</f>
        <v>1034.8882699999999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Cen!A191</f>
        <v>Bočnice C free, 600mm, Orion šedá</v>
      </c>
      <c r="Q10" s="125" t="str">
        <f>Cen!B191</f>
        <v>780C6002S</v>
      </c>
      <c r="R10" s="125" t="str">
        <f>Cen!C191</f>
        <v>OG-M</v>
      </c>
      <c r="S10" s="257">
        <f>SUM(K20:K21,K26:K27,K32:K33)</f>
        <v>0</v>
      </c>
      <c r="T10" s="261">
        <f>Cen!F191</f>
        <v>1123.16077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List!$B$149&amp;":"</f>
        <v>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Cen!A196</f>
        <v>Bočnice C free, 650mm, Orion šedá</v>
      </c>
      <c r="Q11" s="125" t="str">
        <f>Cen!B196</f>
        <v>780C6502S</v>
      </c>
      <c r="R11" s="125" t="str">
        <f>Cen!C196</f>
        <v>OG-M</v>
      </c>
      <c r="S11" s="257">
        <f>SUM(L21,L27,L33)</f>
        <v>0</v>
      </c>
      <c r="T11" s="261">
        <f>Cen!F196</f>
        <v>1156.3666000000001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List!$C$67&amp;":"</f>
        <v>přední zásuvný prvek: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117" t="str">
        <f>"       "&amp;List!$C$75&amp;"  =  LW - 80"</f>
        <v xml:space="preserve">       šířka  =  LW - 80</v>
      </c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117" t="str">
        <f>"       "&amp;List!$C$76&amp;" =  70 mm"</f>
        <v xml:space="preserve">       výška =  70 mm</v>
      </c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4" x14ac:dyDescent="0.3">
      <c r="A17" s="117"/>
      <c r="B17" s="117"/>
      <c r="C17" s="117"/>
      <c r="D17" s="117"/>
      <c r="E17" s="117"/>
      <c r="F17" s="117"/>
      <c r="G17" s="117"/>
      <c r="H17" s="466" t="str">
        <f>IF(AND(SUM(S3:S10)&gt;0,SUM(S69:S72)=0),List!$B$169&amp;" "&amp;List!$B$170," ")</f>
        <v xml:space="preserve"> </v>
      </c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0"/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667</v>
      </c>
      <c r="C20" s="293" t="s">
        <v>432</v>
      </c>
      <c r="D20" s="559"/>
      <c r="E20" s="559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668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/>
      <c r="E25" s="300"/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669</v>
      </c>
      <c r="C26" s="293" t="s">
        <v>432</v>
      </c>
      <c r="D26" s="559"/>
      <c r="E26" s="559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670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x14ac:dyDescent="0.25">
      <c r="A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/>
      <c r="E31" s="300"/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559"/>
      <c r="E32" s="559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/>
      <c r="E36" s="303"/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559"/>
      <c r="E37" s="559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651"/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3">
      <c r="C39" s="282"/>
      <c r="D39" s="725" t="str">
        <f>"        ** "&amp;List!$B$325&amp;"!"</f>
        <v xml:space="preserve">        ** Jednotky L1 nelze kombinovat s lištami se zvýšenou nosností (70 kg)!</v>
      </c>
      <c r="H39" s="284"/>
      <c r="I39" s="284"/>
      <c r="J39" s="284"/>
      <c r="K39" s="284"/>
      <c r="L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4" x14ac:dyDescent="0.3">
      <c r="B40" s="466"/>
      <c r="C40" s="282"/>
      <c r="D40" s="725" t="str">
        <f>"       *** "&amp;List!$B$326&amp;"!"</f>
        <v xml:space="preserve">       *** Jednotky L5 nelze kombinovat s lištami se základní nosností (40 kg)!</v>
      </c>
      <c r="H40" s="284"/>
      <c r="I40" s="284"/>
      <c r="J40" s="284"/>
      <c r="K40" s="284"/>
      <c r="L40" s="284"/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P41" s="120"/>
      <c r="Q41" s="120"/>
      <c r="R41" s="120"/>
      <c r="S41" s="121"/>
      <c r="T41" s="116"/>
      <c r="U41" s="116"/>
    </row>
    <row r="42" spans="2:21" ht="13" x14ac:dyDescent="0.3">
      <c r="B42" s="117"/>
      <c r="C42" s="282"/>
      <c r="D42" s="725" t="str">
        <f>"     "&amp;List!$B$313</f>
        <v xml:space="preserve">     Synchronizace bude přidána automaticky. </v>
      </c>
      <c r="H42" s="284"/>
      <c r="I42" s="284"/>
      <c r="J42" s="284"/>
      <c r="K42" s="284"/>
      <c r="L42" s="284"/>
      <c r="P42" s="120"/>
      <c r="Q42" s="120"/>
      <c r="R42" s="120"/>
      <c r="S42" s="121"/>
      <c r="T42" s="116"/>
      <c r="U42" s="116"/>
    </row>
    <row r="43" spans="2:21" ht="13" x14ac:dyDescent="0.3">
      <c r="B43" s="282"/>
      <c r="C43" s="282"/>
      <c r="D43" s="725" t="str">
        <f>"     "&amp;List!$B$314</f>
        <v xml:space="preserve">     Pozor! Pro každý výsuv je započítána jedna hřídel. Počet hřídelí upravte v objednávce!</v>
      </c>
      <c r="E43" s="117"/>
      <c r="F43" s="117"/>
      <c r="G43" s="117"/>
      <c r="H43" s="142"/>
      <c r="I43" s="142"/>
      <c r="J43" s="117"/>
      <c r="K43" s="117"/>
      <c r="L43" s="117"/>
      <c r="P43" s="120"/>
      <c r="Q43" s="120"/>
      <c r="R43" s="120"/>
      <c r="S43" s="121"/>
      <c r="T43" s="116"/>
      <c r="U43" s="116"/>
    </row>
    <row r="44" spans="2:21" ht="13" x14ac:dyDescent="0.3">
      <c r="B44" s="282"/>
      <c r="C44" s="282"/>
      <c r="H44" s="285"/>
      <c r="I44" s="285"/>
      <c r="J44" s="285"/>
      <c r="K44" s="285"/>
      <c r="L44" s="285"/>
      <c r="P44" s="120"/>
      <c r="Q44" s="120"/>
      <c r="R44" s="120"/>
      <c r="S44" s="121"/>
      <c r="T44" s="116"/>
      <c r="U44" s="116"/>
    </row>
    <row r="45" spans="2:21" ht="15.5" x14ac:dyDescent="0.35">
      <c r="B45" s="316" t="str">
        <f>List!$B$66&amp;" - "&amp;List!$B$36</f>
        <v>Přední zásuvné prvky - sklo</v>
      </c>
      <c r="C45" s="282"/>
      <c r="H45" s="283"/>
      <c r="I45" s="283"/>
      <c r="J45" s="283"/>
      <c r="K45" s="283"/>
      <c r="L45" s="283"/>
      <c r="P45" s="120"/>
      <c r="Q45" s="120"/>
      <c r="R45" s="120"/>
      <c r="S45" s="121"/>
      <c r="T45" s="116"/>
      <c r="U45" s="116"/>
    </row>
    <row r="46" spans="2:21" ht="15.5" x14ac:dyDescent="0.3">
      <c r="B46" s="307"/>
      <c r="C46" s="7"/>
      <c r="D46" s="315" t="str">
        <f>List!$B$115&amp;" KB: "</f>
        <v xml:space="preserve">Šířka korpusu KB: </v>
      </c>
      <c r="E46" s="303" t="s">
        <v>111</v>
      </c>
      <c r="F46" s="309" t="s">
        <v>112</v>
      </c>
      <c r="G46" s="300" t="s">
        <v>642</v>
      </c>
      <c r="H46" s="302" t="s">
        <v>643</v>
      </c>
      <c r="I46" s="286"/>
      <c r="J46" s="286"/>
      <c r="K46" s="286"/>
      <c r="L46" s="286"/>
      <c r="P46" s="120"/>
      <c r="Q46" s="120"/>
      <c r="R46" s="120"/>
      <c r="S46" s="121"/>
      <c r="T46" s="116"/>
      <c r="U46" s="116"/>
    </row>
    <row r="47" spans="2:21" ht="14" x14ac:dyDescent="0.3">
      <c r="B47" s="314"/>
      <c r="D47" s="317" t="str">
        <f>List!$B$103&amp;": "</f>
        <v xml:space="preserve">Celkový počet ks: </v>
      </c>
      <c r="E47" s="312"/>
      <c r="F47" s="312"/>
      <c r="G47" s="312"/>
      <c r="H47" s="313"/>
      <c r="I47" s="284"/>
      <c r="J47" s="284"/>
      <c r="K47" s="284"/>
      <c r="L47" s="284"/>
      <c r="P47" s="684"/>
      <c r="Q47" s="684"/>
      <c r="R47" s="684"/>
      <c r="S47" s="685"/>
      <c r="T47" s="686"/>
      <c r="U47" s="686"/>
    </row>
    <row r="48" spans="2:21" ht="14" x14ac:dyDescent="0.3">
      <c r="B48" s="314"/>
      <c r="D48" s="317"/>
      <c r="E48" s="290"/>
      <c r="F48" s="290"/>
      <c r="G48" s="290"/>
      <c r="H48" s="290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4" x14ac:dyDescent="0.3">
      <c r="B49" s="310"/>
      <c r="C49" s="311"/>
      <c r="D49" s="290"/>
      <c r="E49" s="290"/>
      <c r="F49" s="290"/>
      <c r="G49" s="290"/>
      <c r="I49" s="285"/>
      <c r="J49" s="285"/>
      <c r="K49" s="285"/>
      <c r="L49" s="285"/>
      <c r="P49" s="120"/>
      <c r="Q49" s="120"/>
      <c r="R49" s="120"/>
      <c r="S49" s="121"/>
      <c r="T49" s="116"/>
      <c r="U49" s="116"/>
    </row>
    <row r="50" spans="2:21" ht="13" x14ac:dyDescent="0.3">
      <c r="B50" s="117" t="str">
        <f>"        "&amp;List!$B$171</f>
        <v xml:space="preserve">        Zadejte celkový počet předních zásuvných prvků pro příslušnou šířku korpusu</v>
      </c>
      <c r="C50" s="282"/>
      <c r="H50" s="283"/>
      <c r="I50" s="283"/>
      <c r="J50" s="283"/>
      <c r="K50" s="283"/>
      <c r="L50" s="283"/>
      <c r="P50" s="120"/>
      <c r="Q50" s="120"/>
      <c r="R50" s="120"/>
      <c r="S50" s="121"/>
      <c r="T50" s="116"/>
      <c r="U50" s="116"/>
    </row>
    <row r="51" spans="2:21" ht="13" x14ac:dyDescent="0.3">
      <c r="B51" s="117" t="str">
        <f>"        "&amp;List!$B$175</f>
        <v xml:space="preserve">        Máte-li zásuvné prvky vlastní, počty nezadávejte</v>
      </c>
      <c r="C51" s="282"/>
      <c r="H51" s="286"/>
      <c r="I51" s="286"/>
      <c r="J51" s="286"/>
      <c r="K51" s="286"/>
      <c r="L51" s="286"/>
      <c r="P51" s="120"/>
      <c r="Q51" s="120"/>
      <c r="R51" s="120"/>
      <c r="S51" s="121"/>
      <c r="T51" s="116"/>
      <c r="U51" s="116"/>
    </row>
    <row r="52" spans="2:21" ht="13" x14ac:dyDescent="0.3">
      <c r="B52" s="117"/>
      <c r="C52" s="282"/>
      <c r="H52" s="284"/>
      <c r="I52" s="284"/>
      <c r="J52" s="284"/>
      <c r="K52" s="284"/>
      <c r="L52" s="284"/>
      <c r="P52" s="120"/>
      <c r="Q52" s="120"/>
      <c r="R52" s="120"/>
      <c r="S52" s="121"/>
      <c r="T52" s="116"/>
      <c r="U52" s="116"/>
    </row>
    <row r="53" spans="2:21" ht="13" x14ac:dyDescent="0.3">
      <c r="B53" s="117" t="str">
        <f>"        "&amp;List!$B$161</f>
        <v xml:space="preserve">        Pro každý výsuv je započítán jeden přední díl</v>
      </c>
      <c r="C53" s="282"/>
      <c r="H53" s="284"/>
      <c r="I53" s="284"/>
      <c r="J53" s="284"/>
      <c r="K53" s="284"/>
      <c r="L53" s="284"/>
      <c r="P53" s="120"/>
      <c r="Q53" s="120"/>
      <c r="R53" s="120"/>
      <c r="S53" s="121"/>
      <c r="T53" s="116"/>
      <c r="U53" s="116"/>
    </row>
    <row r="54" spans="2:21" ht="13" x14ac:dyDescent="0.3">
      <c r="B54" s="117" t="str">
        <f>"        "&amp;List!$B$163</f>
        <v xml:space="preserve">        Potřebný počet předních dílů upravte v objednávce</v>
      </c>
      <c r="C54" s="282"/>
      <c r="H54" s="284"/>
      <c r="I54" s="284"/>
      <c r="J54" s="284"/>
      <c r="K54" s="284"/>
      <c r="L54" s="284"/>
      <c r="P54" s="120"/>
      <c r="Q54" s="120"/>
      <c r="R54" s="120"/>
      <c r="S54" s="121"/>
      <c r="T54" s="116"/>
      <c r="U54" s="116"/>
    </row>
    <row r="55" spans="2:21" ht="13" x14ac:dyDescent="0.3">
      <c r="B55" s="117"/>
      <c r="C55" s="282"/>
      <c r="H55" s="284"/>
      <c r="I55" s="284"/>
      <c r="J55" s="284"/>
      <c r="K55" s="284"/>
      <c r="L55" s="284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2:21" ht="13" x14ac:dyDescent="0.3">
      <c r="B56" s="117" t="str">
        <f>"        "&amp;List!$B$172</f>
        <v xml:space="preserve">        Boční zásuvné prvky se načtou automaticky</v>
      </c>
      <c r="C56" s="282"/>
      <c r="H56" s="284"/>
      <c r="I56" s="284"/>
      <c r="J56" s="284"/>
      <c r="K56" s="284"/>
      <c r="L56" s="284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2:21" ht="13" x14ac:dyDescent="0.3">
      <c r="B57" s="117" t="str">
        <f>"        "&amp;List!$B$176</f>
        <v xml:space="preserve">        Máte-li zásuvné prvky vlastní, upravte počty v objednávce</v>
      </c>
      <c r="C57" s="282"/>
      <c r="H57" s="284"/>
      <c r="I57" s="284"/>
      <c r="J57" s="284"/>
      <c r="K57" s="284"/>
      <c r="L57" s="284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2:21" ht="13" x14ac:dyDescent="0.3">
      <c r="C58" s="282"/>
      <c r="H58" s="284"/>
      <c r="I58" s="284"/>
      <c r="J58" s="284"/>
      <c r="K58" s="284"/>
      <c r="L58" s="284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2:21" ht="13" x14ac:dyDescent="0.3">
      <c r="C59" s="282"/>
      <c r="H59" s="284"/>
      <c r="I59" s="284"/>
      <c r="J59" s="284"/>
      <c r="K59" s="284"/>
      <c r="L59" s="284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2:21" ht="13" x14ac:dyDescent="0.3">
      <c r="B60" s="117"/>
      <c r="C60" s="282"/>
      <c r="H60" s="284"/>
      <c r="I60" s="284"/>
      <c r="J60" s="284"/>
      <c r="K60" s="284"/>
      <c r="L60" s="284"/>
      <c r="P60" s="142"/>
      <c r="Q60" s="142"/>
      <c r="R60" s="142"/>
      <c r="S60" s="148"/>
      <c r="T60" s="152"/>
      <c r="U60" s="152"/>
    </row>
    <row r="61" spans="2:21" x14ac:dyDescent="0.25">
      <c r="H61" s="285"/>
      <c r="I61" s="285"/>
      <c r="J61" s="285"/>
      <c r="K61" s="285"/>
      <c r="L61" s="285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2:21" ht="13" x14ac:dyDescent="0.3">
      <c r="H62" s="283"/>
      <c r="I62" s="283"/>
      <c r="J62" s="283"/>
      <c r="K62" s="283"/>
      <c r="L62" s="283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2:21" x14ac:dyDescent="0.25">
      <c r="P63" s="120"/>
      <c r="Q63" s="120"/>
      <c r="R63" s="120"/>
      <c r="S63" s="121"/>
      <c r="T63" s="116"/>
      <c r="U63" s="116"/>
    </row>
    <row r="64" spans="2:21" x14ac:dyDescent="0.25">
      <c r="H64" s="285"/>
      <c r="I64" s="285"/>
      <c r="J64" s="285"/>
      <c r="K64" s="285"/>
      <c r="L64" s="285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>S64*T64</f>
        <v>0</v>
      </c>
    </row>
    <row r="65" spans="8:21" ht="13" x14ac:dyDescent="0.3">
      <c r="H65" s="283"/>
      <c r="I65" s="283"/>
      <c r="J65" s="283"/>
      <c r="K65" s="283"/>
      <c r="L65" s="283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SUM(S3:S11)</f>
        <v>0</v>
      </c>
      <c r="T65" s="116">
        <f>Cen!F369</f>
        <v>585.05386999999996</v>
      </c>
      <c r="U65" s="116">
        <f>S65*T65</f>
        <v>0</v>
      </c>
    </row>
    <row r="66" spans="8:21" x14ac:dyDescent="0.25">
      <c r="P66" s="120"/>
      <c r="Q66" s="120"/>
      <c r="R66" s="120"/>
      <c r="S66" s="121"/>
      <c r="T66" s="116"/>
      <c r="U66" s="116"/>
    </row>
    <row r="67" spans="8:21" x14ac:dyDescent="0.25"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546">
        <f>SUM($S$3:$S$11)</f>
        <v>0</v>
      </c>
      <c r="T67" s="116">
        <f>Cen!F384</f>
        <v>446.52434</v>
      </c>
      <c r="U67" s="116">
        <f>S67*T67</f>
        <v>0</v>
      </c>
    </row>
    <row r="68" spans="8:21" x14ac:dyDescent="0.25">
      <c r="P68" s="120"/>
      <c r="Q68" s="120"/>
      <c r="R68" s="120"/>
      <c r="S68" s="121"/>
      <c r="T68" s="116"/>
      <c r="U68" s="116"/>
    </row>
    <row r="69" spans="8:21" x14ac:dyDescent="0.25">
      <c r="P69" s="124" t="str">
        <f>Cen!A411</f>
        <v>Přední zásuvný prvek nízký, sklo, KB 450mm</v>
      </c>
      <c r="Q69" s="124" t="str">
        <f>Cen!B411</f>
        <v>ZE7V332G</v>
      </c>
      <c r="R69" s="124" t="str">
        <f>Cen!C411</f>
        <v>KLA</v>
      </c>
      <c r="S69" s="327">
        <f>IF(SUM($S$3:$S$11)&gt;0,E47,0)</f>
        <v>0</v>
      </c>
      <c r="T69" s="328">
        <f>Cen!F411</f>
        <v>241.88919000000001</v>
      </c>
      <c r="U69" s="328">
        <f>S69*T69</f>
        <v>0</v>
      </c>
    </row>
    <row r="70" spans="8:21" x14ac:dyDescent="0.25">
      <c r="P70" s="124" t="str">
        <f>Cen!A412</f>
        <v>Přední zásuvný prvek nízký, sklo, KB 600mm</v>
      </c>
      <c r="Q70" s="124" t="str">
        <f>Cen!B412</f>
        <v>ZE7V482G</v>
      </c>
      <c r="R70" s="124" t="str">
        <f>Cen!C412</f>
        <v>KLA</v>
      </c>
      <c r="S70" s="327">
        <f>IF(SUM($S$3:$S$11)&gt;0,F47,0)</f>
        <v>0</v>
      </c>
      <c r="T70" s="328">
        <f>Cen!F412</f>
        <v>277.28676999999999</v>
      </c>
      <c r="U70" s="328">
        <f>S70*T70</f>
        <v>0</v>
      </c>
    </row>
    <row r="71" spans="8:21" x14ac:dyDescent="0.25">
      <c r="P71" s="124" t="str">
        <f>Cen!A413</f>
        <v>Přední zásuvný prvek nízký, sklo, KB 900mm</v>
      </c>
      <c r="Q71" s="124" t="str">
        <f>Cen!B413</f>
        <v>ZE7V782G</v>
      </c>
      <c r="R71" s="124" t="str">
        <f>Cen!C413</f>
        <v>KLA</v>
      </c>
      <c r="S71" s="327">
        <f>IF(SUM($S$3:$S$11)&gt;0,G47,0)</f>
        <v>0</v>
      </c>
      <c r="T71" s="328">
        <f>Cen!F413</f>
        <v>489.67230000000001</v>
      </c>
      <c r="U71" s="328">
        <f>S71*T71</f>
        <v>0</v>
      </c>
    </row>
    <row r="72" spans="8:21" x14ac:dyDescent="0.25">
      <c r="P72" s="202" t="str">
        <f>Cen!A414</f>
        <v>Přední zásuvný prvek nízký, sklo, KB 1200mm</v>
      </c>
      <c r="Q72" s="202" t="str">
        <f>Cen!B414</f>
        <v>ZE7V1082G</v>
      </c>
      <c r="R72" s="202" t="str">
        <f>Cen!C414</f>
        <v>KLA</v>
      </c>
      <c r="S72" s="259">
        <f>IF(SUM($S$3:$S$11)&gt;0,H47,0)</f>
        <v>0</v>
      </c>
      <c r="T72" s="260">
        <f>Cen!F414</f>
        <v>631.26264000000003</v>
      </c>
      <c r="U72" s="260">
        <f>S72*T72</f>
        <v>0</v>
      </c>
    </row>
    <row r="73" spans="8:21" x14ac:dyDescent="0.25">
      <c r="P73" s="117"/>
      <c r="Q73" s="117"/>
    </row>
    <row r="74" spans="8:21" x14ac:dyDescent="0.25">
      <c r="P74" s="205" t="str">
        <f>Cen!A232</f>
        <v>Boční zásuvné prvky, sklo, pro 350 mm</v>
      </c>
      <c r="Q74" s="205" t="str">
        <f>Cen!B232</f>
        <v>ZE7S238G</v>
      </c>
      <c r="R74" s="205" t="str">
        <f>Cen!C232</f>
        <v>KLA</v>
      </c>
      <c r="S74" s="255">
        <f t="shared" ref="S74:S80" si="5">S5</f>
        <v>0</v>
      </c>
      <c r="T74" s="594">
        <f>Cen!F232</f>
        <v>625.33465999999999</v>
      </c>
      <c r="U74" s="256">
        <f>S74*T74</f>
        <v>0</v>
      </c>
    </row>
    <row r="75" spans="8:21" x14ac:dyDescent="0.25">
      <c r="P75" s="125" t="str">
        <f>Cen!A233</f>
        <v>Boční zásuvné prvky, sklo, pro 400 mm</v>
      </c>
      <c r="Q75" s="125" t="str">
        <f>Cen!B233</f>
        <v>ZE7S288G</v>
      </c>
      <c r="R75" s="125" t="str">
        <f>Cen!C233</f>
        <v>KLA</v>
      </c>
      <c r="S75" s="257">
        <f t="shared" si="5"/>
        <v>0</v>
      </c>
      <c r="T75" s="261">
        <f>Cen!F233</f>
        <v>660.74360999999999</v>
      </c>
      <c r="U75" s="258">
        <f t="shared" ref="U75:U80" si="6">S75*T75</f>
        <v>0</v>
      </c>
    </row>
    <row r="76" spans="8:21" x14ac:dyDescent="0.25">
      <c r="P76" s="125" t="str">
        <f>Cen!A234</f>
        <v>Boční zásuvné prvky, sklo, pro 450 mm</v>
      </c>
      <c r="Q76" s="125" t="str">
        <f>Cen!B234</f>
        <v>ZE7S338G</v>
      </c>
      <c r="R76" s="125" t="str">
        <f>Cen!C234</f>
        <v>KLA</v>
      </c>
      <c r="S76" s="257">
        <f t="shared" si="5"/>
        <v>0</v>
      </c>
      <c r="T76" s="261">
        <f>Cen!F234</f>
        <v>696.15254000000004</v>
      </c>
      <c r="U76" s="258">
        <f t="shared" si="6"/>
        <v>0</v>
      </c>
    </row>
    <row r="77" spans="8:21" x14ac:dyDescent="0.25">
      <c r="P77" s="125" t="str">
        <f>Cen!A235</f>
        <v>Boční zásuvné prvky, sklo, pro 500 mm</v>
      </c>
      <c r="Q77" s="125" t="str">
        <f>Cen!B235</f>
        <v>ZE7S388G</v>
      </c>
      <c r="R77" s="125" t="str">
        <f>Cen!C235</f>
        <v>KLA</v>
      </c>
      <c r="S77" s="257">
        <f t="shared" si="5"/>
        <v>0</v>
      </c>
      <c r="T77" s="261">
        <f>Cen!F235</f>
        <v>731.56149000000005</v>
      </c>
      <c r="U77" s="258">
        <f t="shared" si="6"/>
        <v>0</v>
      </c>
    </row>
    <row r="78" spans="8:21" x14ac:dyDescent="0.25">
      <c r="P78" s="125" t="str">
        <f>Cen!A236</f>
        <v>Boční zásuvné prvky, sklo, pro 550 mm</v>
      </c>
      <c r="Q78" s="125" t="str">
        <f>Cen!B236</f>
        <v>ZE7S438G</v>
      </c>
      <c r="R78" s="125" t="str">
        <f>Cen!C236</f>
        <v>KLA</v>
      </c>
      <c r="S78" s="257">
        <f t="shared" si="5"/>
        <v>0</v>
      </c>
      <c r="T78" s="261">
        <f>Cen!F236</f>
        <v>802.35667000000001</v>
      </c>
      <c r="U78" s="258">
        <f t="shared" si="6"/>
        <v>0</v>
      </c>
    </row>
    <row r="79" spans="8:21" x14ac:dyDescent="0.25">
      <c r="P79" s="125" t="str">
        <f>Cen!A237</f>
        <v>Boční zásuvné prvky, sklo, pro 600 mm</v>
      </c>
      <c r="Q79" s="125" t="str">
        <f>Cen!B237</f>
        <v>ZE7S488G</v>
      </c>
      <c r="R79" s="125" t="str">
        <f>Cen!C237</f>
        <v>KLA</v>
      </c>
      <c r="S79" s="257">
        <f t="shared" si="5"/>
        <v>0</v>
      </c>
      <c r="T79" s="261">
        <f>Cen!F237</f>
        <v>873.15183000000002</v>
      </c>
      <c r="U79" s="258">
        <f t="shared" si="6"/>
        <v>0</v>
      </c>
    </row>
    <row r="80" spans="8:21" ht="13" thickBot="1" x14ac:dyDescent="0.3">
      <c r="P80" s="595" t="str">
        <f>Cen!A238</f>
        <v>Boční zásuvné prvky, sklo, pro 650 mm</v>
      </c>
      <c r="Q80" s="595" t="str">
        <f>Cen!B238</f>
        <v>ZE7S538G</v>
      </c>
      <c r="R80" s="595" t="str">
        <f>Cen!C238</f>
        <v>KLA</v>
      </c>
      <c r="S80" s="596">
        <f t="shared" si="5"/>
        <v>0</v>
      </c>
      <c r="T80" s="597">
        <f>Cen!F238</f>
        <v>943.94700999999998</v>
      </c>
      <c r="U80" s="598">
        <f t="shared" si="6"/>
        <v>0</v>
      </c>
    </row>
    <row r="81" spans="16:21" x14ac:dyDescent="0.25">
      <c r="P81" s="117"/>
      <c r="Q81" s="117"/>
    </row>
    <row r="82" spans="16:21" x14ac:dyDescent="0.25">
      <c r="P82" s="117"/>
      <c r="Q82" s="117"/>
    </row>
    <row r="83" spans="16:21" x14ac:dyDescent="0.25">
      <c r="P83" s="117"/>
      <c r="Q83" s="117"/>
    </row>
    <row r="84" spans="16:21" x14ac:dyDescent="0.25">
      <c r="P84" s="117" t="str">
        <f>List!$B$316&amp;"!"</f>
        <v>S0 a S1 pouze pro jmenovitou délku 270 a 300 mm!</v>
      </c>
      <c r="Q84" s="117"/>
      <c r="S84" s="74" t="str">
        <f>List!$B$97</f>
        <v>cena kování</v>
      </c>
      <c r="U84" s="346">
        <f>SUM(U3:U83)</f>
        <v>0</v>
      </c>
    </row>
    <row r="85" spans="16:21" x14ac:dyDescent="0.25">
      <c r="P85" s="117" t="str">
        <f>List!$B$317&amp;"!"</f>
        <v>Pro výsuvy délky 270 a 300 mm vyberte jednotky S0 nebo S1!</v>
      </c>
      <c r="Q85" s="117"/>
    </row>
    <row r="86" spans="16:21" x14ac:dyDescent="0.25">
      <c r="P86" s="117" t="str">
        <f>List!$B$318&amp;"!"</f>
        <v>Počet jednotek L neodpovídá počtu korpusových lišt!</v>
      </c>
      <c r="Q86" s="117"/>
    </row>
    <row r="87" spans="16:21" x14ac:dyDescent="0.25">
      <c r="P87" s="117" t="str">
        <f>List!$B$319&amp;"!"</f>
        <v>Počet jednotek S neodpovídá počtu korpusových lišt!</v>
      </c>
      <c r="Q87" s="117"/>
    </row>
    <row r="88" spans="16:21" x14ac:dyDescent="0.25">
      <c r="P88" s="117"/>
      <c r="Q88" s="117"/>
    </row>
    <row r="89" spans="16:21" x14ac:dyDescent="0.25">
      <c r="P89" s="117"/>
      <c r="Q89" s="117"/>
    </row>
    <row r="90" spans="16:21" x14ac:dyDescent="0.25">
      <c r="P90" s="117"/>
      <c r="Q90" s="117"/>
    </row>
    <row r="91" spans="16:21" x14ac:dyDescent="0.25">
      <c r="P91" s="117"/>
      <c r="Q91" s="117"/>
    </row>
    <row r="92" spans="16:21" x14ac:dyDescent="0.25">
      <c r="P92" s="117"/>
      <c r="Q92" s="117"/>
    </row>
    <row r="93" spans="16:21" x14ac:dyDescent="0.25">
      <c r="P93" s="117"/>
      <c r="Q93" s="117"/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3.5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/>
      <c r="E107" s="838"/>
      <c r="F107" s="839"/>
      <c r="G107" s="801"/>
      <c r="H107" s="877"/>
      <c r="I107" s="878"/>
      <c r="J107" s="807"/>
      <c r="K107" s="720"/>
      <c r="L107" s="72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801"/>
      <c r="H108" s="877"/>
      <c r="I108" s="878"/>
      <c r="J108" s="807"/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979</v>
      </c>
      <c r="E109" s="838"/>
      <c r="F109" s="839"/>
      <c r="G109" s="801" t="s">
        <v>1421</v>
      </c>
      <c r="H109" s="873" t="s">
        <v>950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801" t="s">
        <v>948</v>
      </c>
      <c r="H110" s="873" t="s">
        <v>951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801" t="s">
        <v>1423</v>
      </c>
      <c r="H111" s="873" t="s">
        <v>952</v>
      </c>
      <c r="I111" s="874"/>
      <c r="J111" s="698"/>
      <c r="K111" s="876" t="s">
        <v>1024</v>
      </c>
      <c r="L111" s="876"/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9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692"/>
      <c r="E113" s="692"/>
      <c r="F113" s="692"/>
      <c r="G113" s="693"/>
      <c r="H113" s="851"/>
      <c r="I113" s="851"/>
      <c r="J113" s="851"/>
      <c r="K113" s="851"/>
      <c r="L113" s="851"/>
    </row>
    <row r="114" spans="1:12" ht="12.5" customHeight="1" x14ac:dyDescent="0.25">
      <c r="A114" s="823"/>
    </row>
    <row r="115" spans="1:12" ht="12.5" customHeight="1" x14ac:dyDescent="0.25">
      <c r="A115" s="823"/>
      <c r="E115" s="725" t="str">
        <f>"        ** "&amp;List!$B$325&amp;"!"</f>
        <v xml:space="preserve">        ** Jednotky L1 nelze kombinovat s lištami se zvýšenou nosností (70 kg)!</v>
      </c>
    </row>
    <row r="116" spans="1:12" ht="12.5" customHeight="1" x14ac:dyDescent="0.25">
      <c r="A116" s="823"/>
      <c r="E116" s="725" t="str">
        <f>"       *** "&amp;List!$B$326&amp;"!"</f>
        <v xml:space="preserve">       *** Jednotky L5 nelze kombinovat s lištami se základní nosností (40 kg)!</v>
      </c>
    </row>
    <row r="117" spans="1:12" ht="12.5" customHeight="1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KhP2d3gc8USQeZy+Fg2FR4savVDR0bMQfayiP1PBCVmw+JGGzvj5qA2Lufj2C3Y/t82//YlVhMmMPfFXmDdbsw==" saltValue="DtR8HpFtXFAWLMnrROBBvQ==" spinCount="100000" sheet="1" objects="1" scenarios="1"/>
  <mergeCells count="19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</mergeCells>
  <hyperlinks>
    <hyperlink ref="N3" location="Form!A1" tooltip=" " display="Form!A1" xr:uid="{00000000-0004-0000-0B00-000000000000}"/>
    <hyperlink ref="N4" location="Menu!A1" tooltip=" " display="Menu!A1" xr:uid="{00000000-0004-0000-0B00-000001000000}"/>
    <hyperlink ref="N7" location="Acs!A1" tooltip=" " display="Acs!A1" xr:uid="{00000000-0004-0000-0B00-000002000000}"/>
    <hyperlink ref="N8" location="SD!A1" tooltip=" " display="SD!A1" xr:uid="{00000000-0004-0000-0B00-000003000000}"/>
    <hyperlink ref="N10" location="Sum!A1" tooltip=" " display="Sum!A1" xr:uid="{00000000-0004-0000-0B00-000004000000}"/>
    <hyperlink ref="N11" location="Ord!A1" tooltip=" " display="Ord!A1" xr:uid="{00000000-0004-0000-0B00-000005000000}"/>
    <hyperlink ref="N9" location="AL!A1" tooltip=" " display="AL!A1" xr:uid="{00000000-0004-0000-0B00-000006000000}"/>
    <hyperlink ref="N31" location="'7C41NF'!A100" tooltip=" " display="'7C41NF'!A100" xr:uid="{00000000-0004-0000-0B00-000007000000}"/>
    <hyperlink ref="N112" location="'7C41NF'!A1" tooltip=" " display="'7C41NF'!A1" xr:uid="{00000000-0004-0000-0B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>
    <tabColor indexed="22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17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"&amp;List!$B$72</f>
        <v>Vnitřní výsuv C, přední reling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Cen!A111</f>
        <v>Bočnice C pure, 270mm, Orion šedá</v>
      </c>
      <c r="Q3" s="125" t="str">
        <f>Cen!B111</f>
        <v>770C2702S</v>
      </c>
      <c r="R3" s="125" t="str">
        <f>Cen!C111</f>
        <v>OG-M</v>
      </c>
      <c r="S3" s="257">
        <f>SUM(D20,D26,D32)</f>
        <v>0</v>
      </c>
      <c r="T3" s="261">
        <f>Cen!F111</f>
        <v>920.62116000000003</v>
      </c>
      <c r="U3" s="258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Cen!A116</f>
        <v>Bočnice C pure, 300mm, Orion šedá</v>
      </c>
      <c r="Q4" s="125" t="str">
        <f>Cen!B116</f>
        <v>770C3002S</v>
      </c>
      <c r="R4" s="125" t="str">
        <f>Cen!C116</f>
        <v>OG-M</v>
      </c>
      <c r="S4" s="257">
        <f>SUM(E20,E26,E32)</f>
        <v>0</v>
      </c>
      <c r="T4" s="261">
        <f>Cen!F116</f>
        <v>920.62116000000003</v>
      </c>
      <c r="U4" s="258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Cen!A121</f>
        <v>Bočnice C pure, 350mm, Orion šedá</v>
      </c>
      <c r="Q5" s="125" t="str">
        <f>Cen!B121</f>
        <v>770C3502S</v>
      </c>
      <c r="R5" s="125" t="str">
        <f>Cen!C121</f>
        <v>OG-M</v>
      </c>
      <c r="S5" s="257">
        <f>SUM(F20,F26,F32)</f>
        <v>0</v>
      </c>
      <c r="T5" s="261">
        <f>Cen!F121</f>
        <v>920.62116000000003</v>
      </c>
      <c r="U5" s="258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125" t="str">
        <f>Cen!A126</f>
        <v>Bočnice C pure, 400mm, Orion šedá</v>
      </c>
      <c r="Q6" s="125" t="str">
        <f>Cen!B126</f>
        <v>770C4002S</v>
      </c>
      <c r="R6" s="125" t="str">
        <f>Cen!C126</f>
        <v>OG-M</v>
      </c>
      <c r="S6" s="257">
        <f>SUM(G20,G26,G32)</f>
        <v>0</v>
      </c>
      <c r="T6" s="261">
        <f>Cen!F126</f>
        <v>931.92665999999997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/>
      <c r="I7" s="120"/>
      <c r="J7" s="119"/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Cen!A131</f>
        <v>Bočnice C pure, 450mm, Orion šedá</v>
      </c>
      <c r="Q7" s="125" t="str">
        <f>Cen!B131</f>
        <v>770C4502S</v>
      </c>
      <c r="R7" s="125" t="str">
        <f>Cen!C131</f>
        <v>OG-M</v>
      </c>
      <c r="S7" s="257">
        <f>SUM(H20:H21,H26:H27,H32:H33)</f>
        <v>0</v>
      </c>
      <c r="T7" s="261">
        <f>Cen!F131</f>
        <v>921.30178999999998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257">
        <f>SUM(I20:I21,I26:I27,I32:I33)</f>
        <v>0</v>
      </c>
      <c r="T8" s="261">
        <f>Cen!F136</f>
        <v>932.34378000000004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$U$74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257">
        <f>SUM(J20:J21,J26:J27,J32:J33)</f>
        <v>0</v>
      </c>
      <c r="T9" s="261">
        <f>Cen!F141</f>
        <v>1011.04004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Cen!A146</f>
        <v>Bočnice C pure, 600mm, Orion šedá</v>
      </c>
      <c r="Q10" s="125" t="str">
        <f>Cen!B146</f>
        <v>770C6002S</v>
      </c>
      <c r="R10" s="125" t="str">
        <f>Cen!C146</f>
        <v>OG-M</v>
      </c>
      <c r="S10" s="257">
        <f>SUM(K20:K21,K26:K27,K32:K33)</f>
        <v>0</v>
      </c>
      <c r="T10" s="261">
        <f>Cen!F146</f>
        <v>1127.97047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"* "&amp;List!$B$149&amp;":"</f>
        <v>* 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Cen!A151</f>
        <v>Bočnice C pure, 650mm, Orion šedá</v>
      </c>
      <c r="Q11" s="125" t="str">
        <f>Cen!B151</f>
        <v>770C6502S</v>
      </c>
      <c r="R11" s="125" t="str">
        <f>Cen!C151</f>
        <v>OG-M</v>
      </c>
      <c r="S11" s="257">
        <f>SUM(L21,L27,L33)</f>
        <v>0</v>
      </c>
      <c r="T11" s="261">
        <f>Cen!F151</f>
        <v>1167.5130999999999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List!$C$154&amp;":   LW - 90"</f>
        <v>Příčný reling:   LW - 90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671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672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 t="s">
        <v>522</v>
      </c>
      <c r="E25" s="300" t="s">
        <v>56</v>
      </c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673</v>
      </c>
      <c r="C26" s="293" t="s">
        <v>432</v>
      </c>
      <c r="D26" s="294"/>
      <c r="E26" s="294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674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 t="s">
        <v>522</v>
      </c>
      <c r="E31" s="300" t="s">
        <v>56</v>
      </c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294"/>
      <c r="E32" s="294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 t="s">
        <v>1017</v>
      </c>
      <c r="E36" s="303" t="s">
        <v>946</v>
      </c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294"/>
      <c r="E37" s="294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724" t="str">
        <f>IF(AND(SUM($D$32,$E$32)&gt;0,SUM($D$37,$E$37)=0),$P$85, IF(AND(SUM($D$32,$E$32)=0,SUM($D$37,$E$37)&gt;0),$P$84, " "))&amp;IF(SUM($D$32,$E$32)&lt;&gt;SUM($D$37,$E$37)," "&amp;$P$87," ")</f>
        <v xml:space="preserve">  </v>
      </c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3">
      <c r="D39" s="725" t="str">
        <f>"        ** "&amp;List!$B$325&amp;"!"</f>
        <v xml:space="preserve">        ** Jednotky L1 nelze kombinovat s lištami se zvýšenou nosností (70 kg)!</v>
      </c>
      <c r="E39" s="290"/>
      <c r="F39" s="290"/>
      <c r="G39" s="290"/>
      <c r="H39" s="290"/>
      <c r="I39" s="284"/>
      <c r="J39" s="284"/>
      <c r="K39" s="284"/>
      <c r="L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4" x14ac:dyDescent="0.3">
      <c r="C40" s="311"/>
      <c r="D40" s="725" t="str">
        <f>"       *** "&amp;List!$B$326&amp;"!"</f>
        <v xml:space="preserve">       *** Jednotky L5 nelze kombinovat s lištami se základní nosností (40 kg)!</v>
      </c>
      <c r="E40" s="290"/>
      <c r="F40" s="290"/>
      <c r="G40" s="290"/>
      <c r="I40" s="285"/>
      <c r="J40" s="285"/>
      <c r="K40" s="285"/>
      <c r="L40" s="285"/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D41" s="650"/>
      <c r="P41" s="120"/>
      <c r="Q41" s="120"/>
      <c r="R41" s="120"/>
      <c r="S41" s="121"/>
      <c r="T41" s="116"/>
      <c r="U41" s="116"/>
    </row>
    <row r="42" spans="2:21" x14ac:dyDescent="0.25">
      <c r="D42" s="725" t="str">
        <f>"     "&amp;List!$B$313</f>
        <v xml:space="preserve">     Synchronizace bude přidána automaticky. </v>
      </c>
      <c r="P42" s="120"/>
      <c r="Q42" s="120"/>
      <c r="R42" s="120"/>
      <c r="S42" s="121"/>
      <c r="T42" s="116"/>
      <c r="U42" s="116"/>
    </row>
    <row r="43" spans="2:21" ht="14" x14ac:dyDescent="0.3">
      <c r="C43" s="286"/>
      <c r="D43" s="725" t="str">
        <f>"     "&amp;List!$B$314</f>
        <v xml:space="preserve">     Pozor! Pro každý výsuv je započítána jedna hřídel. Počet hřídelí upravte v objednávce!</v>
      </c>
      <c r="E43" s="341"/>
      <c r="F43" s="342"/>
      <c r="G43" s="341"/>
      <c r="H43" s="341"/>
      <c r="I43" s="286"/>
      <c r="J43" s="286"/>
      <c r="K43" s="286"/>
      <c r="L43" s="286"/>
      <c r="P43" s="120"/>
      <c r="Q43" s="120"/>
      <c r="R43" s="120"/>
      <c r="S43" s="121"/>
      <c r="T43" s="116"/>
      <c r="U43" s="116"/>
    </row>
    <row r="44" spans="2:21" ht="14" x14ac:dyDescent="0.3">
      <c r="C44" s="286"/>
      <c r="D44" s="344"/>
      <c r="E44" s="290"/>
      <c r="F44" s="290"/>
      <c r="G44" s="290"/>
      <c r="H44" s="290"/>
      <c r="I44" s="284"/>
      <c r="J44" s="284"/>
      <c r="K44" s="284"/>
      <c r="L44" s="284"/>
      <c r="P44" s="120"/>
      <c r="Q44" s="120"/>
      <c r="R44" s="120"/>
      <c r="S44" s="121"/>
      <c r="T44" s="116"/>
      <c r="U44" s="116"/>
    </row>
    <row r="45" spans="2:21" ht="13" x14ac:dyDescent="0.3">
      <c r="B45" s="282"/>
      <c r="C45" s="282"/>
      <c r="H45" s="283"/>
      <c r="I45" s="283"/>
      <c r="J45" s="283"/>
      <c r="K45" s="283"/>
      <c r="L45" s="283"/>
      <c r="P45" s="120"/>
      <c r="Q45" s="120"/>
      <c r="R45" s="120"/>
      <c r="S45" s="121"/>
      <c r="T45" s="116"/>
      <c r="U45" s="116"/>
    </row>
    <row r="46" spans="2:21" ht="13" x14ac:dyDescent="0.3">
      <c r="B46" s="117" t="str">
        <f>"      * "&amp;List!$B$162</f>
        <v xml:space="preserve">      * Pro každý výsuv je započítán jeden přední díl a jeden příčný reling</v>
      </c>
      <c r="C46" s="282"/>
      <c r="H46" s="286"/>
      <c r="I46" s="286"/>
      <c r="J46" s="286"/>
      <c r="K46" s="286"/>
      <c r="L46" s="286"/>
      <c r="P46" s="120"/>
      <c r="Q46" s="120"/>
      <c r="R46" s="120"/>
      <c r="S46" s="121"/>
      <c r="T46" s="116"/>
      <c r="U46" s="116"/>
    </row>
    <row r="47" spans="2:21" ht="13" x14ac:dyDescent="0.3">
      <c r="B47" s="117" t="str">
        <f>"        "&amp;List!$B$164</f>
        <v xml:space="preserve">        Potřebný počet předních dílů a relingů upravte v objednávce</v>
      </c>
      <c r="C47" s="282"/>
      <c r="H47" s="284"/>
      <c r="I47" s="284"/>
      <c r="J47" s="284"/>
      <c r="K47" s="284"/>
      <c r="L47" s="284"/>
      <c r="P47" s="684"/>
      <c r="Q47" s="684"/>
      <c r="R47" s="684"/>
      <c r="S47" s="685"/>
      <c r="T47" s="686"/>
      <c r="U47" s="686"/>
    </row>
    <row r="48" spans="2:21" ht="13" x14ac:dyDescent="0.3">
      <c r="B48" s="282"/>
      <c r="C48" s="282"/>
      <c r="H48" s="284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3" x14ac:dyDescent="0.3">
      <c r="B49" s="282"/>
      <c r="C49" s="282"/>
      <c r="H49" s="284"/>
      <c r="I49" s="284"/>
      <c r="J49" s="284"/>
      <c r="K49" s="284"/>
      <c r="L49" s="284"/>
      <c r="P49" s="120"/>
      <c r="Q49" s="120"/>
      <c r="R49" s="120"/>
      <c r="S49" s="121"/>
      <c r="T49" s="116"/>
      <c r="U49" s="116"/>
    </row>
    <row r="50" spans="2:21" ht="13" x14ac:dyDescent="0.3">
      <c r="B50" s="282"/>
      <c r="C50" s="282"/>
      <c r="H50" s="284"/>
      <c r="I50" s="284"/>
      <c r="J50" s="284"/>
      <c r="K50" s="284"/>
      <c r="L50" s="284"/>
      <c r="P50" s="120"/>
      <c r="Q50" s="120"/>
      <c r="R50" s="120"/>
      <c r="S50" s="121"/>
      <c r="T50" s="116"/>
      <c r="U50" s="116"/>
    </row>
    <row r="51" spans="2:21" ht="13" x14ac:dyDescent="0.3">
      <c r="B51" s="282"/>
      <c r="C51" s="282"/>
      <c r="H51" s="284"/>
      <c r="I51" s="284"/>
      <c r="J51" s="284"/>
      <c r="K51" s="284"/>
      <c r="L51" s="284"/>
      <c r="P51" s="120"/>
      <c r="Q51" s="120"/>
      <c r="R51" s="120"/>
      <c r="S51" s="121"/>
      <c r="T51" s="116"/>
      <c r="U51" s="116"/>
    </row>
    <row r="52" spans="2:21" ht="13" x14ac:dyDescent="0.3">
      <c r="B52" s="282"/>
      <c r="C52" s="282"/>
      <c r="H52" s="284"/>
      <c r="I52" s="284"/>
      <c r="J52" s="284"/>
      <c r="K52" s="284"/>
      <c r="L52" s="284"/>
      <c r="P52" s="120"/>
      <c r="Q52" s="120"/>
      <c r="R52" s="120"/>
      <c r="S52" s="121"/>
      <c r="T52" s="116"/>
      <c r="U52" s="116"/>
    </row>
    <row r="53" spans="2:21" ht="13" x14ac:dyDescent="0.3">
      <c r="B53" s="282"/>
      <c r="C53" s="282"/>
      <c r="H53" s="284"/>
      <c r="I53" s="284"/>
      <c r="J53" s="284"/>
      <c r="K53" s="284"/>
      <c r="L53" s="284"/>
      <c r="P53" s="120"/>
      <c r="Q53" s="120"/>
      <c r="R53" s="120"/>
      <c r="S53" s="121"/>
      <c r="T53" s="116"/>
      <c r="U53" s="116"/>
    </row>
    <row r="54" spans="2:21" ht="13" x14ac:dyDescent="0.3">
      <c r="B54" s="282"/>
      <c r="C54" s="282"/>
      <c r="H54" s="284"/>
      <c r="I54" s="284"/>
      <c r="J54" s="284"/>
      <c r="K54" s="284"/>
      <c r="L54" s="284"/>
      <c r="P54" s="120"/>
      <c r="Q54" s="120"/>
      <c r="R54" s="120"/>
      <c r="S54" s="121"/>
      <c r="T54" s="116"/>
      <c r="U54" s="116"/>
    </row>
    <row r="55" spans="2:21" ht="13" x14ac:dyDescent="0.3">
      <c r="B55" s="282"/>
      <c r="C55" s="282"/>
      <c r="H55" s="284"/>
      <c r="I55" s="284"/>
      <c r="J55" s="284"/>
      <c r="K55" s="284"/>
      <c r="L55" s="284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2:21" ht="13" x14ac:dyDescent="0.3">
      <c r="B56" s="282"/>
      <c r="C56" s="282"/>
      <c r="H56" s="284"/>
      <c r="I56" s="284"/>
      <c r="J56" s="284"/>
      <c r="K56" s="284"/>
      <c r="L56" s="284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2:21" ht="13" x14ac:dyDescent="0.3">
      <c r="B57" s="282"/>
      <c r="C57" s="282"/>
      <c r="H57" s="284"/>
      <c r="I57" s="284"/>
      <c r="J57" s="284"/>
      <c r="K57" s="284"/>
      <c r="L57" s="284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2:21" ht="13" x14ac:dyDescent="0.3">
      <c r="B58" s="282"/>
      <c r="C58" s="282"/>
      <c r="H58" s="284"/>
      <c r="I58" s="284"/>
      <c r="J58" s="284"/>
      <c r="K58" s="284"/>
      <c r="L58" s="284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2:21" ht="13" x14ac:dyDescent="0.3">
      <c r="B59" s="282"/>
      <c r="C59" s="282"/>
      <c r="H59" s="284"/>
      <c r="I59" s="284"/>
      <c r="J59" s="284"/>
      <c r="K59" s="284"/>
      <c r="L59" s="284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2:21" x14ac:dyDescent="0.25">
      <c r="H60" s="285"/>
      <c r="I60" s="285"/>
      <c r="J60" s="285"/>
      <c r="K60" s="285"/>
      <c r="L60" s="285"/>
      <c r="P60" s="142"/>
      <c r="Q60" s="142"/>
      <c r="R60" s="142"/>
      <c r="S60" s="148"/>
      <c r="T60" s="152"/>
      <c r="U60" s="152"/>
    </row>
    <row r="61" spans="2:21" ht="13" x14ac:dyDescent="0.3">
      <c r="H61" s="283"/>
      <c r="I61" s="283"/>
      <c r="J61" s="283"/>
      <c r="K61" s="283"/>
      <c r="L61" s="283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2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2:21" x14ac:dyDescent="0.25">
      <c r="H63" s="285"/>
      <c r="I63" s="285"/>
      <c r="J63" s="285"/>
      <c r="K63" s="285"/>
      <c r="L63" s="285"/>
      <c r="P63" s="120"/>
      <c r="Q63" s="120"/>
      <c r="R63" s="120"/>
      <c r="S63" s="121"/>
      <c r="T63" s="116"/>
      <c r="U63" s="116"/>
    </row>
    <row r="64" spans="2:21" ht="13" x14ac:dyDescent="0.3">
      <c r="H64" s="283"/>
      <c r="I64" s="283"/>
      <c r="J64" s="283"/>
      <c r="K64" s="283"/>
      <c r="L64" s="283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>S64*T64</f>
        <v>0</v>
      </c>
    </row>
    <row r="65" spans="16:21" x14ac:dyDescent="0.25">
      <c r="P65" s="120" t="str">
        <f>Cen!A374</f>
        <v>Sada kování vnitř.výs. C, s relingem, Orion šedá</v>
      </c>
      <c r="Q65" s="120" t="str">
        <f>Cen!B374</f>
        <v>ZI7.3CS0</v>
      </c>
      <c r="R65" s="120" t="str">
        <f>Cen!C374</f>
        <v>OG-M</v>
      </c>
      <c r="S65" s="121">
        <f>SUM(S3:S11)</f>
        <v>0</v>
      </c>
      <c r="T65" s="116">
        <f>Cen!F374</f>
        <v>547.28877999999997</v>
      </c>
      <c r="U65" s="116">
        <f>S65*T65</f>
        <v>0</v>
      </c>
    </row>
    <row r="66" spans="16:21" x14ac:dyDescent="0.25">
      <c r="P66" s="120"/>
      <c r="Q66" s="120"/>
      <c r="R66" s="120"/>
      <c r="S66" s="121"/>
      <c r="T66" s="116"/>
      <c r="U66" s="116"/>
    </row>
    <row r="67" spans="16:21" x14ac:dyDescent="0.25">
      <c r="P67" s="120" t="str">
        <f>Cen!A389</f>
        <v>Přední díl vnitřní zásuvky, bez drážky, Orion šedá</v>
      </c>
      <c r="Q67" s="120" t="str">
        <f>Cen!B389</f>
        <v>ZV7.1043C01</v>
      </c>
      <c r="R67" s="120" t="str">
        <f>Cen!C389</f>
        <v>OG-M</v>
      </c>
      <c r="S67" s="329">
        <f>SUM(S3:S11)</f>
        <v>0</v>
      </c>
      <c r="T67" s="116">
        <f>Cen!F389</f>
        <v>467.12466999999998</v>
      </c>
      <c r="U67" s="116">
        <f>S67*T67</f>
        <v>0</v>
      </c>
    </row>
    <row r="68" spans="16:21" x14ac:dyDescent="0.25">
      <c r="P68" s="120" t="str">
        <f>Cen!A419</f>
        <v>Příčný reling vnitřní zásuvky, Orion šedá</v>
      </c>
      <c r="Q68" s="120" t="str">
        <f>Cen!B419</f>
        <v>ZR7.1080U</v>
      </c>
      <c r="R68" s="120" t="str">
        <f>Cen!C419</f>
        <v>OG-M</v>
      </c>
      <c r="S68" s="329">
        <f>SUM(S3:S11)</f>
        <v>0</v>
      </c>
      <c r="T68" s="116">
        <f>Cen!F419</f>
        <v>199.21817999999999</v>
      </c>
      <c r="U68" s="116">
        <f>S68*T68</f>
        <v>0</v>
      </c>
    </row>
    <row r="69" spans="16:21" x14ac:dyDescent="0.25">
      <c r="P69" s="142"/>
      <c r="Q69" s="142"/>
      <c r="R69" s="142"/>
      <c r="S69" s="148"/>
      <c r="T69" s="152"/>
      <c r="U69" s="152"/>
    </row>
    <row r="70" spans="16:21" x14ac:dyDescent="0.25">
      <c r="P70" s="142"/>
      <c r="Q70" s="142"/>
      <c r="R70" s="142"/>
      <c r="S70" s="148"/>
      <c r="T70" s="152"/>
      <c r="U70" s="152"/>
    </row>
    <row r="71" spans="16:21" x14ac:dyDescent="0.25">
      <c r="P71" s="142"/>
      <c r="Q71" s="142"/>
      <c r="R71" s="142"/>
      <c r="S71" s="148"/>
      <c r="T71" s="152"/>
      <c r="U71" s="152"/>
    </row>
    <row r="72" spans="16:21" x14ac:dyDescent="0.25">
      <c r="P72" s="142"/>
      <c r="Q72" s="142"/>
      <c r="R72" s="142"/>
      <c r="S72" s="148"/>
      <c r="T72" s="152"/>
      <c r="U72" s="152"/>
    </row>
    <row r="73" spans="16:21" x14ac:dyDescent="0.25">
      <c r="P73" s="117"/>
      <c r="Q73" s="117"/>
    </row>
    <row r="74" spans="16:21" x14ac:dyDescent="0.25">
      <c r="Q74" s="117"/>
      <c r="S74" s="74" t="str">
        <f>List!$B$97</f>
        <v>cena kování</v>
      </c>
      <c r="U74" s="346">
        <f>SUM(U3:U73)</f>
        <v>0</v>
      </c>
    </row>
    <row r="75" spans="16:21" x14ac:dyDescent="0.25">
      <c r="Q75" s="117"/>
    </row>
    <row r="76" spans="16:21" x14ac:dyDescent="0.25">
      <c r="Q76" s="117"/>
    </row>
    <row r="77" spans="16:21" x14ac:dyDescent="0.25">
      <c r="Q77" s="117"/>
    </row>
    <row r="78" spans="16:21" x14ac:dyDescent="0.25">
      <c r="P78" s="117"/>
      <c r="Q78" s="117"/>
    </row>
    <row r="79" spans="16:21" x14ac:dyDescent="0.25">
      <c r="P79" s="117"/>
      <c r="Q79" s="117"/>
    </row>
    <row r="80" spans="16:21" x14ac:dyDescent="0.25">
      <c r="P80" s="117"/>
      <c r="Q80" s="117"/>
    </row>
    <row r="81" spans="16:17" x14ac:dyDescent="0.25">
      <c r="P81" s="117"/>
      <c r="Q81" s="117"/>
    </row>
    <row r="82" spans="16:17" x14ac:dyDescent="0.25">
      <c r="P82" s="117"/>
      <c r="Q82" s="117"/>
    </row>
    <row r="84" spans="16:17" x14ac:dyDescent="0.25">
      <c r="P84" s="117" t="str">
        <f>List!$B$316&amp;"!"</f>
        <v>S0 a S1 pouze pro jmenovitou délku 270 a 300 mm!</v>
      </c>
    </row>
    <row r="85" spans="16:17" x14ac:dyDescent="0.25">
      <c r="P85" s="117" t="str">
        <f>List!$B$317&amp;"!"</f>
        <v>Pro výsuvy délky 270 a 300 mm vyberte jednotky S0 nebo S1!</v>
      </c>
    </row>
    <row r="86" spans="16:17" x14ac:dyDescent="0.25">
      <c r="P86" s="117" t="str">
        <f>List!$B$318&amp;"!"</f>
        <v>Počet jednotek L neodpovídá počtu korpusových lišt!</v>
      </c>
    </row>
    <row r="87" spans="16:17" x14ac:dyDescent="0.25">
      <c r="P87" s="117" t="str">
        <f>List!$B$319&amp;"!"</f>
        <v>Počet jednotek S neodpovídá počtu korpusových lišt!</v>
      </c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3.5" customHeight="1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/>
      <c r="E106" s="838"/>
      <c r="F106" s="839"/>
      <c r="G106" s="801"/>
      <c r="H106" s="877"/>
      <c r="I106" s="878"/>
      <c r="J106" s="807"/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801"/>
      <c r="H107" s="877"/>
      <c r="I107" s="878"/>
      <c r="J107" s="807"/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KY1v5Sx0367qwuMgkxsD6z6hGB+T6r7SNDo7mrwFO0kN381XVNgCoorrY4uKPlz6kNIViGIGAmM17j5i7zy8hQ==" saltValue="DHS+jzJbOTazFeVqYqpK8w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phoneticPr fontId="52" type="noConversion"/>
  <hyperlinks>
    <hyperlink ref="N3" location="Form!A1" tooltip=" " display="Form!A1" xr:uid="{00000000-0004-0000-0C00-000000000000}"/>
    <hyperlink ref="N4" location="Menu!A1" tooltip=" " display="Menu!A1" xr:uid="{00000000-0004-0000-0C00-000001000000}"/>
    <hyperlink ref="N7" location="Acs!A1" tooltip=" " display="Acs!A1" xr:uid="{00000000-0004-0000-0C00-000002000000}"/>
    <hyperlink ref="N8" location="SD!A1" tooltip=" " display="SD!A1" xr:uid="{00000000-0004-0000-0C00-000003000000}"/>
    <hyperlink ref="N10" location="Sum!A1" tooltip=" " display="Sum!A1" xr:uid="{00000000-0004-0000-0C00-000004000000}"/>
    <hyperlink ref="N11" location="Ord!A1" tooltip=" " display="Ord!A1" xr:uid="{00000000-0004-0000-0C00-000005000000}"/>
    <hyperlink ref="N9" location="AL!A1" tooltip=" " display="AL!A1" xr:uid="{00000000-0004-0000-0C00-000006000000}"/>
    <hyperlink ref="N31" location="'7C41RP'!A100" tooltip=" " display="'7C41RP'!A100" xr:uid="{00000000-0004-0000-0C00-000007000000}"/>
    <hyperlink ref="N111" location="'7C41RP'!A1" tooltip=" " display="'7C41RP'!A1" xr:uid="{00000000-0004-0000-0C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0">
    <tabColor theme="5" tint="0.39997558519241921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17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"&amp;List!$B$72</f>
        <v>Vnitřní výsuv C, přední reling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Cen!A166</f>
        <v>Bočnice C free, 350mm, Orion šedá</v>
      </c>
      <c r="Q5" s="125" t="str">
        <f>Cen!B166</f>
        <v>780C3502S</v>
      </c>
      <c r="R5" s="125" t="str">
        <f>Cen!C166</f>
        <v>OG-M</v>
      </c>
      <c r="S5" s="257">
        <f>SUM(F20,F26,F32)</f>
        <v>0</v>
      </c>
      <c r="T5" s="261">
        <f>Cen!F166</f>
        <v>957.21118000000001</v>
      </c>
      <c r="U5" s="258">
        <f t="shared" ref="U5:U10" si="0">S5*T5</f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125" t="str">
        <f>Cen!A171</f>
        <v>Bočnice C free, 400mm, Orion šedá</v>
      </c>
      <c r="Q6" s="125" t="str">
        <f>Cen!B171</f>
        <v>780C4002S</v>
      </c>
      <c r="R6" s="125" t="str">
        <f>Cen!C171</f>
        <v>OG-M</v>
      </c>
      <c r="S6" s="257">
        <f>SUM(G20,G26,G32)</f>
        <v>0</v>
      </c>
      <c r="T6" s="261">
        <f>Cen!F171</f>
        <v>964.26940999999999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/>
      <c r="I7" s="120"/>
      <c r="J7" s="119"/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Cen!A176</f>
        <v>Bočnice C free, 450mm, Orion šedá</v>
      </c>
      <c r="Q7" s="125" t="str">
        <f>Cen!B176</f>
        <v>780C4502S</v>
      </c>
      <c r="R7" s="125" t="str">
        <f>Cen!C176</f>
        <v>OG-M</v>
      </c>
      <c r="S7" s="257">
        <f>SUM(H20:H21,H26:H27,H32:H33)</f>
        <v>0</v>
      </c>
      <c r="T7" s="261">
        <f>Cen!F176</f>
        <v>971.33302000000003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Cen!C181</f>
        <v>OG-M</v>
      </c>
      <c r="S8" s="257">
        <f>SUM(I20:I21,I26:I27,I32:I33)</f>
        <v>0</v>
      </c>
      <c r="T8" s="261">
        <f>Cen!F181</f>
        <v>978.39665000000002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$U$84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Cen!C186</f>
        <v>OG-M</v>
      </c>
      <c r="S9" s="257">
        <f>SUM(J20:J21,J26:J27,J32:J33)</f>
        <v>0</v>
      </c>
      <c r="T9" s="261">
        <f>Cen!F186</f>
        <v>1034.8882699999999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Cen!A191</f>
        <v>Bočnice C free, 600mm, Orion šedá</v>
      </c>
      <c r="Q10" s="125" t="str">
        <f>Cen!B191</f>
        <v>780C6002S</v>
      </c>
      <c r="R10" s="125" t="str">
        <f>Cen!C191</f>
        <v>OG-M</v>
      </c>
      <c r="S10" s="257">
        <f>SUM(K20:K21,K26:K27,K32:K33)</f>
        <v>0</v>
      </c>
      <c r="T10" s="261">
        <f>Cen!F191</f>
        <v>1123.16077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"* "&amp;List!$B$149&amp;":"</f>
        <v>* 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Cen!A196</f>
        <v>Bočnice C free, 650mm, Orion šedá</v>
      </c>
      <c r="Q11" s="125" t="str">
        <f>Cen!B196</f>
        <v>780C6502S</v>
      </c>
      <c r="R11" s="125" t="str">
        <f>Cen!C196</f>
        <v>OG-M</v>
      </c>
      <c r="S11" s="257">
        <f>SUM(L21,L27,L33)</f>
        <v>0</v>
      </c>
      <c r="T11" s="261">
        <f>Cen!F196</f>
        <v>1156.3666000000001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List!$C$154&amp;":   LW - 90"</f>
        <v>Příčný reling:   LW - 90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0"/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671</v>
      </c>
      <c r="C20" s="293" t="s">
        <v>432</v>
      </c>
      <c r="D20" s="559"/>
      <c r="E20" s="559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672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/>
      <c r="E25" s="300"/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673</v>
      </c>
      <c r="C26" s="293" t="s">
        <v>432</v>
      </c>
      <c r="D26" s="559"/>
      <c r="E26" s="559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674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/>
      <c r="E31" s="300"/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559"/>
      <c r="E32" s="559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/>
      <c r="E36" s="303"/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559"/>
      <c r="E37" s="559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651"/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3">
      <c r="C39" s="286"/>
      <c r="D39" s="725" t="str">
        <f>"        ** "&amp;List!$B$325&amp;"!"</f>
        <v xml:space="preserve">        ** Jednotky L1 nelze kombinovat s lištami se zvýšenou nosností (70 kg)!</v>
      </c>
      <c r="E39" s="290"/>
      <c r="F39" s="290"/>
      <c r="G39" s="290"/>
      <c r="H39" s="290"/>
      <c r="I39" s="284"/>
      <c r="J39" s="284"/>
      <c r="K39" s="284"/>
      <c r="L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4" x14ac:dyDescent="0.3">
      <c r="D40" s="725" t="str">
        <f>"       *** "&amp;List!$B$326&amp;"!"</f>
        <v xml:space="preserve">       *** Jednotky L5 nelze kombinovat s lištami se základní nosností (40 kg)!</v>
      </c>
      <c r="E40" s="290"/>
      <c r="F40" s="290"/>
      <c r="G40" s="290"/>
      <c r="H40" s="290"/>
      <c r="I40" s="284"/>
      <c r="J40" s="284"/>
      <c r="K40" s="284"/>
      <c r="L40" s="284"/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P41" s="120"/>
      <c r="Q41" s="120"/>
      <c r="R41" s="120"/>
      <c r="S41" s="121"/>
      <c r="T41" s="116"/>
      <c r="U41" s="116"/>
    </row>
    <row r="42" spans="2:21" x14ac:dyDescent="0.25">
      <c r="D42" s="725" t="str">
        <f>"     "&amp;List!$B$313</f>
        <v xml:space="preserve">     Synchronizace bude přidána automaticky. </v>
      </c>
      <c r="P42" s="120"/>
      <c r="Q42" s="120"/>
      <c r="R42" s="120"/>
      <c r="S42" s="121"/>
      <c r="T42" s="116"/>
      <c r="U42" s="116"/>
    </row>
    <row r="43" spans="2:21" ht="14" x14ac:dyDescent="0.3">
      <c r="C43" s="286"/>
      <c r="D43" s="725" t="str">
        <f>"     "&amp;List!$B$314</f>
        <v xml:space="preserve">     Pozor! Pro každý výsuv je započítána jedna hřídel. Počet hřídelí upravte v objednávce!</v>
      </c>
      <c r="E43" s="341"/>
      <c r="F43" s="342"/>
      <c r="G43" s="341"/>
      <c r="H43" s="341"/>
      <c r="I43" s="286"/>
      <c r="J43" s="286"/>
      <c r="K43" s="286"/>
      <c r="L43" s="286"/>
      <c r="P43" s="120"/>
      <c r="Q43" s="120"/>
      <c r="R43" s="120"/>
      <c r="S43" s="121"/>
      <c r="T43" s="116"/>
      <c r="U43" s="116"/>
    </row>
    <row r="44" spans="2:21" ht="14" x14ac:dyDescent="0.3">
      <c r="C44" s="311"/>
      <c r="D44" s="290"/>
      <c r="E44" s="290"/>
      <c r="F44" s="290"/>
      <c r="G44" s="290"/>
      <c r="I44" s="285"/>
      <c r="J44" s="285"/>
      <c r="K44" s="285"/>
      <c r="L44" s="285"/>
      <c r="P44" s="120"/>
      <c r="Q44" s="120"/>
      <c r="R44" s="120"/>
      <c r="S44" s="121"/>
      <c r="T44" s="116"/>
      <c r="U44" s="116"/>
    </row>
    <row r="45" spans="2:21" ht="13" x14ac:dyDescent="0.3">
      <c r="B45" s="117" t="str">
        <f>"      * "&amp;List!$B$162</f>
        <v xml:space="preserve">      * Pro každý výsuv je započítán jeden přední díl a jeden příčný reling</v>
      </c>
      <c r="C45" s="282"/>
      <c r="H45" s="283"/>
      <c r="I45" s="283"/>
      <c r="J45" s="283"/>
      <c r="K45" s="283"/>
      <c r="L45" s="283"/>
      <c r="P45" s="120"/>
      <c r="Q45" s="120"/>
      <c r="R45" s="120"/>
      <c r="S45" s="121"/>
      <c r="T45" s="116"/>
      <c r="U45" s="116"/>
    </row>
    <row r="46" spans="2:21" ht="13" x14ac:dyDescent="0.3">
      <c r="B46" s="117" t="str">
        <f>"        "&amp;List!$B$164</f>
        <v xml:space="preserve">        Potřebný počet předních dílů a relingů upravte v objednávce</v>
      </c>
      <c r="C46" s="282"/>
      <c r="H46" s="286"/>
      <c r="I46" s="286"/>
      <c r="J46" s="286"/>
      <c r="K46" s="286"/>
      <c r="L46" s="286"/>
      <c r="P46" s="120"/>
      <c r="Q46" s="120"/>
      <c r="R46" s="120"/>
      <c r="S46" s="121"/>
      <c r="T46" s="116"/>
      <c r="U46" s="116"/>
    </row>
    <row r="47" spans="2:21" ht="14" x14ac:dyDescent="0.3">
      <c r="B47" s="314"/>
      <c r="C47" s="282"/>
      <c r="H47" s="284"/>
      <c r="I47" s="284"/>
      <c r="J47" s="284"/>
      <c r="K47" s="284"/>
      <c r="L47" s="284"/>
      <c r="P47" s="684"/>
      <c r="Q47" s="684"/>
      <c r="R47" s="684"/>
      <c r="S47" s="685"/>
      <c r="T47" s="686"/>
      <c r="U47" s="686"/>
    </row>
    <row r="48" spans="2:21" ht="13" x14ac:dyDescent="0.3">
      <c r="B48" s="117" t="str">
        <f>"        "&amp;List!$B$172</f>
        <v xml:space="preserve">        Boční zásuvné prvky se načtou automaticky</v>
      </c>
      <c r="C48" s="282"/>
      <c r="H48" s="284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3" x14ac:dyDescent="0.3">
      <c r="B49" s="117" t="str">
        <f>"        "&amp;List!$B$176</f>
        <v xml:space="preserve">        Máte-li zásuvné prvky vlastní, upravte počty v objednávce</v>
      </c>
      <c r="C49" s="282"/>
      <c r="H49" s="284"/>
      <c r="I49" s="284"/>
      <c r="J49" s="284"/>
      <c r="K49" s="284"/>
      <c r="L49" s="284"/>
      <c r="P49" s="120"/>
      <c r="Q49" s="120"/>
      <c r="R49" s="120"/>
      <c r="S49" s="121"/>
      <c r="T49" s="116"/>
      <c r="U49" s="116"/>
    </row>
    <row r="50" spans="2:21" ht="13" x14ac:dyDescent="0.3">
      <c r="B50" s="282"/>
      <c r="C50" s="282"/>
      <c r="H50" s="284"/>
      <c r="I50" s="284"/>
      <c r="J50" s="284"/>
      <c r="K50" s="284"/>
      <c r="L50" s="284"/>
      <c r="P50" s="120"/>
      <c r="Q50" s="120"/>
      <c r="R50" s="120"/>
      <c r="S50" s="121"/>
      <c r="T50" s="116"/>
      <c r="U50" s="116"/>
    </row>
    <row r="51" spans="2:21" ht="13" x14ac:dyDescent="0.3">
      <c r="B51" s="282"/>
      <c r="C51" s="282"/>
      <c r="H51" s="284"/>
      <c r="I51" s="284"/>
      <c r="J51" s="284"/>
      <c r="K51" s="284"/>
      <c r="L51" s="284"/>
      <c r="P51" s="120"/>
      <c r="Q51" s="120"/>
      <c r="R51" s="120"/>
      <c r="S51" s="121"/>
      <c r="T51" s="116"/>
      <c r="U51" s="116"/>
    </row>
    <row r="52" spans="2:21" ht="13" x14ac:dyDescent="0.3">
      <c r="B52" s="282"/>
      <c r="C52" s="282"/>
      <c r="H52" s="284"/>
      <c r="I52" s="284"/>
      <c r="J52" s="284"/>
      <c r="K52" s="284"/>
      <c r="L52" s="284"/>
      <c r="P52" s="120"/>
      <c r="Q52" s="120"/>
      <c r="R52" s="120"/>
      <c r="S52" s="121"/>
      <c r="T52" s="116"/>
      <c r="U52" s="116"/>
    </row>
    <row r="53" spans="2:21" ht="13" x14ac:dyDescent="0.3">
      <c r="B53" s="282"/>
      <c r="C53" s="282"/>
      <c r="H53" s="284"/>
      <c r="I53" s="284"/>
      <c r="J53" s="284"/>
      <c r="K53" s="284"/>
      <c r="L53" s="284"/>
      <c r="P53" s="120"/>
      <c r="Q53" s="120"/>
      <c r="R53" s="120"/>
      <c r="S53" s="121"/>
      <c r="T53" s="116"/>
      <c r="U53" s="116"/>
    </row>
    <row r="54" spans="2:21" ht="13" x14ac:dyDescent="0.3">
      <c r="B54" s="282"/>
      <c r="C54" s="282"/>
      <c r="H54" s="284"/>
      <c r="I54" s="284"/>
      <c r="J54" s="284"/>
      <c r="K54" s="284"/>
      <c r="L54" s="284"/>
      <c r="P54" s="120"/>
      <c r="Q54" s="120"/>
      <c r="R54" s="120"/>
      <c r="S54" s="121"/>
      <c r="T54" s="116"/>
      <c r="U54" s="116"/>
    </row>
    <row r="55" spans="2:21" ht="13" x14ac:dyDescent="0.3">
      <c r="B55" s="282"/>
      <c r="C55" s="282"/>
      <c r="H55" s="284"/>
      <c r="I55" s="284"/>
      <c r="J55" s="284"/>
      <c r="K55" s="284"/>
      <c r="L55" s="284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2:21" ht="13" x14ac:dyDescent="0.3">
      <c r="B56" s="282"/>
      <c r="C56" s="282"/>
      <c r="H56" s="284"/>
      <c r="I56" s="284"/>
      <c r="J56" s="284"/>
      <c r="K56" s="284"/>
      <c r="L56" s="284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2:21" ht="13" x14ac:dyDescent="0.3">
      <c r="B57" s="282"/>
      <c r="C57" s="282"/>
      <c r="H57" s="284"/>
      <c r="I57" s="284"/>
      <c r="J57" s="284"/>
      <c r="K57" s="284"/>
      <c r="L57" s="284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2:21" ht="13" x14ac:dyDescent="0.3">
      <c r="B58" s="282"/>
      <c r="C58" s="282"/>
      <c r="H58" s="284"/>
      <c r="I58" s="284"/>
      <c r="J58" s="284"/>
      <c r="K58" s="284"/>
      <c r="L58" s="284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2:21" ht="13" x14ac:dyDescent="0.3">
      <c r="B59" s="282"/>
      <c r="C59" s="282"/>
      <c r="H59" s="284"/>
      <c r="I59" s="284"/>
      <c r="J59" s="284"/>
      <c r="K59" s="284"/>
      <c r="L59" s="284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2:21" x14ac:dyDescent="0.25">
      <c r="H60" s="285"/>
      <c r="I60" s="285"/>
      <c r="J60" s="285"/>
      <c r="K60" s="285"/>
      <c r="L60" s="285"/>
      <c r="P60" s="142"/>
      <c r="Q60" s="142"/>
      <c r="R60" s="142"/>
      <c r="S60" s="148"/>
      <c r="T60" s="152"/>
      <c r="U60" s="152"/>
    </row>
    <row r="61" spans="2:21" ht="13" x14ac:dyDescent="0.3">
      <c r="H61" s="283"/>
      <c r="I61" s="283"/>
      <c r="J61" s="283"/>
      <c r="K61" s="283"/>
      <c r="L61" s="283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2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2:21" x14ac:dyDescent="0.25">
      <c r="H63" s="285"/>
      <c r="I63" s="285"/>
      <c r="J63" s="285"/>
      <c r="K63" s="285"/>
      <c r="L63" s="285"/>
      <c r="P63" s="120"/>
      <c r="Q63" s="120"/>
      <c r="R63" s="120"/>
      <c r="S63" s="121"/>
      <c r="T63" s="116"/>
      <c r="U63" s="116"/>
    </row>
    <row r="64" spans="2:21" ht="13" x14ac:dyDescent="0.3">
      <c r="H64" s="283"/>
      <c r="I64" s="283"/>
      <c r="J64" s="283"/>
      <c r="K64" s="283"/>
      <c r="L64" s="283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>S64*T64</f>
        <v>0</v>
      </c>
    </row>
    <row r="65" spans="16:21" x14ac:dyDescent="0.25">
      <c r="P65" s="120" t="str">
        <f>Cen!A374</f>
        <v>Sada kování vnitř.výs. C, s relingem, Orion šedá</v>
      </c>
      <c r="Q65" s="120" t="str">
        <f>Cen!B374</f>
        <v>ZI7.3CS0</v>
      </c>
      <c r="R65" s="120" t="str">
        <f>Cen!C374</f>
        <v>OG-M</v>
      </c>
      <c r="S65" s="121">
        <f>SUM(S3:S11)</f>
        <v>0</v>
      </c>
      <c r="T65" s="116">
        <f>Cen!F374</f>
        <v>547.28877999999997</v>
      </c>
      <c r="U65" s="116">
        <f>S65*T65</f>
        <v>0</v>
      </c>
    </row>
    <row r="66" spans="16:21" x14ac:dyDescent="0.25">
      <c r="P66" s="120"/>
      <c r="Q66" s="120"/>
      <c r="R66" s="120"/>
      <c r="S66" s="121"/>
      <c r="T66" s="116"/>
      <c r="U66" s="116"/>
    </row>
    <row r="67" spans="16:21" x14ac:dyDescent="0.25">
      <c r="P67" s="120" t="str">
        <f>Cen!A389</f>
        <v>Přední díl vnitřní zásuvky, bez drážky, Orion šedá</v>
      </c>
      <c r="Q67" s="120" t="str">
        <f>Cen!B389</f>
        <v>ZV7.1043C01</v>
      </c>
      <c r="R67" s="120" t="str">
        <f>Cen!C389</f>
        <v>OG-M</v>
      </c>
      <c r="S67" s="329">
        <f>SUM(S3:S11)</f>
        <v>0</v>
      </c>
      <c r="T67" s="116">
        <f>Cen!F389</f>
        <v>467.12466999999998</v>
      </c>
      <c r="U67" s="116">
        <f>S67*T67</f>
        <v>0</v>
      </c>
    </row>
    <row r="68" spans="16:21" x14ac:dyDescent="0.25">
      <c r="P68" s="120" t="str">
        <f>Cen!A419</f>
        <v>Příčný reling vnitřní zásuvky, Orion šedá</v>
      </c>
      <c r="Q68" s="120" t="str">
        <f>Cen!B419</f>
        <v>ZR7.1080U</v>
      </c>
      <c r="R68" s="120" t="str">
        <f>Cen!C419</f>
        <v>OG-M</v>
      </c>
      <c r="S68" s="329">
        <f>SUM(S3:S11)</f>
        <v>0</v>
      </c>
      <c r="T68" s="116">
        <f>Cen!F419</f>
        <v>199.21817999999999</v>
      </c>
      <c r="U68" s="116">
        <f>S68*T68</f>
        <v>0</v>
      </c>
    </row>
    <row r="69" spans="16:21" x14ac:dyDescent="0.25">
      <c r="P69" s="142"/>
      <c r="Q69" s="142"/>
      <c r="R69" s="142"/>
      <c r="S69" s="148"/>
      <c r="T69" s="152"/>
      <c r="U69" s="152"/>
    </row>
    <row r="70" spans="16:21" x14ac:dyDescent="0.25">
      <c r="P70" s="142"/>
      <c r="Q70" s="142"/>
      <c r="R70" s="142"/>
      <c r="S70" s="148"/>
      <c r="T70" s="152"/>
      <c r="U70" s="152"/>
    </row>
    <row r="71" spans="16:21" x14ac:dyDescent="0.25">
      <c r="P71" s="142"/>
      <c r="Q71" s="142"/>
      <c r="R71" s="142"/>
      <c r="S71" s="148"/>
      <c r="T71" s="152"/>
      <c r="U71" s="152"/>
    </row>
    <row r="72" spans="16:21" x14ac:dyDescent="0.25">
      <c r="P72" s="142"/>
      <c r="Q72" s="142"/>
      <c r="R72" s="142"/>
      <c r="S72" s="148"/>
      <c r="T72" s="152"/>
      <c r="U72" s="152"/>
    </row>
    <row r="73" spans="16:21" x14ac:dyDescent="0.25">
      <c r="P73" s="117"/>
      <c r="Q73" s="117"/>
    </row>
    <row r="74" spans="16:21" x14ac:dyDescent="0.25">
      <c r="P74" s="205" t="str">
        <f>Cen!A232</f>
        <v>Boční zásuvné prvky, sklo, pro 350 mm</v>
      </c>
      <c r="Q74" s="205" t="str">
        <f>Cen!B232</f>
        <v>ZE7S238G</v>
      </c>
      <c r="R74" s="205" t="str">
        <f>Cen!C232</f>
        <v>KLA</v>
      </c>
      <c r="S74" s="255">
        <f t="shared" ref="S74:S80" si="5">S5</f>
        <v>0</v>
      </c>
      <c r="T74" s="594">
        <f>Cen!F232</f>
        <v>625.33465999999999</v>
      </c>
      <c r="U74" s="256">
        <f>S74*T74</f>
        <v>0</v>
      </c>
    </row>
    <row r="75" spans="16:21" x14ac:dyDescent="0.25">
      <c r="P75" s="125" t="str">
        <f>Cen!A233</f>
        <v>Boční zásuvné prvky, sklo, pro 400 mm</v>
      </c>
      <c r="Q75" s="125" t="str">
        <f>Cen!B233</f>
        <v>ZE7S288G</v>
      </c>
      <c r="R75" s="125" t="str">
        <f>Cen!C233</f>
        <v>KLA</v>
      </c>
      <c r="S75" s="257">
        <f t="shared" si="5"/>
        <v>0</v>
      </c>
      <c r="T75" s="261">
        <f>Cen!F233</f>
        <v>660.74360999999999</v>
      </c>
      <c r="U75" s="258">
        <f t="shared" ref="U75:U80" si="6">S75*T75</f>
        <v>0</v>
      </c>
    </row>
    <row r="76" spans="16:21" x14ac:dyDescent="0.25">
      <c r="P76" s="125" t="str">
        <f>Cen!A234</f>
        <v>Boční zásuvné prvky, sklo, pro 450 mm</v>
      </c>
      <c r="Q76" s="125" t="str">
        <f>Cen!B234</f>
        <v>ZE7S338G</v>
      </c>
      <c r="R76" s="125" t="str">
        <f>Cen!C234</f>
        <v>KLA</v>
      </c>
      <c r="S76" s="257">
        <f t="shared" si="5"/>
        <v>0</v>
      </c>
      <c r="T76" s="261">
        <f>Cen!F234</f>
        <v>696.15254000000004</v>
      </c>
      <c r="U76" s="258">
        <f t="shared" si="6"/>
        <v>0</v>
      </c>
    </row>
    <row r="77" spans="16:21" x14ac:dyDescent="0.25">
      <c r="P77" s="125" t="str">
        <f>Cen!A235</f>
        <v>Boční zásuvné prvky, sklo, pro 500 mm</v>
      </c>
      <c r="Q77" s="125" t="str">
        <f>Cen!B235</f>
        <v>ZE7S388G</v>
      </c>
      <c r="R77" s="125" t="str">
        <f>Cen!C235</f>
        <v>KLA</v>
      </c>
      <c r="S77" s="257">
        <f t="shared" si="5"/>
        <v>0</v>
      </c>
      <c r="T77" s="261">
        <f>Cen!F235</f>
        <v>731.56149000000005</v>
      </c>
      <c r="U77" s="258">
        <f t="shared" si="6"/>
        <v>0</v>
      </c>
    </row>
    <row r="78" spans="16:21" x14ac:dyDescent="0.25">
      <c r="P78" s="125" t="str">
        <f>Cen!A236</f>
        <v>Boční zásuvné prvky, sklo, pro 550 mm</v>
      </c>
      <c r="Q78" s="125" t="str">
        <f>Cen!B236</f>
        <v>ZE7S438G</v>
      </c>
      <c r="R78" s="125" t="str">
        <f>Cen!C236</f>
        <v>KLA</v>
      </c>
      <c r="S78" s="257">
        <f t="shared" si="5"/>
        <v>0</v>
      </c>
      <c r="T78" s="261">
        <f>Cen!F236</f>
        <v>802.35667000000001</v>
      </c>
      <c r="U78" s="258">
        <f t="shared" si="6"/>
        <v>0</v>
      </c>
    </row>
    <row r="79" spans="16:21" x14ac:dyDescent="0.25">
      <c r="P79" s="125" t="str">
        <f>Cen!A237</f>
        <v>Boční zásuvné prvky, sklo, pro 600 mm</v>
      </c>
      <c r="Q79" s="125" t="str">
        <f>Cen!B237</f>
        <v>ZE7S488G</v>
      </c>
      <c r="R79" s="125" t="str">
        <f>Cen!C237</f>
        <v>KLA</v>
      </c>
      <c r="S79" s="257">
        <f t="shared" si="5"/>
        <v>0</v>
      </c>
      <c r="T79" s="261">
        <f>Cen!F237</f>
        <v>873.15183000000002</v>
      </c>
      <c r="U79" s="258">
        <f t="shared" si="6"/>
        <v>0</v>
      </c>
    </row>
    <row r="80" spans="16:21" ht="13" thickBot="1" x14ac:dyDescent="0.3">
      <c r="P80" s="595" t="str">
        <f>Cen!A238</f>
        <v>Boční zásuvné prvky, sklo, pro 650 mm</v>
      </c>
      <c r="Q80" s="595" t="str">
        <f>Cen!B238</f>
        <v>ZE7S538G</v>
      </c>
      <c r="R80" s="595" t="str">
        <f>Cen!C238</f>
        <v>KLA</v>
      </c>
      <c r="S80" s="596">
        <f t="shared" si="5"/>
        <v>0</v>
      </c>
      <c r="T80" s="597">
        <f>Cen!F238</f>
        <v>943.94700999999998</v>
      </c>
      <c r="U80" s="598">
        <f t="shared" si="6"/>
        <v>0</v>
      </c>
    </row>
    <row r="81" spans="16:21" x14ac:dyDescent="0.25">
      <c r="P81" s="117"/>
      <c r="Q81" s="117"/>
    </row>
    <row r="82" spans="16:21" x14ac:dyDescent="0.25">
      <c r="P82" s="117"/>
      <c r="Q82" s="117"/>
    </row>
    <row r="83" spans="16:21" x14ac:dyDescent="0.25">
      <c r="P83" s="117"/>
      <c r="Q83" s="117"/>
    </row>
    <row r="84" spans="16:21" x14ac:dyDescent="0.25">
      <c r="P84" s="117" t="str">
        <f>List!$B$316&amp;"!"</f>
        <v>S0 a S1 pouze pro jmenovitou délku 270 a 300 mm!</v>
      </c>
      <c r="Q84" s="117"/>
      <c r="S84" s="74" t="str">
        <f>List!$B$97</f>
        <v>cena kování</v>
      </c>
      <c r="U84" s="346">
        <f>SUM(U3:U80)</f>
        <v>0</v>
      </c>
    </row>
    <row r="85" spans="16:21" x14ac:dyDescent="0.25">
      <c r="P85" s="117" t="str">
        <f>List!$B$317&amp;"!"</f>
        <v>Pro výsuvy délky 270 a 300 mm vyberte jednotky S0 nebo S1!</v>
      </c>
      <c r="Q85" s="117"/>
    </row>
    <row r="86" spans="16:21" x14ac:dyDescent="0.25">
      <c r="P86" s="117" t="str">
        <f>List!$B$318&amp;"!"</f>
        <v>Počet jednotek L neodpovídá počtu korpusových lišt!</v>
      </c>
      <c r="Q86" s="117"/>
    </row>
    <row r="87" spans="16:21" x14ac:dyDescent="0.25">
      <c r="P87" s="117" t="str">
        <f>List!$B$319&amp;"!"</f>
        <v>Počet jednotek S neodpovídá počtu korpusových lišt!</v>
      </c>
      <c r="Q87" s="117"/>
    </row>
    <row r="88" spans="16:21" x14ac:dyDescent="0.25">
      <c r="P88" s="117"/>
      <c r="Q88" s="117"/>
    </row>
    <row r="89" spans="16:21" x14ac:dyDescent="0.25">
      <c r="P89" s="117"/>
      <c r="Q89" s="117"/>
    </row>
    <row r="90" spans="16:21" x14ac:dyDescent="0.25">
      <c r="P90" s="117"/>
      <c r="Q90" s="117"/>
    </row>
    <row r="91" spans="16:21" x14ac:dyDescent="0.25">
      <c r="P91" s="117"/>
      <c r="Q91" s="117"/>
    </row>
    <row r="92" spans="16:21" x14ac:dyDescent="0.25">
      <c r="P92" s="117"/>
      <c r="Q92" s="117"/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3.5" customHeight="1" x14ac:dyDescent="0.25">
      <c r="A102" s="823"/>
    </row>
    <row r="103" spans="1:14" ht="20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/>
      <c r="E106" s="838"/>
      <c r="F106" s="839"/>
      <c r="G106" s="801"/>
      <c r="H106" s="877"/>
      <c r="I106" s="878"/>
      <c r="J106" s="807"/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801"/>
      <c r="H107" s="877"/>
      <c r="I107" s="878"/>
      <c r="J107" s="807"/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gXYA8y8vkOGDvb8yqilt+nwFVtm0sfV37gAiW1lHDbEnbHp3wGXYQaDGFw935tBxiC+PLEY/QH1PAkK2BtKKtA==" saltValue="kvO+6Z+dBWkCyetfx5Ltzg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hyperlinks>
    <hyperlink ref="N3" location="Form!A1" tooltip=" " display="Form!A1" xr:uid="{00000000-0004-0000-0D00-000000000000}"/>
    <hyperlink ref="N4" location="Menu!A1" tooltip=" " display="Menu!A1" xr:uid="{00000000-0004-0000-0D00-000001000000}"/>
    <hyperlink ref="N7" location="Acs!A1" tooltip=" " display="Acs!A1" xr:uid="{00000000-0004-0000-0D00-000002000000}"/>
    <hyperlink ref="N8" location="SD!A1" tooltip=" " display="SD!A1" xr:uid="{00000000-0004-0000-0D00-000003000000}"/>
    <hyperlink ref="N10" location="Sum!A1" tooltip=" " display="Sum!A1" xr:uid="{00000000-0004-0000-0D00-000004000000}"/>
    <hyperlink ref="N11" location="Ord!A1" tooltip=" " display="Ord!A1" xr:uid="{00000000-0004-0000-0D00-000005000000}"/>
    <hyperlink ref="N9" location="AL!A1" tooltip=" " display="AL!A1" xr:uid="{00000000-0004-0000-0D00-000006000000}"/>
    <hyperlink ref="N31" location="'7C41RF'!A100" tooltip=" " display="'7C41RF'!A100" xr:uid="{00000000-0004-0000-0D00-000007000000}"/>
    <hyperlink ref="N111" location="'7C41RF'!A1" tooltip=" " display="'7C41RF'!A1" xr:uid="{00000000-0004-0000-0D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2">
    <tabColor indexed="22"/>
  </sheetPr>
  <dimension ref="A1:Z140"/>
  <sheetViews>
    <sheetView showGridLines="0" showRowColHeaders="0" workbookViewId="0">
      <selection activeCell="N4" sqref="N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.17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.1796875" style="2" hidden="1" customWidth="1"/>
    <col min="21" max="21" width="10.7265625" style="2" hidden="1" customWidth="1"/>
    <col min="22" max="26" width="9.1796875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806" t="s">
        <v>1417</v>
      </c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List!$B$52&amp;" F"</f>
        <v>Čelní výsuv F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407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/>
      <c r="Q5" s="125"/>
      <c r="R5" s="125"/>
      <c r="S5" s="257"/>
      <c r="T5" s="261"/>
      <c r="U5" s="258"/>
    </row>
    <row r="6" spans="1:23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125" t="str">
        <f>Cen!A201</f>
        <v>Bočnice F 400mm, Orion šedá</v>
      </c>
      <c r="Q6" s="125" t="str">
        <f>Cen!B201</f>
        <v>770F4002S</v>
      </c>
      <c r="R6" s="125" t="str">
        <f>Cen!C201</f>
        <v>OG-M</v>
      </c>
      <c r="S6" s="257">
        <f>SUM(G20,G26,G32)</f>
        <v>0</v>
      </c>
      <c r="T6" s="261">
        <f>Cen!F201</f>
        <v>1559.0609999999999</v>
      </c>
      <c r="U6" s="258">
        <f t="shared" ref="U6:U11" si="0">S6*T6</f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Cen!A206</f>
        <v>Bočnice F 450mm, Orion šedá</v>
      </c>
      <c r="Q7" s="125" t="str">
        <f>Cen!B206</f>
        <v>770F4502S</v>
      </c>
      <c r="R7" s="125" t="str">
        <f>Cen!C206</f>
        <v>OG-M</v>
      </c>
      <c r="S7" s="257">
        <f>SUM(H20:H21,H26:H27,H32:H33)</f>
        <v>0</v>
      </c>
      <c r="T7" s="261">
        <f>Cen!F206</f>
        <v>1572.79675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Cen!A211</f>
        <v>Bočnice F 500mm, Orion šedá</v>
      </c>
      <c r="Q8" s="125" t="str">
        <f>Cen!B211</f>
        <v>770F5002S</v>
      </c>
      <c r="R8" s="125" t="str">
        <f>Cen!C211</f>
        <v>OG-M</v>
      </c>
      <c r="S8" s="257">
        <f>SUM(I20:I21,I26:I27,I32:I33)</f>
        <v>0</v>
      </c>
      <c r="T8" s="261">
        <f>Cen!F211</f>
        <v>1586.5378700000001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$U$68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Cen!A216</f>
        <v>Bočnice F 550mm, Orion šedá</v>
      </c>
      <c r="Q9" s="125" t="str">
        <f>Cen!B216</f>
        <v>770F5502S</v>
      </c>
      <c r="R9" s="125" t="str">
        <f>Cen!C216</f>
        <v>OG-M</v>
      </c>
      <c r="S9" s="257">
        <f>SUM(J20:J21,J26:J27,J32:J33)</f>
        <v>0</v>
      </c>
      <c r="T9" s="261">
        <f>Cen!F216</f>
        <v>1648.36157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Cen!A221</f>
        <v>Bočnice F 600mm, Orion šedá</v>
      </c>
      <c r="Q10" s="125" t="str">
        <f>Cen!B221</f>
        <v>770F6002S</v>
      </c>
      <c r="R10" s="125" t="str">
        <f>Cen!C221</f>
        <v>OG-M</v>
      </c>
      <c r="S10" s="257">
        <f>SUM(K20:K21,K26:K27,K32:K33)</f>
        <v>0</v>
      </c>
      <c r="T10" s="261">
        <f>Cen!F221</f>
        <v>1792.6206400000001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Cen!A226</f>
        <v>Bočnice F 650mm, Orion šedá</v>
      </c>
      <c r="Q11" s="125" t="str">
        <f>Cen!B226</f>
        <v>770F6502S</v>
      </c>
      <c r="R11" s="125" t="str">
        <f>Cen!C226</f>
        <v>OG-M</v>
      </c>
      <c r="S11" s="257">
        <f>SUM(L21,L27,L33)</f>
        <v>0</v>
      </c>
      <c r="T11" s="261">
        <f>Cen!F226</f>
        <v>1842.0827200000001</v>
      </c>
      <c r="U11" s="258">
        <f t="shared" si="0"/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0"/>
      <c r="F19" s="303"/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448</v>
      </c>
      <c r="C20" s="293" t="s">
        <v>432</v>
      </c>
      <c r="D20" s="347"/>
      <c r="E20" s="347"/>
      <c r="F20" s="347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449</v>
      </c>
      <c r="C21" s="306" t="s">
        <v>433</v>
      </c>
      <c r="D21" s="406"/>
      <c r="E21" s="406"/>
      <c r="F21" s="406"/>
      <c r="G21" s="406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/>
      <c r="E25" s="300"/>
      <c r="F25" s="303"/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450</v>
      </c>
      <c r="C26" s="293" t="s">
        <v>432</v>
      </c>
      <c r="D26" s="347"/>
      <c r="E26" s="347"/>
      <c r="F26" s="347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451</v>
      </c>
      <c r="C27" s="305" t="s">
        <v>433</v>
      </c>
      <c r="D27" s="406"/>
      <c r="E27" s="406"/>
      <c r="F27" s="406"/>
      <c r="G27" s="406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/>
      <c r="E31" s="300"/>
      <c r="F31" s="303"/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347"/>
      <c r="E32" s="347"/>
      <c r="F32" s="347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6"/>
      <c r="E33" s="406"/>
      <c r="F33" s="406"/>
      <c r="G33" s="406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/>
      <c r="E36" s="303"/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347"/>
      <c r="E37" s="347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651"/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3">
      <c r="B39" s="282"/>
      <c r="C39" s="282"/>
      <c r="D39" s="725" t="str">
        <f>"        ** "&amp;List!$B$325&amp;"!"</f>
        <v xml:space="preserve">        ** Jednotky L1 nelze kombinovat s lištami se zvýšenou nosností (70 kg)!</v>
      </c>
      <c r="H39" s="286"/>
      <c r="I39" s="286"/>
      <c r="J39" s="286"/>
      <c r="K39" s="286"/>
      <c r="L39" s="286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ht="13" x14ac:dyDescent="0.3">
      <c r="B40" s="282"/>
      <c r="C40" s="282"/>
      <c r="D40" s="725" t="str">
        <f>"       *** "&amp;List!$B$326&amp;"!"</f>
        <v xml:space="preserve">       *** Jednotky L5 nelze kombinovat s lištami se základní nosností (40 kg)!</v>
      </c>
      <c r="H40" s="286"/>
      <c r="I40" s="286"/>
      <c r="J40" s="286"/>
      <c r="K40" s="286"/>
      <c r="L40" s="286"/>
      <c r="P40" s="142"/>
      <c r="Q40" s="142"/>
      <c r="R40" s="142"/>
      <c r="S40" s="148"/>
      <c r="T40" s="152"/>
      <c r="U40" s="152"/>
    </row>
    <row r="41" spans="2:21" ht="13" x14ac:dyDescent="0.3">
      <c r="B41" s="282"/>
      <c r="C41" s="282"/>
      <c r="H41" s="286"/>
      <c r="I41" s="286"/>
      <c r="J41" s="286"/>
      <c r="K41" s="286"/>
      <c r="L41" s="286"/>
      <c r="P41" s="120"/>
      <c r="Q41" s="120"/>
      <c r="R41" s="120"/>
      <c r="S41" s="121"/>
      <c r="T41" s="116"/>
      <c r="U41" s="116"/>
    </row>
    <row r="42" spans="2:21" x14ac:dyDescent="0.25">
      <c r="B42" s="651"/>
      <c r="C42" s="651"/>
      <c r="D42" s="725" t="str">
        <f>"     "&amp;List!$B$313</f>
        <v xml:space="preserve">     Synchronizace bude přidána automaticky. </v>
      </c>
      <c r="P42" s="120"/>
      <c r="Q42" s="120"/>
      <c r="R42" s="120"/>
      <c r="S42" s="121"/>
      <c r="T42" s="116"/>
      <c r="U42" s="116"/>
    </row>
    <row r="43" spans="2:21" ht="13" x14ac:dyDescent="0.3">
      <c r="B43" s="282"/>
      <c r="C43" s="282"/>
      <c r="D43" s="725" t="str">
        <f>"     "&amp;List!$B$314</f>
        <v xml:space="preserve">     Pozor! Pro každý výsuv je započítána jedna hřídel. Počet hřídelí upravte v objednávce!</v>
      </c>
      <c r="H43" s="286"/>
      <c r="I43" s="286"/>
      <c r="J43" s="286"/>
      <c r="K43" s="286"/>
      <c r="L43" s="286"/>
      <c r="P43" s="120"/>
      <c r="Q43" s="120"/>
      <c r="R43" s="120"/>
      <c r="S43" s="121"/>
      <c r="T43" s="116"/>
      <c r="U43" s="116"/>
    </row>
    <row r="44" spans="2:21" ht="13" x14ac:dyDescent="0.3">
      <c r="B44" s="282"/>
      <c r="C44" s="282"/>
      <c r="H44" s="286"/>
      <c r="I44" s="286"/>
      <c r="J44" s="286"/>
      <c r="K44" s="286"/>
      <c r="L44" s="286"/>
      <c r="P44" s="120"/>
      <c r="Q44" s="120"/>
      <c r="R44" s="120"/>
      <c r="S44" s="121"/>
      <c r="T44" s="116"/>
      <c r="U44" s="116"/>
    </row>
    <row r="45" spans="2:21" ht="13" x14ac:dyDescent="0.3">
      <c r="B45" s="282"/>
      <c r="C45" s="282"/>
      <c r="H45" s="286"/>
      <c r="I45" s="286"/>
      <c r="J45" s="286"/>
      <c r="K45" s="286"/>
      <c r="L45" s="286"/>
      <c r="P45" s="120"/>
      <c r="Q45" s="120"/>
      <c r="R45" s="120"/>
      <c r="S45" s="121"/>
      <c r="T45" s="116"/>
      <c r="U45" s="116"/>
    </row>
    <row r="46" spans="2:21" ht="13" x14ac:dyDescent="0.3">
      <c r="B46" s="282"/>
      <c r="C46" s="282"/>
      <c r="H46" s="286"/>
      <c r="I46" s="286"/>
      <c r="J46" s="286"/>
      <c r="K46" s="286"/>
      <c r="L46" s="286"/>
      <c r="P46" s="120"/>
      <c r="Q46" s="120"/>
      <c r="R46" s="120"/>
      <c r="S46" s="121"/>
      <c r="T46" s="116"/>
      <c r="U46" s="116"/>
    </row>
    <row r="47" spans="2:21" ht="13" x14ac:dyDescent="0.3">
      <c r="B47" s="282"/>
      <c r="C47" s="282"/>
      <c r="H47" s="286"/>
      <c r="I47" s="286"/>
      <c r="J47" s="286"/>
      <c r="K47" s="286"/>
      <c r="L47" s="286"/>
      <c r="P47" s="684"/>
      <c r="Q47" s="684"/>
      <c r="R47" s="684"/>
      <c r="S47" s="685"/>
      <c r="T47" s="686"/>
      <c r="U47" s="686"/>
    </row>
    <row r="48" spans="2:21" ht="13" x14ac:dyDescent="0.3">
      <c r="B48" s="282"/>
      <c r="C48" s="282"/>
      <c r="H48" s="286"/>
      <c r="I48" s="286"/>
      <c r="J48" s="286"/>
      <c r="K48" s="286"/>
      <c r="L48" s="286"/>
      <c r="P48" s="684"/>
      <c r="Q48" s="684"/>
      <c r="R48" s="684"/>
      <c r="S48" s="685"/>
      <c r="T48" s="686"/>
      <c r="U48" s="686"/>
    </row>
    <row r="49" spans="2:21" ht="13" x14ac:dyDescent="0.3">
      <c r="B49" s="282"/>
      <c r="C49" s="282"/>
      <c r="H49" s="286"/>
      <c r="I49" s="286"/>
      <c r="J49" s="286"/>
      <c r="K49" s="286"/>
      <c r="L49" s="286"/>
      <c r="P49" s="120"/>
      <c r="Q49" s="120"/>
      <c r="R49" s="120"/>
      <c r="S49" s="121"/>
      <c r="T49" s="116"/>
      <c r="U49" s="116"/>
    </row>
    <row r="50" spans="2:21" ht="13" x14ac:dyDescent="0.3">
      <c r="B50" s="282"/>
      <c r="C50" s="282"/>
      <c r="H50" s="286"/>
      <c r="I50" s="286"/>
      <c r="J50" s="286"/>
      <c r="K50" s="286"/>
      <c r="L50" s="286"/>
      <c r="P50" s="120"/>
      <c r="Q50" s="120"/>
      <c r="R50" s="120"/>
      <c r="S50" s="121"/>
      <c r="T50" s="116"/>
      <c r="U50" s="116"/>
    </row>
    <row r="51" spans="2:21" ht="13" x14ac:dyDescent="0.3">
      <c r="B51" s="282"/>
      <c r="C51" s="282"/>
      <c r="H51" s="286"/>
      <c r="I51" s="286"/>
      <c r="J51" s="286"/>
      <c r="K51" s="286"/>
      <c r="L51" s="286"/>
      <c r="P51" s="120"/>
      <c r="Q51" s="120"/>
      <c r="R51" s="120"/>
      <c r="S51" s="121"/>
      <c r="T51" s="116"/>
      <c r="U51" s="116"/>
    </row>
    <row r="52" spans="2:21" ht="13" x14ac:dyDescent="0.3">
      <c r="B52" s="282"/>
      <c r="C52" s="282"/>
      <c r="H52" s="286"/>
      <c r="I52" s="286"/>
      <c r="J52" s="286"/>
      <c r="K52" s="286"/>
      <c r="L52" s="286"/>
      <c r="P52" s="120"/>
      <c r="Q52" s="120"/>
      <c r="R52" s="120"/>
      <c r="S52" s="121"/>
      <c r="T52" s="116"/>
      <c r="U52" s="116"/>
    </row>
    <row r="53" spans="2:21" ht="13" x14ac:dyDescent="0.3">
      <c r="B53" s="282"/>
      <c r="C53" s="282"/>
      <c r="H53" s="286"/>
      <c r="I53" s="286"/>
      <c r="J53" s="286"/>
      <c r="K53" s="286"/>
      <c r="L53" s="286"/>
      <c r="P53" s="120"/>
      <c r="Q53" s="120"/>
      <c r="R53" s="120"/>
      <c r="S53" s="121"/>
      <c r="T53" s="116"/>
      <c r="U53" s="116"/>
    </row>
    <row r="54" spans="2:21" ht="13" x14ac:dyDescent="0.3">
      <c r="B54" s="282"/>
      <c r="C54" s="282"/>
      <c r="H54" s="286"/>
      <c r="I54" s="286"/>
      <c r="J54" s="286"/>
      <c r="K54" s="286"/>
      <c r="L54" s="286"/>
      <c r="P54" s="120"/>
      <c r="Q54" s="120"/>
      <c r="R54" s="120"/>
      <c r="S54" s="121"/>
      <c r="T54" s="116"/>
      <c r="U54" s="116"/>
    </row>
    <row r="55" spans="2:21" ht="13" x14ac:dyDescent="0.3">
      <c r="B55" s="282"/>
      <c r="C55" s="282"/>
      <c r="H55" s="286"/>
      <c r="I55" s="286"/>
      <c r="J55" s="286"/>
      <c r="K55" s="286"/>
      <c r="L55" s="286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2:21" ht="13" x14ac:dyDescent="0.3">
      <c r="B56" s="282"/>
      <c r="C56" s="282"/>
      <c r="H56" s="286"/>
      <c r="I56" s="286"/>
      <c r="J56" s="286"/>
      <c r="K56" s="286"/>
      <c r="L56" s="286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2:21" ht="13" x14ac:dyDescent="0.3">
      <c r="B57" s="282"/>
      <c r="C57" s="282"/>
      <c r="H57" s="286"/>
      <c r="I57" s="286"/>
      <c r="J57" s="286"/>
      <c r="K57" s="286"/>
      <c r="L57" s="286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2:21" ht="13" x14ac:dyDescent="0.3">
      <c r="B58" s="282"/>
      <c r="C58" s="282"/>
      <c r="H58" s="286"/>
      <c r="I58" s="286"/>
      <c r="J58" s="286"/>
      <c r="K58" s="286"/>
      <c r="L58" s="286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2:21" ht="13" x14ac:dyDescent="0.3">
      <c r="B59" s="282"/>
      <c r="C59" s="282"/>
      <c r="H59" s="286"/>
      <c r="I59" s="286"/>
      <c r="J59" s="286"/>
      <c r="K59" s="286"/>
      <c r="L59" s="286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2:21" x14ac:dyDescent="0.25">
      <c r="P60" s="142"/>
      <c r="Q60" s="142"/>
      <c r="R60" s="142"/>
      <c r="S60" s="148"/>
      <c r="T60" s="152"/>
      <c r="U60" s="152"/>
    </row>
    <row r="61" spans="2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2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2:21" x14ac:dyDescent="0.25">
      <c r="P63" s="120"/>
      <c r="Q63" s="120"/>
      <c r="R63" s="120"/>
      <c r="S63" s="121"/>
      <c r="T63" s="116"/>
      <c r="U63" s="116"/>
    </row>
    <row r="64" spans="2:21" x14ac:dyDescent="0.25">
      <c r="P64" s="120" t="str">
        <f>Cen!A334</f>
        <v>Držáky zadní stěny F, Orion šedá</v>
      </c>
      <c r="Q64" s="120" t="str">
        <f>Cen!B334</f>
        <v>ZB7F000S</v>
      </c>
      <c r="R64" s="120" t="str">
        <f>Cen!C334</f>
        <v>OG-M</v>
      </c>
      <c r="S64" s="121">
        <f>SUM($S$3:$S$11)</f>
        <v>0</v>
      </c>
      <c r="T64" s="116">
        <f>Cen!$F334</f>
        <v>100.76446</v>
      </c>
      <c r="U64" s="116">
        <f>S64*T64</f>
        <v>0</v>
      </c>
    </row>
    <row r="65" spans="16:21" x14ac:dyDescent="0.25">
      <c r="P65" s="120" t="str">
        <f>Cen!A347</f>
        <v>Čelní kování M, na vruty</v>
      </c>
      <c r="Q65" s="120" t="str">
        <f>Cen!B347</f>
        <v>ZF7M7002</v>
      </c>
      <c r="R65" s="120" t="str">
        <f>Cen!C347</f>
        <v>BL</v>
      </c>
      <c r="S65" s="121">
        <f>SUM($S$3:$S$11)*2</f>
        <v>0</v>
      </c>
      <c r="T65" s="116">
        <f>Cen!F347</f>
        <v>7.6647100000000004</v>
      </c>
      <c r="U65" s="116">
        <f>S65*T65</f>
        <v>0</v>
      </c>
    </row>
    <row r="66" spans="16:21" x14ac:dyDescent="0.25">
      <c r="P66" s="120" t="str">
        <f>Cen!A353</f>
        <v>Čelní kování C, na vruty</v>
      </c>
      <c r="Q66" s="120" t="str">
        <f>Cen!B353</f>
        <v>ZF7C7002</v>
      </c>
      <c r="R66" s="120" t="str">
        <f>Cen!C353</f>
        <v>BL</v>
      </c>
      <c r="S66" s="121">
        <f>SUM($S$3:$S$11)*2</f>
        <v>0</v>
      </c>
      <c r="T66" s="116">
        <f>Cen!F353</f>
        <v>18.390879999999999</v>
      </c>
      <c r="U66" s="116">
        <f>S66*T66</f>
        <v>0</v>
      </c>
    </row>
    <row r="67" spans="16:21" x14ac:dyDescent="0.25">
      <c r="P67" s="117"/>
      <c r="Q67" s="117"/>
    </row>
    <row r="68" spans="16:21" x14ac:dyDescent="0.25">
      <c r="P68" s="117"/>
      <c r="Q68" s="117"/>
      <c r="S68" s="74" t="str">
        <f>List!$B$97</f>
        <v>cena kování</v>
      </c>
      <c r="U68" s="346">
        <f>SUM(U3:U67)</f>
        <v>0</v>
      </c>
    </row>
    <row r="69" spans="16:21" x14ac:dyDescent="0.25">
      <c r="P69" s="117"/>
      <c r="Q69" s="117"/>
    </row>
    <row r="70" spans="16:21" x14ac:dyDescent="0.25">
      <c r="P70" s="117"/>
      <c r="Q70" s="117"/>
    </row>
    <row r="71" spans="16:21" x14ac:dyDescent="0.25">
      <c r="P71" s="117"/>
      <c r="Q71" s="117"/>
    </row>
    <row r="72" spans="16:21" x14ac:dyDescent="0.25">
      <c r="P72" s="117"/>
      <c r="Q72" s="117"/>
    </row>
    <row r="73" spans="16:21" x14ac:dyDescent="0.25">
      <c r="P73" s="117"/>
      <c r="Q73" s="117"/>
    </row>
    <row r="74" spans="16:21" x14ac:dyDescent="0.25">
      <c r="P74" s="117"/>
      <c r="Q74" s="117"/>
    </row>
    <row r="75" spans="16:21" x14ac:dyDescent="0.25">
      <c r="P75" s="117"/>
      <c r="Q75" s="117"/>
    </row>
    <row r="76" spans="16:21" x14ac:dyDescent="0.25">
      <c r="P76" s="117"/>
      <c r="Q76" s="117"/>
    </row>
    <row r="84" spans="16:16" x14ac:dyDescent="0.25">
      <c r="P84" s="117" t="str">
        <f>List!$B$316&amp;"!"</f>
        <v>S0 a S1 pouze pro jmenovitou délku 270 a 300 mm!</v>
      </c>
    </row>
    <row r="85" spans="16:16" x14ac:dyDescent="0.25">
      <c r="P85" s="117" t="str">
        <f>List!$B$317&amp;"!"</f>
        <v>Pro výsuvy délky 270 a 300 mm vyberte jednotky S0 nebo S1!</v>
      </c>
    </row>
    <row r="86" spans="16:16" x14ac:dyDescent="0.25">
      <c r="P86" s="117" t="str">
        <f>List!$B$318&amp;"!"</f>
        <v>Počet jednotek L neodpovídá počtu korpusových lišt!</v>
      </c>
    </row>
    <row r="87" spans="16:16" x14ac:dyDescent="0.25">
      <c r="P87" s="117" t="str">
        <f>List!$B$319&amp;"!"</f>
        <v>Počet jednotek S neodpovídá počtu korpusových lišt!</v>
      </c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4" customHeight="1" x14ac:dyDescent="0.25">
      <c r="A102" s="823"/>
    </row>
    <row r="103" spans="1:14" ht="20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/>
      <c r="E106" s="838"/>
      <c r="F106" s="839"/>
      <c r="G106" s="721"/>
      <c r="H106" s="877"/>
      <c r="I106" s="878"/>
      <c r="J106" s="807"/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721"/>
      <c r="H107" s="877"/>
      <c r="I107" s="878"/>
      <c r="J107" s="807"/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1425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DNnpfB3DdNYe92gKt4JtJQA63RKVlTO7d88PbiXFMZbJc7LJgJEThApDHUoXZ6mKYxzHNydffDx2VmWDUzHWPw==" saltValue="ucDaMK1ccvmI2WSgHLDPtg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phoneticPr fontId="52" type="noConversion"/>
  <hyperlinks>
    <hyperlink ref="N3" location="Form!A1" tooltip=" " display="Form!A1" xr:uid="{00000000-0004-0000-0E00-000000000000}"/>
    <hyperlink ref="N4" location="Menu!A1" tooltip=" " display="Menu!A1" xr:uid="{00000000-0004-0000-0E00-000001000000}"/>
    <hyperlink ref="N7" location="Acs!A1" tooltip=" " display="Acs!A1" xr:uid="{00000000-0004-0000-0E00-000002000000}"/>
    <hyperlink ref="N8" location="SD!A1" tooltip=" " display="SD!A1" xr:uid="{00000000-0004-0000-0E00-000003000000}"/>
    <hyperlink ref="N10" location="Sum!A1" tooltip=" " display="Sum!A1" xr:uid="{00000000-0004-0000-0E00-000004000000}"/>
    <hyperlink ref="N11" location="Ord!A1" tooltip=" " display="Ord!A1" xr:uid="{00000000-0004-0000-0E00-000005000000}"/>
    <hyperlink ref="N9" location="AL!A1" tooltip=" " display="AL!A1" xr:uid="{00000000-0004-0000-0E00-000006000000}"/>
    <hyperlink ref="N31" location="'7F410P'!A100" tooltip=" " display="'7F410P'!A100" xr:uid="{00000000-0004-0000-0E00-000007000000}"/>
    <hyperlink ref="N111" location="'7F410P'!A1" tooltip=" " display="'7F410P'!A1" xr:uid="{00000000-0004-0000-0E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9">
    <tabColor indexed="22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hidden="1" customWidth="1"/>
    <col min="15" max="15" width="3.816406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List!$B$55&amp;" M"</f>
        <v>Dřezový výsuv M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352" t="str">
        <f>Cen!A31</f>
        <v>Bočnice M 270mm, Orion šedá</v>
      </c>
      <c r="Q3" s="352" t="str">
        <f>Cen!B31</f>
        <v>770M2702S</v>
      </c>
      <c r="R3" s="352" t="str">
        <f>Cen!C31</f>
        <v>OG-M</v>
      </c>
      <c r="S3" s="353">
        <f>SUM(D21,D27)</f>
        <v>0</v>
      </c>
      <c r="T3" s="354">
        <f>Cen!F31</f>
        <v>588.26232000000005</v>
      </c>
      <c r="U3" s="355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171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352" t="str">
        <f>Cen!A36</f>
        <v>Bočnice M 300mm, Orion šedá</v>
      </c>
      <c r="Q4" s="352" t="str">
        <f>Cen!B36</f>
        <v>770M3002S</v>
      </c>
      <c r="R4" s="352" t="str">
        <f>Cen!C36</f>
        <v>OG-M</v>
      </c>
      <c r="S4" s="353">
        <f>SUM(E21,E27)</f>
        <v>0</v>
      </c>
      <c r="T4" s="354">
        <f>Cen!F36</f>
        <v>588.26232000000005</v>
      </c>
      <c r="U4" s="355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352" t="str">
        <f>Cen!A41</f>
        <v>Bočnice M 350mm, Orion šedá</v>
      </c>
      <c r="Q5" s="352" t="str">
        <f>Cen!B41</f>
        <v>770M3502S</v>
      </c>
      <c r="R5" s="352" t="str">
        <f>Cen!C41</f>
        <v>OG-M</v>
      </c>
      <c r="S5" s="353">
        <f>SUM(F21,F27)</f>
        <v>0</v>
      </c>
      <c r="T5" s="354">
        <f>Cen!F41</f>
        <v>588.26232000000005</v>
      </c>
      <c r="U5" s="355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352" t="str">
        <f>Cen!A46</f>
        <v>Bočnice M 400mm, Orion šedá</v>
      </c>
      <c r="Q6" s="352" t="str">
        <f>Cen!B46</f>
        <v>770M4002S</v>
      </c>
      <c r="R6" s="352" t="str">
        <f>Cen!C46</f>
        <v>OG-M</v>
      </c>
      <c r="S6" s="353">
        <f>SUM(G21,G27)</f>
        <v>0</v>
      </c>
      <c r="T6" s="354">
        <f>Cen!F46</f>
        <v>595.32592999999997</v>
      </c>
      <c r="U6" s="355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Cen!A51</f>
        <v>Bočnice M 450mm, Orion šedá</v>
      </c>
      <c r="Q7" s="125" t="str">
        <f>Cen!B51</f>
        <v>770M4502S</v>
      </c>
      <c r="R7" s="125" t="str">
        <f>Cen!C51</f>
        <v>OG-M</v>
      </c>
      <c r="S7" s="257">
        <f>SUM(H21:H22)*2</f>
        <v>0</v>
      </c>
      <c r="T7" s="261">
        <f>Cen!F51</f>
        <v>588.37465999999995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Cen!A56</f>
        <v>Bočnice M 500mm, Orion šedá</v>
      </c>
      <c r="Q8" s="125" t="str">
        <f>Cen!B56</f>
        <v>770M5002S</v>
      </c>
      <c r="R8" s="125" t="str">
        <f>Cen!C56</f>
        <v>OG-M</v>
      </c>
      <c r="S8" s="257">
        <f>SUM(I21:I22)*2</f>
        <v>0</v>
      </c>
      <c r="T8" s="261">
        <f>Cen!F56</f>
        <v>595.274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U44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Cen!A61</f>
        <v>Bočnice M 550mm, Orion šedá</v>
      </c>
      <c r="Q9" s="125" t="str">
        <f>Cen!B61</f>
        <v>770M5502S</v>
      </c>
      <c r="R9" s="125" t="str">
        <f>Cen!C61</f>
        <v>OG-M</v>
      </c>
      <c r="S9" s="257">
        <f>SUM(J21:J22)*2</f>
        <v>0</v>
      </c>
      <c r="T9" s="261">
        <f>Cen!F61</f>
        <v>665.94478000000004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Cen!A66</f>
        <v>Bočnice M 600mm, Orion šedá</v>
      </c>
      <c r="Q10" s="125" t="str">
        <f>Cen!B66</f>
        <v>770M6002S</v>
      </c>
      <c r="R10" s="125" t="str">
        <f>Cen!C66</f>
        <v>OG-M</v>
      </c>
      <c r="S10" s="257">
        <f>SUM(K21:K22)*2</f>
        <v>0</v>
      </c>
      <c r="T10" s="261">
        <f>Cen!F66</f>
        <v>754.21731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Cen!A71</f>
        <v>Bočnice M 650mm, Orion šedá</v>
      </c>
      <c r="Q11" s="125" t="str">
        <f>Cen!B71</f>
        <v>770M6502S</v>
      </c>
      <c r="R11" s="125" t="str">
        <f>Cen!C71</f>
        <v>OG-M</v>
      </c>
      <c r="S11" s="257">
        <f>SUM(L21:L22)*2</f>
        <v>0</v>
      </c>
      <c r="T11" s="261">
        <f>Cen!F71</f>
        <v>787.42313999999999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356" t="str">
        <f>Cen!A241</f>
        <v>Korpusové lišty BLUMOTION S, 270mm, 40kg</v>
      </c>
      <c r="Q13" s="356" t="str">
        <f>Cen!B241</f>
        <v>750.2701S</v>
      </c>
      <c r="R13" s="356" t="str">
        <f>Cen!C241</f>
        <v>ZN</v>
      </c>
      <c r="S13" s="357">
        <f>D21</f>
        <v>0</v>
      </c>
      <c r="T13" s="358">
        <f>Cen!F241</f>
        <v>695.93676999999991</v>
      </c>
      <c r="U13" s="358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356" t="str">
        <f>Cen!A242</f>
        <v>Korpusové lišty BLUMOTION S, 300mm, 40kg</v>
      </c>
      <c r="Q14" s="356" t="str">
        <f>Cen!B242</f>
        <v>750.3001S</v>
      </c>
      <c r="R14" s="356" t="str">
        <f>Cen!C242</f>
        <v>ZN</v>
      </c>
      <c r="S14" s="357">
        <f>E21</f>
        <v>0</v>
      </c>
      <c r="T14" s="358">
        <f>Cen!F242</f>
        <v>695.93676999999991</v>
      </c>
      <c r="U14" s="358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356" t="str">
        <f>Cen!A243</f>
        <v>Korpusové lišty BLUMOTION S, 350mm, 40kg</v>
      </c>
      <c r="Q15" s="356" t="str">
        <f>Cen!B243</f>
        <v>750.3501S</v>
      </c>
      <c r="R15" s="356" t="str">
        <f>Cen!C243</f>
        <v>ZN</v>
      </c>
      <c r="S15" s="357">
        <f>F21</f>
        <v>0</v>
      </c>
      <c r="T15" s="358">
        <f>Cen!F243</f>
        <v>695.93676999999991</v>
      </c>
      <c r="U15" s="358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356" t="str">
        <f>Cen!A244</f>
        <v>Korpusové lišty BLUMOTION S, 400mm, 40kg</v>
      </c>
      <c r="Q16" s="356" t="str">
        <f>Cen!B244</f>
        <v>750.4001S</v>
      </c>
      <c r="R16" s="356" t="str">
        <f>Cen!C244</f>
        <v>ZN</v>
      </c>
      <c r="S16" s="357">
        <f>G21</f>
        <v>0</v>
      </c>
      <c r="T16" s="358">
        <f>Cen!F244</f>
        <v>704.8</v>
      </c>
      <c r="U16" s="358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H21*2</f>
        <v>0</v>
      </c>
      <c r="T17" s="256">
        <f>Cen!F245</f>
        <v>697.06186000000002</v>
      </c>
      <c r="U17" s="256">
        <f t="shared" si="1"/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H22*2</f>
        <v>0</v>
      </c>
      <c r="T18" s="256">
        <f>Cen!F246</f>
        <v>881.76589000000013</v>
      </c>
      <c r="U18" s="256">
        <f t="shared" si="1"/>
        <v>0</v>
      </c>
    </row>
    <row r="19" spans="1:21" ht="15.5" x14ac:dyDescent="0.25">
      <c r="A19" s="117"/>
      <c r="B19" s="307" t="s">
        <v>434</v>
      </c>
      <c r="C19" s="7"/>
      <c r="H19" s="285"/>
      <c r="I19" s="285"/>
      <c r="J19" s="285"/>
      <c r="K19" s="285"/>
      <c r="L19" s="285"/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255">
        <f>I21*2</f>
        <v>0</v>
      </c>
      <c r="T19" s="256">
        <f>Cen!F247</f>
        <v>705.71905000000004</v>
      </c>
      <c r="U19" s="256">
        <f t="shared" si="1"/>
        <v>0</v>
      </c>
    </row>
    <row r="20" spans="1:21" ht="14" x14ac:dyDescent="0.3">
      <c r="A20" s="117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301" t="s">
        <v>525</v>
      </c>
      <c r="J20" s="300" t="s">
        <v>526</v>
      </c>
      <c r="K20" s="302" t="s">
        <v>112</v>
      </c>
      <c r="L20" s="302" t="s">
        <v>770</v>
      </c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255">
        <f>I22*2</f>
        <v>0</v>
      </c>
      <c r="T20" s="256">
        <f>Cen!F248</f>
        <v>890.62918000000002</v>
      </c>
      <c r="U20" s="256">
        <f t="shared" si="1"/>
        <v>0</v>
      </c>
    </row>
    <row r="21" spans="1:21" ht="14.5" thickBot="1" x14ac:dyDescent="0.35">
      <c r="A21" s="117"/>
      <c r="B21" s="292" t="s">
        <v>717</v>
      </c>
      <c r="C21" s="293" t="s">
        <v>432</v>
      </c>
      <c r="D21" s="347"/>
      <c r="E21" s="347"/>
      <c r="F21" s="347"/>
      <c r="G21" s="347"/>
      <c r="H21" s="294"/>
      <c r="I21" s="294"/>
      <c r="J21" s="294"/>
      <c r="K21" s="295"/>
      <c r="L21" s="55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J21*2</f>
        <v>0</v>
      </c>
      <c r="T21" s="256">
        <f>Cen!F249</f>
        <v>769.83820000000003</v>
      </c>
      <c r="U21" s="256">
        <f t="shared" si="1"/>
        <v>0</v>
      </c>
    </row>
    <row r="22" spans="1:21" ht="14" x14ac:dyDescent="0.3">
      <c r="A22" s="117"/>
      <c r="B22" s="296" t="s">
        <v>718</v>
      </c>
      <c r="C22" s="306" t="s">
        <v>433</v>
      </c>
      <c r="D22" s="362"/>
      <c r="E22" s="362"/>
      <c r="F22" s="362"/>
      <c r="G22" s="362"/>
      <c r="H22" s="298"/>
      <c r="I22" s="298"/>
      <c r="J22" s="298"/>
      <c r="K22" s="299"/>
      <c r="L22" s="299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J22*2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K21*2</f>
        <v>0</v>
      </c>
      <c r="T23" s="256">
        <f>Cen!F251</f>
        <v>865.24247000000003</v>
      </c>
      <c r="U23" s="256">
        <f t="shared" si="1"/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K22*2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50"/>
      <c r="C25" s="254"/>
      <c r="D25" s="286"/>
      <c r="E25" s="286"/>
      <c r="F25" s="286"/>
      <c r="G25" s="286"/>
      <c r="H25" s="283"/>
      <c r="I25" s="283"/>
      <c r="J25" s="283"/>
      <c r="K25" s="283"/>
      <c r="L25" s="283"/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L22*2</f>
        <v>0</v>
      </c>
      <c r="T25" s="256">
        <f>Cen!F253</f>
        <v>1080.66551</v>
      </c>
      <c r="U25" s="256">
        <f>S25*T25</f>
        <v>0</v>
      </c>
    </row>
    <row r="26" spans="1:21" ht="15.5" x14ac:dyDescent="0.35">
      <c r="A26" s="117"/>
      <c r="B26" s="350"/>
      <c r="C26" s="340"/>
      <c r="D26" s="341"/>
      <c r="E26" s="341"/>
      <c r="F26" s="341"/>
      <c r="G26" s="341"/>
      <c r="H26" s="341"/>
      <c r="I26" s="290"/>
      <c r="J26" s="341"/>
      <c r="K26" s="341"/>
      <c r="L26" s="341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5.5" x14ac:dyDescent="0.35">
      <c r="A27" s="117"/>
      <c r="B27" s="383"/>
      <c r="C27" s="340"/>
      <c r="D27" s="290"/>
      <c r="E27" s="290"/>
      <c r="F27" s="290"/>
      <c r="G27" s="290"/>
      <c r="H27" s="290"/>
      <c r="I27" s="290"/>
      <c r="J27" s="290"/>
      <c r="K27" s="290"/>
      <c r="L27" s="290"/>
      <c r="M27" s="117"/>
      <c r="N27" s="117"/>
      <c r="O27" s="117"/>
      <c r="P27" s="356" t="str">
        <f>Cen!A257</f>
        <v>Korpusové lišty TIP-ON, 270mm, 40kg</v>
      </c>
      <c r="Q27" s="356" t="str">
        <f>Cen!B257</f>
        <v>750.2701T</v>
      </c>
      <c r="R27" s="356" t="str">
        <f>Cen!C257</f>
        <v>ZN</v>
      </c>
      <c r="S27" s="357">
        <f>D27</f>
        <v>0</v>
      </c>
      <c r="T27" s="358">
        <f>Cen!F257</f>
        <v>963.84325999999999</v>
      </c>
      <c r="U27" s="358">
        <f t="shared" ref="U27:U38" si="2">S27*T27</f>
        <v>0</v>
      </c>
    </row>
    <row r="28" spans="1:21" ht="14" x14ac:dyDescent="0.3">
      <c r="A28" s="117"/>
      <c r="B28" s="310"/>
      <c r="C28" s="311"/>
      <c r="D28" s="351"/>
      <c r="E28" s="351"/>
      <c r="F28" s="351"/>
      <c r="G28" s="351"/>
      <c r="H28" s="290"/>
      <c r="I28" s="290"/>
      <c r="J28" s="290"/>
      <c r="K28" s="290"/>
      <c r="L28" s="290"/>
      <c r="M28" s="117"/>
      <c r="N28" s="117"/>
      <c r="O28" s="117"/>
      <c r="P28" s="356" t="str">
        <f>Cen!A258</f>
        <v>Korpusové lišty TIP-ON, 300mm, 40kg</v>
      </c>
      <c r="Q28" s="356" t="str">
        <f>Cen!B258</f>
        <v>750.3001T</v>
      </c>
      <c r="R28" s="356" t="str">
        <f>Cen!C258</f>
        <v>ZN</v>
      </c>
      <c r="S28" s="357">
        <f>E27</f>
        <v>0</v>
      </c>
      <c r="T28" s="358">
        <f>Cen!F258</f>
        <v>963.84325999999999</v>
      </c>
      <c r="U28" s="358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283"/>
      <c r="I29" s="283"/>
      <c r="J29" s="283"/>
      <c r="K29" s="283"/>
      <c r="L29" s="283"/>
      <c r="M29" s="117"/>
      <c r="N29" s="117"/>
      <c r="O29" s="117"/>
      <c r="P29" s="356" t="str">
        <f>Cen!A259</f>
        <v>Korpusové lišty TIP-ON, 350mm, 40kg</v>
      </c>
      <c r="Q29" s="356" t="str">
        <f>Cen!B259</f>
        <v>750.3501T</v>
      </c>
      <c r="R29" s="356" t="str">
        <f>Cen!C259</f>
        <v>ZN</v>
      </c>
      <c r="S29" s="357">
        <f>F27</f>
        <v>0</v>
      </c>
      <c r="T29" s="358">
        <f>Cen!F259</f>
        <v>963.84325999999999</v>
      </c>
      <c r="U29" s="358">
        <f t="shared" si="2"/>
        <v>0</v>
      </c>
    </row>
    <row r="30" spans="1:21" ht="13" x14ac:dyDescent="0.3">
      <c r="A30" s="117"/>
      <c r="B30" s="282"/>
      <c r="C30" s="282"/>
      <c r="D30" s="117"/>
      <c r="E30" s="117"/>
      <c r="F30" s="117"/>
      <c r="G30" s="117"/>
      <c r="H30" s="142"/>
      <c r="I30" s="142"/>
      <c r="J30" s="117"/>
      <c r="K30" s="117"/>
      <c r="L30" s="117"/>
      <c r="M30" s="117"/>
      <c r="N30" s="117"/>
      <c r="O30" s="117"/>
      <c r="P30" s="356" t="str">
        <f>Cen!A260</f>
        <v>Korpusové lišty TIP-ON, 400mm, 40kg</v>
      </c>
      <c r="Q30" s="356" t="str">
        <f>Cen!B260</f>
        <v>750.4001T</v>
      </c>
      <c r="R30" s="356" t="str">
        <f>Cen!C260</f>
        <v>ZN</v>
      </c>
      <c r="S30" s="357">
        <f>G27</f>
        <v>0</v>
      </c>
      <c r="T30" s="358">
        <f>Cen!F260</f>
        <v>972.70714999999996</v>
      </c>
      <c r="U30" s="358">
        <f t="shared" si="2"/>
        <v>0</v>
      </c>
    </row>
    <row r="31" spans="1:21" ht="13" x14ac:dyDescent="0.3">
      <c r="A31" s="117"/>
      <c r="B31" s="282"/>
      <c r="C31" s="282"/>
      <c r="H31" s="284"/>
      <c r="I31" s="284"/>
      <c r="J31" s="284"/>
      <c r="K31" s="284"/>
      <c r="L31" s="284"/>
      <c r="M31" s="117"/>
      <c r="N31" s="117"/>
      <c r="O31" s="117"/>
      <c r="P31" s="356" t="str">
        <f>Cen!A261</f>
        <v>Korpusové lišty TIP-ON, 450mm, 40kg</v>
      </c>
      <c r="Q31" s="356" t="str">
        <f>Cen!B261</f>
        <v>750.4501T</v>
      </c>
      <c r="R31" s="356" t="str">
        <f>Cen!C261</f>
        <v>ZN</v>
      </c>
      <c r="S31" s="357">
        <f>H27</f>
        <v>0</v>
      </c>
      <c r="T31" s="358">
        <f>Cen!F261</f>
        <v>958.74321999999995</v>
      </c>
      <c r="U31" s="358">
        <f t="shared" si="2"/>
        <v>0</v>
      </c>
    </row>
    <row r="32" spans="1:21" ht="13" x14ac:dyDescent="0.3">
      <c r="A32" s="117"/>
      <c r="B32" s="282"/>
      <c r="C32" s="282"/>
      <c r="H32" s="285"/>
      <c r="I32" s="285"/>
      <c r="J32" s="285"/>
      <c r="K32" s="285"/>
      <c r="L32" s="285"/>
      <c r="M32" s="117"/>
      <c r="N32" s="117"/>
      <c r="O32" s="117"/>
      <c r="P32" s="356" t="str">
        <f>Cen!A262</f>
        <v>Korpusové lišty TIP-ON, 450mm, 70kg</v>
      </c>
      <c r="Q32" s="356" t="str">
        <f>Cen!B262</f>
        <v>753.4501T</v>
      </c>
      <c r="R32" s="356" t="str">
        <f>Cen!C262</f>
        <v>ZN</v>
      </c>
      <c r="S32" s="357">
        <f>H28</f>
        <v>0</v>
      </c>
      <c r="T32" s="358">
        <f>Cen!F262</f>
        <v>1142.8525999999999</v>
      </c>
      <c r="U32" s="358">
        <f t="shared" si="2"/>
        <v>0</v>
      </c>
    </row>
    <row r="33" spans="1:21" ht="15.5" x14ac:dyDescent="0.35">
      <c r="A33" s="117"/>
      <c r="B33" s="316"/>
      <c r="C33" s="282"/>
      <c r="H33" s="283"/>
      <c r="I33" s="283"/>
      <c r="J33" s="283"/>
      <c r="K33" s="283"/>
      <c r="L33" s="283"/>
      <c r="M33" s="117"/>
      <c r="P33" s="356" t="str">
        <f>Cen!A263</f>
        <v>Korpusové lišty TIP-ON, 500mm, 40kg</v>
      </c>
      <c r="Q33" s="356" t="str">
        <f>Cen!B263</f>
        <v>750.5001T</v>
      </c>
      <c r="R33" s="356" t="str">
        <f>Cen!C263</f>
        <v>ZN</v>
      </c>
      <c r="S33" s="357">
        <f>I27</f>
        <v>0</v>
      </c>
      <c r="T33" s="358">
        <f>Cen!F263</f>
        <v>967.39513999999997</v>
      </c>
      <c r="U33" s="358">
        <f t="shared" si="2"/>
        <v>0</v>
      </c>
    </row>
    <row r="34" spans="1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P34" s="356" t="str">
        <f>Cen!A264</f>
        <v>Korpusové lišty TIP-ON, 500mm, 70kg</v>
      </c>
      <c r="Q34" s="356" t="str">
        <f>Cen!B264</f>
        <v>753.5001T</v>
      </c>
      <c r="R34" s="356" t="str">
        <f>Cen!C264</f>
        <v>ZN</v>
      </c>
      <c r="S34" s="357">
        <f>I28</f>
        <v>0</v>
      </c>
      <c r="T34" s="358">
        <f>Cen!F264</f>
        <v>1151.7105200000001</v>
      </c>
      <c r="U34" s="358">
        <f t="shared" si="2"/>
        <v>0</v>
      </c>
    </row>
    <row r="35" spans="1:21" ht="14" x14ac:dyDescent="0.3">
      <c r="B35" s="343"/>
      <c r="C35" s="286"/>
      <c r="D35" s="344"/>
      <c r="E35" s="290"/>
      <c r="F35" s="290"/>
      <c r="G35" s="290"/>
      <c r="H35" s="290"/>
      <c r="I35" s="284"/>
      <c r="J35" s="284"/>
      <c r="K35" s="284"/>
      <c r="L35" s="284"/>
      <c r="P35" s="356" t="str">
        <f>Cen!A265</f>
        <v>Korpusové lišty TIP-ON, 550mm, 40kg</v>
      </c>
      <c r="Q35" s="356" t="str">
        <f>Cen!B265</f>
        <v>750.5501T</v>
      </c>
      <c r="R35" s="356" t="str">
        <f>Cen!C265</f>
        <v>ZN</v>
      </c>
      <c r="S35" s="357">
        <f>J27</f>
        <v>0</v>
      </c>
      <c r="T35" s="358">
        <f>Cen!F265</f>
        <v>1037.74467</v>
      </c>
      <c r="U35" s="358">
        <f t="shared" si="2"/>
        <v>0</v>
      </c>
    </row>
    <row r="36" spans="1:21" ht="14" x14ac:dyDescent="0.3">
      <c r="B36" s="343"/>
      <c r="C36" s="286"/>
      <c r="D36" s="344"/>
      <c r="E36" s="290"/>
      <c r="F36" s="290"/>
      <c r="G36" s="290"/>
      <c r="H36" s="290"/>
      <c r="I36" s="284"/>
      <c r="J36" s="284"/>
      <c r="K36" s="284"/>
      <c r="L36" s="284"/>
      <c r="P36" s="356" t="str">
        <f>Cen!A266</f>
        <v>Korpusové lišty TIP-ON, 550mm, 70kg</v>
      </c>
      <c r="Q36" s="356" t="str">
        <f>Cen!B266</f>
        <v>753.5501T</v>
      </c>
      <c r="R36" s="356" t="str">
        <f>Cen!C266</f>
        <v>ZN</v>
      </c>
      <c r="S36" s="357">
        <f>J28</f>
        <v>0</v>
      </c>
      <c r="T36" s="358">
        <f>Cen!F266</f>
        <v>1199.02684</v>
      </c>
      <c r="U36" s="358">
        <f t="shared" si="2"/>
        <v>0</v>
      </c>
    </row>
    <row r="37" spans="1:21" ht="14" x14ac:dyDescent="0.3">
      <c r="B37" s="310"/>
      <c r="C37" s="311"/>
      <c r="D37" s="290"/>
      <c r="E37" s="290"/>
      <c r="F37" s="290"/>
      <c r="G37" s="290"/>
      <c r="I37" s="285"/>
      <c r="J37" s="285"/>
      <c r="K37" s="285"/>
      <c r="L37" s="285"/>
      <c r="P37" s="359" t="str">
        <f>Cen!A267</f>
        <v>Korpusové lišty TIP-ON, 600mm, 40kg</v>
      </c>
      <c r="Q37" s="359" t="str">
        <f>Cen!B267</f>
        <v>750.6001T</v>
      </c>
      <c r="R37" s="359" t="str">
        <f>Cen!C267</f>
        <v>ZN</v>
      </c>
      <c r="S37" s="360">
        <f>K27</f>
        <v>0</v>
      </c>
      <c r="T37" s="361">
        <f>Cen!F267</f>
        <v>1133.14894</v>
      </c>
      <c r="U37" s="358">
        <f t="shared" si="2"/>
        <v>0</v>
      </c>
    </row>
    <row r="38" spans="1:21" ht="13" x14ac:dyDescent="0.3">
      <c r="B38" s="282"/>
      <c r="C38" s="282"/>
      <c r="H38" s="283"/>
      <c r="I38" s="283"/>
      <c r="J38" s="283"/>
      <c r="K38" s="283"/>
      <c r="L38" s="283"/>
      <c r="P38" s="359" t="str">
        <f>Cen!A268</f>
        <v>Korpusové lišty TIP-ON, 600mm, 70kg</v>
      </c>
      <c r="Q38" s="359" t="str">
        <f>Cen!B268</f>
        <v>753.6001T</v>
      </c>
      <c r="R38" s="359" t="str">
        <f>Cen!C268</f>
        <v>ZN</v>
      </c>
      <c r="S38" s="360">
        <f>K28</f>
        <v>0</v>
      </c>
      <c r="T38" s="361">
        <f>Cen!F268</f>
        <v>1294.4311299999999</v>
      </c>
      <c r="U38" s="361">
        <f t="shared" si="2"/>
        <v>0</v>
      </c>
    </row>
    <row r="39" spans="1:21" ht="13" x14ac:dyDescent="0.3">
      <c r="B39" s="282"/>
      <c r="C39" s="282"/>
      <c r="H39" s="286"/>
      <c r="I39" s="286"/>
      <c r="J39" s="286"/>
      <c r="K39" s="286"/>
      <c r="L39" s="286"/>
      <c r="P39" s="556"/>
      <c r="Q39" s="556"/>
      <c r="R39" s="556"/>
      <c r="S39" s="557"/>
      <c r="T39" s="558"/>
      <c r="U39" s="558"/>
    </row>
    <row r="40" spans="1:21" x14ac:dyDescent="0.25">
      <c r="P40" s="142"/>
      <c r="Q40" s="142"/>
      <c r="R40" s="142"/>
      <c r="S40" s="148"/>
      <c r="T40" s="152"/>
      <c r="U40" s="152"/>
    </row>
    <row r="41" spans="1:21" x14ac:dyDescent="0.25">
      <c r="P41" s="120" t="str">
        <f>Cen!A319</f>
        <v>Držáky zadní stěny M, Orion šedá</v>
      </c>
      <c r="Q41" s="120" t="str">
        <f>Cen!B319</f>
        <v>ZB7M000S</v>
      </c>
      <c r="R41" s="120" t="str">
        <f>Cen!C319</f>
        <v>OG-M</v>
      </c>
      <c r="S41" s="121">
        <f>SUM($S$3:$S$11)</f>
        <v>0</v>
      </c>
      <c r="T41" s="116">
        <f>Cen!F319</f>
        <v>35.345579999999998</v>
      </c>
      <c r="U41" s="116">
        <f>S41*T41</f>
        <v>0</v>
      </c>
    </row>
    <row r="42" spans="1:21" x14ac:dyDescent="0.25">
      <c r="P42" s="120" t="str">
        <f>Cen!A347</f>
        <v>Čelní kování M, na vruty</v>
      </c>
      <c r="Q42" s="120" t="str">
        <f>Cen!B347</f>
        <v>ZF7M7002</v>
      </c>
      <c r="R42" s="120" t="str">
        <f>Cen!C347</f>
        <v>BL</v>
      </c>
      <c r="S42" s="121">
        <f>SUM($S$3:$S$11)*2</f>
        <v>0</v>
      </c>
      <c r="T42" s="116">
        <f>Cen!F347</f>
        <v>7.6647100000000004</v>
      </c>
      <c r="U42" s="116">
        <f>S42*T42</f>
        <v>0</v>
      </c>
    </row>
    <row r="43" spans="1:21" x14ac:dyDescent="0.25">
      <c r="P43" s="117"/>
      <c r="Q43" s="117"/>
    </row>
    <row r="44" spans="1:21" x14ac:dyDescent="0.25">
      <c r="P44" s="117"/>
      <c r="Q44" s="117"/>
      <c r="S44" s="74" t="str">
        <f>List!$B$97</f>
        <v>cena kování</v>
      </c>
      <c r="U44" s="346">
        <f>SUM(U3:U43)</f>
        <v>0</v>
      </c>
    </row>
    <row r="45" spans="1:21" x14ac:dyDescent="0.25">
      <c r="P45" s="117"/>
      <c r="Q45" s="117"/>
    </row>
    <row r="46" spans="1:21" x14ac:dyDescent="0.25">
      <c r="P46" s="117"/>
      <c r="Q46" s="117"/>
    </row>
    <row r="47" spans="1:21" x14ac:dyDescent="0.25">
      <c r="P47" s="117"/>
      <c r="Q47" s="117"/>
    </row>
    <row r="48" spans="1:21" x14ac:dyDescent="0.25">
      <c r="P48" s="117"/>
      <c r="Q48" s="117"/>
    </row>
    <row r="49" spans="16:17" x14ac:dyDescent="0.25">
      <c r="P49" s="117"/>
      <c r="Q49" s="117"/>
    </row>
    <row r="50" spans="16:17" x14ac:dyDescent="0.25">
      <c r="P50" s="117"/>
      <c r="Q50" s="117"/>
    </row>
    <row r="51" spans="16:17" x14ac:dyDescent="0.25">
      <c r="P51" s="117"/>
      <c r="Q51" s="117"/>
    </row>
    <row r="52" spans="16:17" x14ac:dyDescent="0.25">
      <c r="P52" s="117"/>
      <c r="Q52" s="117"/>
    </row>
    <row r="99" spans="1:1" x14ac:dyDescent="0.25">
      <c r="A99" s="823"/>
    </row>
    <row r="100" spans="1:1" x14ac:dyDescent="0.25">
      <c r="A100" s="823"/>
    </row>
    <row r="101" spans="1:1" x14ac:dyDescent="0.25">
      <c r="A101" s="823"/>
    </row>
    <row r="102" spans="1:1" x14ac:dyDescent="0.25">
      <c r="A102" s="823"/>
    </row>
    <row r="103" spans="1:1" x14ac:dyDescent="0.25">
      <c r="A103" s="823"/>
    </row>
    <row r="104" spans="1:1" x14ac:dyDescent="0.25">
      <c r="A104" s="823"/>
    </row>
    <row r="105" spans="1:1" x14ac:dyDescent="0.25">
      <c r="A105" s="823"/>
    </row>
    <row r="106" spans="1:1" x14ac:dyDescent="0.25">
      <c r="A106" s="823"/>
    </row>
    <row r="107" spans="1:1" x14ac:dyDescent="0.25">
      <c r="A107" s="823"/>
    </row>
    <row r="108" spans="1:1" x14ac:dyDescent="0.25">
      <c r="A108" s="823"/>
    </row>
    <row r="109" spans="1:1" x14ac:dyDescent="0.25">
      <c r="A109" s="823"/>
    </row>
    <row r="110" spans="1:1" x14ac:dyDescent="0.25">
      <c r="A110" s="823"/>
    </row>
    <row r="111" spans="1:1" x14ac:dyDescent="0.25">
      <c r="A111" s="823"/>
    </row>
    <row r="112" spans="1:1" x14ac:dyDescent="0.25">
      <c r="A112" s="823"/>
    </row>
    <row r="113" spans="1:1" x14ac:dyDescent="0.25">
      <c r="A113" s="823"/>
    </row>
    <row r="114" spans="1:1" x14ac:dyDescent="0.25">
      <c r="A114" s="823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khwA0k8ITxeYhHTr7zXoOb14v1l0UrnfM48NGA4+AfAIrtlpXbZn9i2FU0sBthTxw5ZO+1sXUOGNBVadA7ZPfA==" saltValue="Ju0QPuFzkkZY2F8b4w59eQ==" spinCount="100000" sheet="1" objects="1" scenarios="1"/>
  <mergeCells count="1">
    <mergeCell ref="A99:A140"/>
  </mergeCells>
  <phoneticPr fontId="52" type="noConversion"/>
  <hyperlinks>
    <hyperlink ref="N3" location="Form!A1" tooltip=" " display="Form!A1" xr:uid="{00000000-0004-0000-0F00-000000000000}"/>
    <hyperlink ref="N4" location="Menu!A1" tooltip=" " display="Menu!A1" xr:uid="{00000000-0004-0000-0F00-000001000000}"/>
    <hyperlink ref="N7" location="Acs!A1" tooltip=" " display="Acs!A1" xr:uid="{00000000-0004-0000-0F00-000002000000}"/>
    <hyperlink ref="N8" location="SD!A1" tooltip=" " display="SD!A1" xr:uid="{00000000-0004-0000-0F00-000003000000}"/>
    <hyperlink ref="N10" location="Sum!A1" tooltip=" " display="Sum!A1" xr:uid="{00000000-0004-0000-0F00-000004000000}"/>
    <hyperlink ref="N11" location="Ord!A1" tooltip=" " display="Ord!A1" xr:uid="{00000000-0004-0000-0F00-000005000000}"/>
    <hyperlink ref="N9" location="AL!A1" tooltip=" " display="AL!A1" xr:uid="{00000000-0004-0000-0F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5">
    <tabColor indexed="22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hidden="1" customWidth="1"/>
    <col min="15" max="15" width="3.816406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List!$B$55&amp;" C"</f>
        <v>Dřezový výsuv C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352" t="str">
        <f>Cen!A111</f>
        <v>Bočnice C pure, 270mm, Orion šedá</v>
      </c>
      <c r="Q3" s="352" t="str">
        <f>Cen!B111</f>
        <v>770C2702S</v>
      </c>
      <c r="R3" s="352" t="str">
        <f>Cen!C111</f>
        <v>OG-M</v>
      </c>
      <c r="S3" s="353">
        <f>SUM(D21,D27)</f>
        <v>0</v>
      </c>
      <c r="T3" s="354">
        <f>Cen!F111</f>
        <v>920.62116000000003</v>
      </c>
      <c r="U3" s="355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352" t="str">
        <f>Cen!A116</f>
        <v>Bočnice C pure, 300mm, Orion šedá</v>
      </c>
      <c r="Q4" s="352" t="str">
        <f>Cen!B116</f>
        <v>770C3002S</v>
      </c>
      <c r="R4" s="352" t="str">
        <f>Cen!C116</f>
        <v>OG-M</v>
      </c>
      <c r="S4" s="353">
        <f>SUM(E21,E27)</f>
        <v>0</v>
      </c>
      <c r="T4" s="354">
        <f>Cen!F116</f>
        <v>920.62116000000003</v>
      </c>
      <c r="U4" s="355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352" t="str">
        <f>Cen!A121</f>
        <v>Bočnice C pure, 350mm, Orion šedá</v>
      </c>
      <c r="Q5" s="352" t="str">
        <f>Cen!B121</f>
        <v>770C3502S</v>
      </c>
      <c r="R5" s="352" t="str">
        <f>Cen!C121</f>
        <v>OG-M</v>
      </c>
      <c r="S5" s="353">
        <f>SUM(F21,F27)</f>
        <v>0</v>
      </c>
      <c r="T5" s="354">
        <f>Cen!F121</f>
        <v>920.62116000000003</v>
      </c>
      <c r="U5" s="355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352" t="str">
        <f>Cen!A126</f>
        <v>Bočnice C pure, 400mm, Orion šedá</v>
      </c>
      <c r="Q6" s="352" t="str">
        <f>Cen!B126</f>
        <v>770C4002S</v>
      </c>
      <c r="R6" s="352" t="str">
        <f>Cen!C126</f>
        <v>OG-M</v>
      </c>
      <c r="S6" s="353">
        <f>SUM(G21,G27)</f>
        <v>0</v>
      </c>
      <c r="T6" s="354">
        <f>Cen!F126</f>
        <v>931.92665999999997</v>
      </c>
      <c r="U6" s="355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Cen!A131</f>
        <v>Bočnice C pure, 450mm, Orion šedá</v>
      </c>
      <c r="Q7" s="125" t="str">
        <f>Cen!B131</f>
        <v>770C4502S</v>
      </c>
      <c r="R7" s="125" t="str">
        <f>Cen!C131</f>
        <v>OG-M</v>
      </c>
      <c r="S7" s="257">
        <f>SUM(H21:H22)*2</f>
        <v>0</v>
      </c>
      <c r="T7" s="261">
        <f>Cen!F131</f>
        <v>921.30178999999998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257">
        <f>SUM(I21:I22)*2</f>
        <v>0</v>
      </c>
      <c r="T8" s="261">
        <f>Cen!F136</f>
        <v>932.34378000000004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U44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257">
        <f>SUM(J21:J22)*2</f>
        <v>0</v>
      </c>
      <c r="T9" s="261">
        <f>Cen!F141</f>
        <v>1011.04004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Cen!A146</f>
        <v>Bočnice C pure, 600mm, Orion šedá</v>
      </c>
      <c r="Q10" s="125" t="str">
        <f>Cen!B146</f>
        <v>770C6002S</v>
      </c>
      <c r="R10" s="125" t="str">
        <f>Cen!C146</f>
        <v>OG-M</v>
      </c>
      <c r="S10" s="257">
        <f>SUM(K21:K22)*2</f>
        <v>0</v>
      </c>
      <c r="T10" s="261">
        <f>Cen!F146</f>
        <v>1127.97047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Cen!A151</f>
        <v>Bočnice C pure, 650mm, Orion šedá</v>
      </c>
      <c r="Q11" s="125" t="str">
        <f>Cen!B151</f>
        <v>770C6502S</v>
      </c>
      <c r="R11" s="125" t="str">
        <f>Cen!C151</f>
        <v>OG-M</v>
      </c>
      <c r="S11" s="257">
        <f>SUM(L21:L22)*2</f>
        <v>0</v>
      </c>
      <c r="T11" s="261">
        <f>Cen!F151</f>
        <v>1167.5130999999999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4"/>
      <c r="Q12" s="124"/>
      <c r="R12" s="124"/>
      <c r="S12" s="327"/>
      <c r="T12" s="393"/>
      <c r="U12" s="328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356" t="str">
        <f>Cen!A241</f>
        <v>Korpusové lišty BLUMOTION S, 270mm, 40kg</v>
      </c>
      <c r="Q13" s="356" t="str">
        <f>Cen!B241</f>
        <v>750.2701S</v>
      </c>
      <c r="R13" s="356" t="str">
        <f>Cen!C241</f>
        <v>ZN</v>
      </c>
      <c r="S13" s="357">
        <f>D21</f>
        <v>0</v>
      </c>
      <c r="T13" s="358">
        <f>Cen!F241</f>
        <v>695.93676999999991</v>
      </c>
      <c r="U13" s="358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356" t="str">
        <f>Cen!A242</f>
        <v>Korpusové lišty BLUMOTION S, 300mm, 40kg</v>
      </c>
      <c r="Q14" s="356" t="str">
        <f>Cen!B242</f>
        <v>750.3001S</v>
      </c>
      <c r="R14" s="356" t="str">
        <f>Cen!C242</f>
        <v>ZN</v>
      </c>
      <c r="S14" s="357">
        <f>E21</f>
        <v>0</v>
      </c>
      <c r="T14" s="358">
        <f>Cen!F242</f>
        <v>695.93676999999991</v>
      </c>
      <c r="U14" s="358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356" t="str">
        <f>Cen!A243</f>
        <v>Korpusové lišty BLUMOTION S, 350mm, 40kg</v>
      </c>
      <c r="Q15" s="356" t="str">
        <f>Cen!B243</f>
        <v>750.3501S</v>
      </c>
      <c r="R15" s="356" t="str">
        <f>Cen!C243</f>
        <v>ZN</v>
      </c>
      <c r="S15" s="357">
        <f>F21</f>
        <v>0</v>
      </c>
      <c r="T15" s="358">
        <f>Cen!F243</f>
        <v>695.93676999999991</v>
      </c>
      <c r="U15" s="358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356" t="str">
        <f>Cen!A244</f>
        <v>Korpusové lišty BLUMOTION S, 400mm, 40kg</v>
      </c>
      <c r="Q16" s="356" t="str">
        <f>Cen!B244</f>
        <v>750.4001S</v>
      </c>
      <c r="R16" s="356" t="str">
        <f>Cen!C244</f>
        <v>ZN</v>
      </c>
      <c r="S16" s="357">
        <f>G21</f>
        <v>0</v>
      </c>
      <c r="T16" s="358">
        <f>Cen!F244</f>
        <v>704.8</v>
      </c>
      <c r="U16" s="358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H21</f>
        <v>0</v>
      </c>
      <c r="T17" s="256">
        <f>Cen!F245</f>
        <v>697.06186000000002</v>
      </c>
      <c r="U17" s="256">
        <f t="shared" si="1"/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H22</f>
        <v>0</v>
      </c>
      <c r="T18" s="256">
        <f>Cen!F246</f>
        <v>881.76589000000013</v>
      </c>
      <c r="U18" s="256">
        <f t="shared" si="1"/>
        <v>0</v>
      </c>
    </row>
    <row r="19" spans="1:21" ht="15.5" x14ac:dyDescent="0.25">
      <c r="A19" s="117"/>
      <c r="B19" s="307" t="s">
        <v>434</v>
      </c>
      <c r="C19" s="7"/>
      <c r="H19" s="285"/>
      <c r="I19" s="285"/>
      <c r="J19" s="285"/>
      <c r="K19" s="285"/>
      <c r="L19" s="285"/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255">
        <f>I21</f>
        <v>0</v>
      </c>
      <c r="T19" s="256">
        <f>Cen!F247</f>
        <v>705.71905000000004</v>
      </c>
      <c r="U19" s="256">
        <f t="shared" si="1"/>
        <v>0</v>
      </c>
    </row>
    <row r="20" spans="1:21" ht="14" x14ac:dyDescent="0.3">
      <c r="A20" s="117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301" t="s">
        <v>525</v>
      </c>
      <c r="J20" s="300" t="s">
        <v>526</v>
      </c>
      <c r="K20" s="302" t="s">
        <v>112</v>
      </c>
      <c r="L20" s="302" t="s">
        <v>770</v>
      </c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255">
        <f>I22</f>
        <v>0</v>
      </c>
      <c r="T20" s="256">
        <f>Cen!F248</f>
        <v>890.62918000000002</v>
      </c>
      <c r="U20" s="256">
        <f t="shared" si="1"/>
        <v>0</v>
      </c>
    </row>
    <row r="21" spans="1:21" ht="14.5" thickBot="1" x14ac:dyDescent="0.35">
      <c r="A21" s="117"/>
      <c r="B21" s="292" t="s">
        <v>452</v>
      </c>
      <c r="C21" s="293" t="s">
        <v>432</v>
      </c>
      <c r="D21" s="347"/>
      <c r="E21" s="347"/>
      <c r="F21" s="347"/>
      <c r="G21" s="347"/>
      <c r="H21" s="294"/>
      <c r="I21" s="294"/>
      <c r="J21" s="294"/>
      <c r="K21" s="295"/>
      <c r="L21" s="55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J21</f>
        <v>0</v>
      </c>
      <c r="T21" s="256">
        <f>Cen!F249</f>
        <v>769.83820000000003</v>
      </c>
      <c r="U21" s="256">
        <f t="shared" si="1"/>
        <v>0</v>
      </c>
    </row>
    <row r="22" spans="1:21" ht="14" x14ac:dyDescent="0.3">
      <c r="A22" s="117"/>
      <c r="B22" s="296" t="s">
        <v>453</v>
      </c>
      <c r="C22" s="306" t="s">
        <v>433</v>
      </c>
      <c r="D22" s="362"/>
      <c r="E22" s="362"/>
      <c r="F22" s="362"/>
      <c r="G22" s="362"/>
      <c r="H22" s="298"/>
      <c r="I22" s="298"/>
      <c r="J22" s="298"/>
      <c r="K22" s="299"/>
      <c r="L22" s="299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J22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K21</f>
        <v>0</v>
      </c>
      <c r="T23" s="256">
        <f>Cen!F251</f>
        <v>865.24247000000003</v>
      </c>
      <c r="U23" s="256">
        <f t="shared" si="1"/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K22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50"/>
      <c r="C25" s="254"/>
      <c r="D25" s="286"/>
      <c r="E25" s="286"/>
      <c r="F25" s="286"/>
      <c r="G25" s="286"/>
      <c r="H25" s="283"/>
      <c r="I25" s="283"/>
      <c r="J25" s="283"/>
      <c r="K25" s="283"/>
      <c r="L25" s="283"/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L22</f>
        <v>0</v>
      </c>
      <c r="T25" s="256">
        <f>Cen!F253</f>
        <v>1080.66551</v>
      </c>
      <c r="U25" s="256">
        <f>S25*T25</f>
        <v>0</v>
      </c>
    </row>
    <row r="26" spans="1:21" ht="15.5" x14ac:dyDescent="0.35">
      <c r="A26" s="117"/>
      <c r="B26" s="350"/>
      <c r="C26" s="340"/>
      <c r="D26" s="341"/>
      <c r="E26" s="341"/>
      <c r="F26" s="341"/>
      <c r="G26" s="341"/>
      <c r="H26" s="341"/>
      <c r="I26" s="290"/>
      <c r="J26" s="341"/>
      <c r="K26" s="341"/>
      <c r="L26" s="341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5.5" x14ac:dyDescent="0.35">
      <c r="A27" s="117"/>
      <c r="B27" s="383"/>
      <c r="C27" s="340"/>
      <c r="D27" s="290"/>
      <c r="E27" s="290"/>
      <c r="F27" s="290"/>
      <c r="G27" s="290"/>
      <c r="H27" s="290"/>
      <c r="I27" s="290"/>
      <c r="J27" s="290"/>
      <c r="K27" s="290"/>
      <c r="L27" s="290"/>
      <c r="M27" s="117"/>
      <c r="N27" s="117"/>
      <c r="O27" s="117"/>
      <c r="P27" s="356" t="str">
        <f>Cen!A257</f>
        <v>Korpusové lišty TIP-ON, 270mm, 40kg</v>
      </c>
      <c r="Q27" s="356" t="str">
        <f>Cen!B257</f>
        <v>750.2701T</v>
      </c>
      <c r="R27" s="356" t="str">
        <f>Cen!C257</f>
        <v>ZN</v>
      </c>
      <c r="S27" s="357">
        <f>D27</f>
        <v>0</v>
      </c>
      <c r="T27" s="358">
        <f>Cen!F257</f>
        <v>963.84325999999999</v>
      </c>
      <c r="U27" s="358">
        <f t="shared" ref="U27:U38" si="2">S27*T27</f>
        <v>0</v>
      </c>
    </row>
    <row r="28" spans="1:21" ht="14" x14ac:dyDescent="0.3">
      <c r="A28" s="117"/>
      <c r="B28" s="310"/>
      <c r="C28" s="311"/>
      <c r="D28" s="351"/>
      <c r="E28" s="351"/>
      <c r="F28" s="351"/>
      <c r="G28" s="351"/>
      <c r="H28" s="290"/>
      <c r="I28" s="290"/>
      <c r="J28" s="290"/>
      <c r="K28" s="290"/>
      <c r="L28" s="290"/>
      <c r="M28" s="117"/>
      <c r="N28" s="117"/>
      <c r="O28" s="117"/>
      <c r="P28" s="356" t="str">
        <f>Cen!A258</f>
        <v>Korpusové lišty TIP-ON, 300mm, 40kg</v>
      </c>
      <c r="Q28" s="356" t="str">
        <f>Cen!B258</f>
        <v>750.3001T</v>
      </c>
      <c r="R28" s="356" t="str">
        <f>Cen!C258</f>
        <v>ZN</v>
      </c>
      <c r="S28" s="357">
        <f>E27</f>
        <v>0</v>
      </c>
      <c r="T28" s="358">
        <f>Cen!F258</f>
        <v>963.84325999999999</v>
      </c>
      <c r="U28" s="358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283"/>
      <c r="I29" s="283"/>
      <c r="J29" s="283"/>
      <c r="K29" s="283"/>
      <c r="L29" s="283"/>
      <c r="M29" s="117"/>
      <c r="N29" s="117"/>
      <c r="O29" s="117"/>
      <c r="P29" s="356" t="str">
        <f>Cen!A259</f>
        <v>Korpusové lišty TIP-ON, 350mm, 40kg</v>
      </c>
      <c r="Q29" s="356" t="str">
        <f>Cen!B259</f>
        <v>750.3501T</v>
      </c>
      <c r="R29" s="356" t="str">
        <f>Cen!C259</f>
        <v>ZN</v>
      </c>
      <c r="S29" s="357">
        <f>F27</f>
        <v>0</v>
      </c>
      <c r="T29" s="358">
        <f>Cen!F259</f>
        <v>963.84325999999999</v>
      </c>
      <c r="U29" s="358">
        <f t="shared" si="2"/>
        <v>0</v>
      </c>
    </row>
    <row r="30" spans="1:21" ht="13" x14ac:dyDescent="0.3">
      <c r="A30" s="117"/>
      <c r="B30" s="282"/>
      <c r="C30" s="282"/>
      <c r="D30" s="117"/>
      <c r="E30" s="117"/>
      <c r="F30" s="117"/>
      <c r="G30" s="117"/>
      <c r="H30" s="142"/>
      <c r="I30" s="142"/>
      <c r="J30" s="117"/>
      <c r="K30" s="117"/>
      <c r="L30" s="117"/>
      <c r="M30" s="117"/>
      <c r="N30" s="117"/>
      <c r="O30" s="117"/>
      <c r="P30" s="356" t="str">
        <f>Cen!A260</f>
        <v>Korpusové lišty TIP-ON, 400mm, 40kg</v>
      </c>
      <c r="Q30" s="356" t="str">
        <f>Cen!B260</f>
        <v>750.4001T</v>
      </c>
      <c r="R30" s="356" t="str">
        <f>Cen!C260</f>
        <v>ZN</v>
      </c>
      <c r="S30" s="357">
        <f>G27</f>
        <v>0</v>
      </c>
      <c r="T30" s="358">
        <f>Cen!F260</f>
        <v>972.70714999999996</v>
      </c>
      <c r="U30" s="358">
        <f t="shared" si="2"/>
        <v>0</v>
      </c>
    </row>
    <row r="31" spans="1:21" ht="13" x14ac:dyDescent="0.3">
      <c r="A31" s="117"/>
      <c r="B31" s="282"/>
      <c r="C31" s="282"/>
      <c r="H31" s="284"/>
      <c r="I31" s="284"/>
      <c r="J31" s="284"/>
      <c r="K31" s="284"/>
      <c r="L31" s="284"/>
      <c r="M31" s="117"/>
      <c r="N31" s="117"/>
      <c r="O31" s="117"/>
      <c r="P31" s="356" t="str">
        <f>Cen!A261</f>
        <v>Korpusové lišty TIP-ON, 450mm, 40kg</v>
      </c>
      <c r="Q31" s="356" t="str">
        <f>Cen!B261</f>
        <v>750.4501T</v>
      </c>
      <c r="R31" s="356" t="str">
        <f>Cen!C261</f>
        <v>ZN</v>
      </c>
      <c r="S31" s="357">
        <f>H27</f>
        <v>0</v>
      </c>
      <c r="T31" s="358">
        <f>Cen!F261</f>
        <v>958.74321999999995</v>
      </c>
      <c r="U31" s="358">
        <f t="shared" si="2"/>
        <v>0</v>
      </c>
    </row>
    <row r="32" spans="1:21" ht="13" x14ac:dyDescent="0.3">
      <c r="A32" s="117"/>
      <c r="B32" s="282"/>
      <c r="C32" s="282"/>
      <c r="H32" s="285"/>
      <c r="I32" s="285"/>
      <c r="J32" s="285"/>
      <c r="K32" s="285"/>
      <c r="L32" s="285"/>
      <c r="M32" s="117"/>
      <c r="N32" s="117"/>
      <c r="O32" s="117"/>
      <c r="P32" s="356" t="str">
        <f>Cen!A262</f>
        <v>Korpusové lišty TIP-ON, 450mm, 70kg</v>
      </c>
      <c r="Q32" s="356" t="str">
        <f>Cen!B262</f>
        <v>753.4501T</v>
      </c>
      <c r="R32" s="356" t="str">
        <f>Cen!C262</f>
        <v>ZN</v>
      </c>
      <c r="S32" s="357">
        <f>H28</f>
        <v>0</v>
      </c>
      <c r="T32" s="358">
        <f>Cen!F262</f>
        <v>1142.8525999999999</v>
      </c>
      <c r="U32" s="358">
        <f t="shared" si="2"/>
        <v>0</v>
      </c>
    </row>
    <row r="33" spans="1:21" ht="15.5" x14ac:dyDescent="0.35">
      <c r="A33" s="117"/>
      <c r="B33" s="316"/>
      <c r="C33" s="282"/>
      <c r="H33" s="283"/>
      <c r="I33" s="283"/>
      <c r="J33" s="283"/>
      <c r="K33" s="283"/>
      <c r="L33" s="283"/>
      <c r="M33" s="117"/>
      <c r="P33" s="356" t="str">
        <f>Cen!A263</f>
        <v>Korpusové lišty TIP-ON, 500mm, 40kg</v>
      </c>
      <c r="Q33" s="356" t="str">
        <f>Cen!B263</f>
        <v>750.5001T</v>
      </c>
      <c r="R33" s="356" t="str">
        <f>Cen!C263</f>
        <v>ZN</v>
      </c>
      <c r="S33" s="357">
        <f>I27</f>
        <v>0</v>
      </c>
      <c r="T33" s="358">
        <f>Cen!F263</f>
        <v>967.39513999999997</v>
      </c>
      <c r="U33" s="358">
        <f t="shared" si="2"/>
        <v>0</v>
      </c>
    </row>
    <row r="34" spans="1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P34" s="356" t="str">
        <f>Cen!A264</f>
        <v>Korpusové lišty TIP-ON, 500mm, 70kg</v>
      </c>
      <c r="Q34" s="356" t="str">
        <f>Cen!B264</f>
        <v>753.5001T</v>
      </c>
      <c r="R34" s="356" t="str">
        <f>Cen!C264</f>
        <v>ZN</v>
      </c>
      <c r="S34" s="357">
        <f>I28</f>
        <v>0</v>
      </c>
      <c r="T34" s="358">
        <f>Cen!F264</f>
        <v>1151.7105200000001</v>
      </c>
      <c r="U34" s="358">
        <f t="shared" si="2"/>
        <v>0</v>
      </c>
    </row>
    <row r="35" spans="1:21" ht="14" x14ac:dyDescent="0.3">
      <c r="B35" s="343"/>
      <c r="C35" s="286"/>
      <c r="D35" s="344"/>
      <c r="E35" s="290"/>
      <c r="F35" s="290"/>
      <c r="G35" s="290"/>
      <c r="H35" s="290"/>
      <c r="I35" s="284"/>
      <c r="J35" s="284"/>
      <c r="K35" s="284"/>
      <c r="L35" s="284"/>
      <c r="P35" s="356" t="str">
        <f>Cen!A265</f>
        <v>Korpusové lišty TIP-ON, 550mm, 40kg</v>
      </c>
      <c r="Q35" s="356" t="str">
        <f>Cen!B265</f>
        <v>750.5501T</v>
      </c>
      <c r="R35" s="356" t="str">
        <f>Cen!C265</f>
        <v>ZN</v>
      </c>
      <c r="S35" s="357">
        <f>J27</f>
        <v>0</v>
      </c>
      <c r="T35" s="358">
        <f>Cen!F265</f>
        <v>1037.74467</v>
      </c>
      <c r="U35" s="358">
        <f t="shared" si="2"/>
        <v>0</v>
      </c>
    </row>
    <row r="36" spans="1:21" ht="14" x14ac:dyDescent="0.3">
      <c r="B36" s="343"/>
      <c r="C36" s="286"/>
      <c r="D36" s="344"/>
      <c r="E36" s="290"/>
      <c r="F36" s="290"/>
      <c r="G36" s="290"/>
      <c r="H36" s="290"/>
      <c r="I36" s="284"/>
      <c r="J36" s="284"/>
      <c r="K36" s="284"/>
      <c r="L36" s="284"/>
      <c r="P36" s="356" t="str">
        <f>Cen!A266</f>
        <v>Korpusové lišty TIP-ON, 550mm, 70kg</v>
      </c>
      <c r="Q36" s="356" t="str">
        <f>Cen!B266</f>
        <v>753.5501T</v>
      </c>
      <c r="R36" s="356" t="str">
        <f>Cen!C266</f>
        <v>ZN</v>
      </c>
      <c r="S36" s="357">
        <f>J28</f>
        <v>0</v>
      </c>
      <c r="T36" s="358">
        <f>Cen!F266</f>
        <v>1199.02684</v>
      </c>
      <c r="U36" s="358">
        <f t="shared" si="2"/>
        <v>0</v>
      </c>
    </row>
    <row r="37" spans="1:21" ht="14" x14ac:dyDescent="0.3">
      <c r="B37" s="310"/>
      <c r="C37" s="311"/>
      <c r="D37" s="290"/>
      <c r="E37" s="290"/>
      <c r="F37" s="290"/>
      <c r="G37" s="290"/>
      <c r="I37" s="285"/>
      <c r="J37" s="285"/>
      <c r="K37" s="285"/>
      <c r="L37" s="285"/>
      <c r="P37" s="359" t="str">
        <f>Cen!A267</f>
        <v>Korpusové lišty TIP-ON, 600mm, 40kg</v>
      </c>
      <c r="Q37" s="359" t="str">
        <f>Cen!B267</f>
        <v>750.6001T</v>
      </c>
      <c r="R37" s="359" t="str">
        <f>Cen!C267</f>
        <v>ZN</v>
      </c>
      <c r="S37" s="360">
        <f>K27</f>
        <v>0</v>
      </c>
      <c r="T37" s="361">
        <f>Cen!F267</f>
        <v>1133.14894</v>
      </c>
      <c r="U37" s="358">
        <f t="shared" si="2"/>
        <v>0</v>
      </c>
    </row>
    <row r="38" spans="1:21" ht="13" x14ac:dyDescent="0.3">
      <c r="B38" s="282"/>
      <c r="C38" s="282"/>
      <c r="H38" s="283"/>
      <c r="I38" s="283"/>
      <c r="J38" s="283"/>
      <c r="K38" s="283"/>
      <c r="L38" s="283"/>
      <c r="P38" s="359" t="str">
        <f>Cen!A268</f>
        <v>Korpusové lišty TIP-ON, 600mm, 70kg</v>
      </c>
      <c r="Q38" s="359" t="str">
        <f>Cen!B268</f>
        <v>753.6001T</v>
      </c>
      <c r="R38" s="359" t="str">
        <f>Cen!C268</f>
        <v>ZN</v>
      </c>
      <c r="S38" s="360">
        <f>K28</f>
        <v>0</v>
      </c>
      <c r="T38" s="361">
        <f>Cen!F268</f>
        <v>1294.4311299999999</v>
      </c>
      <c r="U38" s="361">
        <f t="shared" si="2"/>
        <v>0</v>
      </c>
    </row>
    <row r="39" spans="1:21" ht="13" x14ac:dyDescent="0.3">
      <c r="B39" s="282"/>
      <c r="C39" s="282"/>
      <c r="H39" s="286"/>
      <c r="I39" s="286"/>
      <c r="J39" s="286"/>
      <c r="K39" s="286"/>
      <c r="L39" s="286"/>
      <c r="P39" s="359" t="str">
        <f>Cen!A269</f>
        <v>Korpusové lišty TIP-ON, 650mm, 70kg</v>
      </c>
      <c r="Q39" s="359" t="str">
        <f>Cen!B269</f>
        <v>753.6501T</v>
      </c>
      <c r="R39" s="359" t="str">
        <f>Cen!C269</f>
        <v>ZN</v>
      </c>
      <c r="S39" s="360">
        <f>K29</f>
        <v>0</v>
      </c>
      <c r="T39" s="361">
        <f>Cen!F269</f>
        <v>1341.74685</v>
      </c>
      <c r="U39" s="361">
        <f>S39*T39</f>
        <v>0</v>
      </c>
    </row>
    <row r="40" spans="1:21" x14ac:dyDescent="0.25">
      <c r="P40" s="142"/>
      <c r="Q40" s="142"/>
      <c r="R40" s="142"/>
      <c r="S40" s="148"/>
      <c r="T40" s="152"/>
      <c r="U40" s="152"/>
    </row>
    <row r="41" spans="1:21" x14ac:dyDescent="0.25">
      <c r="P41" s="120" t="str">
        <f>Cen!A329</f>
        <v>Držáky zadní stěny C, Orion šedá</v>
      </c>
      <c r="Q41" s="120" t="str">
        <f>Cen!B329</f>
        <v>ZB7C000S</v>
      </c>
      <c r="R41" s="120" t="str">
        <f>Cen!C329</f>
        <v>OG-M</v>
      </c>
      <c r="S41" s="121">
        <f>SUM($S$3:$S$11)</f>
        <v>0</v>
      </c>
      <c r="T41" s="116">
        <f>Cen!$F329</f>
        <v>47.092230000000001</v>
      </c>
      <c r="U41" s="116">
        <f>S41*T41</f>
        <v>0</v>
      </c>
    </row>
    <row r="42" spans="1:21" x14ac:dyDescent="0.25">
      <c r="P42" s="120" t="str">
        <f>Cen!A353</f>
        <v>Čelní kování C, na vruty</v>
      </c>
      <c r="Q42" s="120" t="str">
        <f>Cen!B353</f>
        <v>ZF7C7002</v>
      </c>
      <c r="R42" s="120" t="str">
        <f>Cen!C353</f>
        <v>BL</v>
      </c>
      <c r="S42" s="121">
        <f>SUM($S$3:$S$11)*2</f>
        <v>0</v>
      </c>
      <c r="T42" s="116">
        <f>Cen!F353</f>
        <v>18.390879999999999</v>
      </c>
      <c r="U42" s="116">
        <f>S42*T42</f>
        <v>0</v>
      </c>
    </row>
    <row r="43" spans="1:21" x14ac:dyDescent="0.25">
      <c r="P43" s="117"/>
      <c r="Q43" s="117"/>
    </row>
    <row r="44" spans="1:21" x14ac:dyDescent="0.25">
      <c r="P44" s="117"/>
      <c r="Q44" s="117"/>
      <c r="S44" s="74" t="str">
        <f>List!$B$97</f>
        <v>cena kování</v>
      </c>
      <c r="U44" s="346">
        <f>SUM(U3:U43)</f>
        <v>0</v>
      </c>
    </row>
    <row r="45" spans="1:21" x14ac:dyDescent="0.25">
      <c r="P45" s="117"/>
      <c r="Q45" s="117"/>
    </row>
    <row r="46" spans="1:21" x14ac:dyDescent="0.25">
      <c r="P46" s="117"/>
      <c r="Q46" s="117"/>
    </row>
    <row r="47" spans="1:21" x14ac:dyDescent="0.25">
      <c r="P47" s="117"/>
      <c r="Q47" s="117"/>
    </row>
    <row r="48" spans="1:21" x14ac:dyDescent="0.25">
      <c r="P48" s="117"/>
      <c r="Q48" s="117"/>
    </row>
    <row r="49" spans="16:17" x14ac:dyDescent="0.25">
      <c r="P49" s="117"/>
      <c r="Q49" s="117"/>
    </row>
    <row r="50" spans="16:17" x14ac:dyDescent="0.25">
      <c r="P50" s="117"/>
      <c r="Q50" s="117"/>
    </row>
    <row r="51" spans="16:17" x14ac:dyDescent="0.25">
      <c r="P51" s="117"/>
      <c r="Q51" s="117"/>
    </row>
    <row r="52" spans="16:17" x14ac:dyDescent="0.25">
      <c r="P52" s="117"/>
      <c r="Q52" s="117"/>
    </row>
    <row r="99" spans="1:1" x14ac:dyDescent="0.25">
      <c r="A99" s="823"/>
    </row>
    <row r="100" spans="1:1" x14ac:dyDescent="0.25">
      <c r="A100" s="823"/>
    </row>
    <row r="101" spans="1:1" x14ac:dyDescent="0.25">
      <c r="A101" s="823"/>
    </row>
    <row r="102" spans="1:1" x14ac:dyDescent="0.25">
      <c r="A102" s="823"/>
    </row>
    <row r="103" spans="1:1" x14ac:dyDescent="0.25">
      <c r="A103" s="823"/>
    </row>
    <row r="104" spans="1:1" x14ac:dyDescent="0.25">
      <c r="A104" s="823"/>
    </row>
    <row r="105" spans="1:1" x14ac:dyDescent="0.25">
      <c r="A105" s="823"/>
    </row>
    <row r="106" spans="1:1" x14ac:dyDescent="0.25">
      <c r="A106" s="823"/>
    </row>
    <row r="107" spans="1:1" x14ac:dyDescent="0.25">
      <c r="A107" s="823"/>
    </row>
    <row r="108" spans="1:1" x14ac:dyDescent="0.25">
      <c r="A108" s="823"/>
    </row>
    <row r="109" spans="1:1" x14ac:dyDescent="0.25">
      <c r="A109" s="823"/>
    </row>
    <row r="110" spans="1:1" x14ac:dyDescent="0.25">
      <c r="A110" s="823"/>
    </row>
    <row r="111" spans="1:1" x14ac:dyDescent="0.25">
      <c r="A111" s="823"/>
    </row>
    <row r="112" spans="1:1" x14ac:dyDescent="0.25">
      <c r="A112" s="823"/>
    </row>
    <row r="113" spans="1:1" x14ac:dyDescent="0.25">
      <c r="A113" s="823"/>
    </row>
    <row r="114" spans="1:1" x14ac:dyDescent="0.25">
      <c r="A114" s="823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/S8AiRYq4hXLiwKSXLaOzINHxYUxn6Bgy37zcOBDtVqbc7+iTcnW7b8eGllnEIx+NvdH5dtoOUo/P9CG49XPLg==" saltValue="JRoGqLajdWJLT+gmT24I1Q==" spinCount="100000" sheet="1" objects="1" scenarios="1"/>
  <mergeCells count="1">
    <mergeCell ref="A99:A140"/>
  </mergeCells>
  <phoneticPr fontId="52" type="noConversion"/>
  <hyperlinks>
    <hyperlink ref="N3" location="Form!A1" tooltip=" " display="Form!A1" xr:uid="{00000000-0004-0000-1000-000000000000}"/>
    <hyperlink ref="N4" location="Menu!A1" tooltip=" " display="Menu!A1" xr:uid="{00000000-0004-0000-1000-000001000000}"/>
    <hyperlink ref="N7" location="Acs!A1" tooltip=" " display="Acs!A1" xr:uid="{00000000-0004-0000-1000-000002000000}"/>
    <hyperlink ref="N8" location="SD!A1" tooltip=" " display="SD!A1" xr:uid="{00000000-0004-0000-1000-000003000000}"/>
    <hyperlink ref="N10" location="Sum!A1" tooltip=" " display="Sum!A1" xr:uid="{00000000-0004-0000-1000-000004000000}"/>
    <hyperlink ref="N11" location="Ord!A1" tooltip=" " display="Ord!A1" xr:uid="{00000000-0004-0000-1000-000005000000}"/>
    <hyperlink ref="N9" location="AL!A1" tooltip=" " display="AL!A1" xr:uid="{00000000-0004-0000-10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1">
    <tabColor theme="5" tint="0.39997558519241921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hidden="1" customWidth="1"/>
    <col min="15" max="15" width="3.816406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List!$B$55&amp;" C"</f>
        <v>Dřezový výsuv C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353"/>
      <c r="T3" s="261"/>
      <c r="U3" s="355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606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353"/>
      <c r="T4" s="261"/>
      <c r="U4" s="355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607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/>
      <c r="Q5" s="125"/>
      <c r="R5" s="125"/>
      <c r="S5" s="353"/>
      <c r="T5" s="261"/>
      <c r="U5" s="355"/>
    </row>
    <row r="6" spans="1:23" x14ac:dyDescent="0.25">
      <c r="A6" s="117"/>
      <c r="B6" s="117"/>
      <c r="C6" s="117"/>
      <c r="D6" s="117"/>
      <c r="E6" s="117"/>
      <c r="F6" s="117"/>
      <c r="G6" s="117"/>
      <c r="H6" s="607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125"/>
      <c r="Q6" s="125"/>
      <c r="R6" s="125"/>
      <c r="S6" s="353"/>
      <c r="T6" s="261"/>
      <c r="U6" s="355"/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606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Cen!A176</f>
        <v>Bočnice C free, 450mm, Orion šedá</v>
      </c>
      <c r="Q7" s="125" t="str">
        <f>Cen!B176</f>
        <v>780C4502S</v>
      </c>
      <c r="R7" s="125" t="str">
        <f>Cen!C176</f>
        <v>OG-M</v>
      </c>
      <c r="S7" s="257">
        <f>SUM(H21:H22)*2</f>
        <v>0</v>
      </c>
      <c r="T7" s="261">
        <f>Cen!F176</f>
        <v>971.33302000000003</v>
      </c>
      <c r="U7" s="258">
        <f>S7*T7</f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Cen!C181</f>
        <v>OG-M</v>
      </c>
      <c r="S8" s="257">
        <f>SUM(I21:I22)*2</f>
        <v>0</v>
      </c>
      <c r="T8" s="261">
        <f>Cen!F181</f>
        <v>978.39665000000002</v>
      </c>
      <c r="U8" s="258">
        <f>S8*T8</f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606" t="str">
        <f>List!$B$97&amp;":"</f>
        <v>cena kování:</v>
      </c>
      <c r="I9" s="120"/>
      <c r="J9" s="120"/>
      <c r="K9" s="116">
        <f>U56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Cen!C186</f>
        <v>OG-M</v>
      </c>
      <c r="S9" s="257">
        <f>SUM(J21:J22)*2</f>
        <v>0</v>
      </c>
      <c r="T9" s="261">
        <f>Cen!F186</f>
        <v>1034.8882699999999</v>
      </c>
      <c r="U9" s="258">
        <f>S9*T9</f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Cen!A191</f>
        <v>Bočnice C free, 600mm, Orion šedá</v>
      </c>
      <c r="Q10" s="125" t="str">
        <f>Cen!B191</f>
        <v>780C6002S</v>
      </c>
      <c r="R10" s="125" t="str">
        <f>Cen!C191</f>
        <v>OG-M</v>
      </c>
      <c r="S10" s="257">
        <f>SUM(K21:K22)*2</f>
        <v>0</v>
      </c>
      <c r="T10" s="261">
        <f>Cen!F191</f>
        <v>1123.16077</v>
      </c>
      <c r="U10" s="258">
        <f>S10*T10</f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Cen!A196</f>
        <v>Bočnice C free, 650mm, Orion šedá</v>
      </c>
      <c r="Q11" s="125" t="str">
        <f>Cen!B196</f>
        <v>780C6502S</v>
      </c>
      <c r="R11" s="125" t="str">
        <f>Cen!C196</f>
        <v>OG-M</v>
      </c>
      <c r="S11" s="257">
        <f>SUM(L21:L22)*2</f>
        <v>0</v>
      </c>
      <c r="T11" s="261">
        <f>Cen!F196</f>
        <v>1156.3666000000001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4"/>
      <c r="Q12" s="124"/>
      <c r="R12" s="124"/>
      <c r="S12" s="327"/>
      <c r="T12" s="393"/>
      <c r="U12" s="328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356" t="str">
        <f>Cen!A241</f>
        <v>Korpusové lišty BLUMOTION S, 270mm, 40kg</v>
      </c>
      <c r="Q13" s="356" t="str">
        <f>Cen!B241</f>
        <v>750.2701S</v>
      </c>
      <c r="R13" s="356" t="str">
        <f>Cen!C241</f>
        <v>ZN</v>
      </c>
      <c r="S13" s="357">
        <f>D21</f>
        <v>0</v>
      </c>
      <c r="T13" s="358">
        <f>Cen!F241</f>
        <v>695.93676999999991</v>
      </c>
      <c r="U13" s="358">
        <f t="shared" ref="U13:U24" si="0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356" t="str">
        <f>Cen!A242</f>
        <v>Korpusové lišty BLUMOTION S, 300mm, 40kg</v>
      </c>
      <c r="Q14" s="356" t="str">
        <f>Cen!B242</f>
        <v>750.3001S</v>
      </c>
      <c r="R14" s="356" t="str">
        <f>Cen!C242</f>
        <v>ZN</v>
      </c>
      <c r="S14" s="357">
        <f>E21</f>
        <v>0</v>
      </c>
      <c r="T14" s="358">
        <f>Cen!F242</f>
        <v>695.93676999999991</v>
      </c>
      <c r="U14" s="358">
        <f t="shared" si="0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356" t="str">
        <f>Cen!A243</f>
        <v>Korpusové lišty BLUMOTION S, 350mm, 40kg</v>
      </c>
      <c r="Q15" s="356" t="str">
        <f>Cen!B243</f>
        <v>750.3501S</v>
      </c>
      <c r="R15" s="356" t="str">
        <f>Cen!C243</f>
        <v>ZN</v>
      </c>
      <c r="S15" s="357">
        <f>F21</f>
        <v>0</v>
      </c>
      <c r="T15" s="358">
        <f>Cen!F243</f>
        <v>695.93676999999991</v>
      </c>
      <c r="U15" s="358">
        <f t="shared" si="0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356" t="str">
        <f>Cen!A244</f>
        <v>Korpusové lišty BLUMOTION S, 400mm, 40kg</v>
      </c>
      <c r="Q16" s="356" t="str">
        <f>Cen!B244</f>
        <v>750.4001S</v>
      </c>
      <c r="R16" s="356" t="str">
        <f>Cen!C244</f>
        <v>ZN</v>
      </c>
      <c r="S16" s="357">
        <f>G21</f>
        <v>0</v>
      </c>
      <c r="T16" s="358">
        <f>Cen!F244</f>
        <v>704.8</v>
      </c>
      <c r="U16" s="358">
        <f t="shared" si="0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H21</f>
        <v>0</v>
      </c>
      <c r="T17" s="256">
        <f>Cen!F245</f>
        <v>697.06186000000002</v>
      </c>
      <c r="U17" s="256">
        <f t="shared" si="0"/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H22</f>
        <v>0</v>
      </c>
      <c r="T18" s="256">
        <f>Cen!F246</f>
        <v>881.76589000000013</v>
      </c>
      <c r="U18" s="256">
        <f t="shared" si="0"/>
        <v>0</v>
      </c>
    </row>
    <row r="19" spans="1:21" ht="15.5" x14ac:dyDescent="0.25">
      <c r="A19" s="117"/>
      <c r="B19" s="307" t="s">
        <v>434</v>
      </c>
      <c r="C19" s="7"/>
      <c r="H19" s="285"/>
      <c r="I19" s="285"/>
      <c r="J19" s="285"/>
      <c r="K19" s="285"/>
      <c r="L19" s="285"/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255">
        <f>I21</f>
        <v>0</v>
      </c>
      <c r="T19" s="256">
        <f>Cen!F247</f>
        <v>705.71905000000004</v>
      </c>
      <c r="U19" s="256">
        <f t="shared" si="0"/>
        <v>0</v>
      </c>
    </row>
    <row r="20" spans="1:21" ht="14" x14ac:dyDescent="0.3">
      <c r="A20" s="117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301" t="s">
        <v>525</v>
      </c>
      <c r="J20" s="300" t="s">
        <v>526</v>
      </c>
      <c r="K20" s="302" t="s">
        <v>112</v>
      </c>
      <c r="L20" s="302" t="s">
        <v>770</v>
      </c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255">
        <f>I22</f>
        <v>0</v>
      </c>
      <c r="T20" s="256">
        <f>Cen!F248</f>
        <v>890.62918000000002</v>
      </c>
      <c r="U20" s="256">
        <f t="shared" si="0"/>
        <v>0</v>
      </c>
    </row>
    <row r="21" spans="1:21" ht="14.5" thickBot="1" x14ac:dyDescent="0.35">
      <c r="A21" s="117"/>
      <c r="B21" s="292" t="s">
        <v>452</v>
      </c>
      <c r="C21" s="293" t="s">
        <v>432</v>
      </c>
      <c r="D21" s="347"/>
      <c r="E21" s="347"/>
      <c r="F21" s="347"/>
      <c r="G21" s="347"/>
      <c r="H21" s="294"/>
      <c r="I21" s="294"/>
      <c r="J21" s="294"/>
      <c r="K21" s="295"/>
      <c r="L21" s="55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J21</f>
        <v>0</v>
      </c>
      <c r="T21" s="256">
        <f>Cen!F249</f>
        <v>769.83820000000003</v>
      </c>
      <c r="U21" s="256">
        <f t="shared" si="0"/>
        <v>0</v>
      </c>
    </row>
    <row r="22" spans="1:21" ht="14" x14ac:dyDescent="0.3">
      <c r="A22" s="117"/>
      <c r="B22" s="296" t="s">
        <v>453</v>
      </c>
      <c r="C22" s="306" t="s">
        <v>433</v>
      </c>
      <c r="D22" s="362"/>
      <c r="E22" s="362"/>
      <c r="F22" s="362"/>
      <c r="G22" s="362"/>
      <c r="H22" s="298"/>
      <c r="I22" s="298"/>
      <c r="J22" s="298"/>
      <c r="K22" s="299"/>
      <c r="L22" s="299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J22</f>
        <v>0</v>
      </c>
      <c r="T22" s="256">
        <f>Cen!F250</f>
        <v>937.94550000000004</v>
      </c>
      <c r="U22" s="256">
        <f t="shared" si="0"/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K21</f>
        <v>0</v>
      </c>
      <c r="T23" s="256">
        <f>Cen!F251</f>
        <v>865.24247000000003</v>
      </c>
      <c r="U23" s="256">
        <f t="shared" si="0"/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K22</f>
        <v>0</v>
      </c>
      <c r="T24" s="256">
        <f>Cen!F252</f>
        <v>1033.34979</v>
      </c>
      <c r="U24" s="256">
        <f t="shared" si="0"/>
        <v>0</v>
      </c>
    </row>
    <row r="25" spans="1:21" ht="15.5" x14ac:dyDescent="0.35">
      <c r="A25" s="117"/>
      <c r="B25" s="350"/>
      <c r="C25" s="254"/>
      <c r="D25" s="286"/>
      <c r="E25" s="286"/>
      <c r="F25" s="286"/>
      <c r="G25" s="286"/>
      <c r="H25" s="283"/>
      <c r="I25" s="283"/>
      <c r="J25" s="283"/>
      <c r="K25" s="283"/>
      <c r="L25" s="283"/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L22</f>
        <v>0</v>
      </c>
      <c r="T25" s="256">
        <f>Cen!F253</f>
        <v>1080.66551</v>
      </c>
      <c r="U25" s="256">
        <f>S25*T25</f>
        <v>0</v>
      </c>
    </row>
    <row r="26" spans="1:21" ht="15.5" x14ac:dyDescent="0.35">
      <c r="A26" s="117"/>
      <c r="B26" s="350"/>
      <c r="C26" s="340"/>
      <c r="D26" s="341"/>
      <c r="E26" s="341"/>
      <c r="F26" s="341"/>
      <c r="G26" s="341"/>
      <c r="H26" s="341"/>
      <c r="I26" s="290"/>
      <c r="J26" s="341"/>
      <c r="K26" s="341"/>
      <c r="L26" s="341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5.5" x14ac:dyDescent="0.35">
      <c r="A27" s="117"/>
      <c r="B27" s="383"/>
      <c r="C27" s="340"/>
      <c r="D27" s="290"/>
      <c r="E27" s="290"/>
      <c r="F27" s="290"/>
      <c r="G27" s="290"/>
      <c r="H27" s="290"/>
      <c r="I27" s="290"/>
      <c r="J27" s="290"/>
      <c r="K27" s="290"/>
      <c r="L27" s="290"/>
      <c r="M27" s="117"/>
      <c r="N27" s="117"/>
      <c r="O27" s="117"/>
      <c r="P27" s="356" t="str">
        <f>Cen!A257</f>
        <v>Korpusové lišty TIP-ON, 270mm, 40kg</v>
      </c>
      <c r="Q27" s="356" t="str">
        <f>Cen!B257</f>
        <v>750.2701T</v>
      </c>
      <c r="R27" s="356" t="str">
        <f>Cen!C257</f>
        <v>ZN</v>
      </c>
      <c r="S27" s="357">
        <f>D27</f>
        <v>0</v>
      </c>
      <c r="T27" s="358">
        <f>Cen!F257</f>
        <v>963.84325999999999</v>
      </c>
      <c r="U27" s="358">
        <f t="shared" ref="U27:U38" si="1">S27*T27</f>
        <v>0</v>
      </c>
    </row>
    <row r="28" spans="1:21" ht="14" x14ac:dyDescent="0.3">
      <c r="A28" s="117"/>
      <c r="B28" s="117" t="str">
        <f>"        "&amp;List!$B$172</f>
        <v xml:space="preserve">        Boční zásuvné prvky se načtou automaticky</v>
      </c>
      <c r="C28" s="311"/>
      <c r="D28" s="351"/>
      <c r="E28" s="351"/>
      <c r="F28" s="351"/>
      <c r="G28" s="351"/>
      <c r="H28" s="290"/>
      <c r="I28" s="290"/>
      <c r="J28" s="290"/>
      <c r="K28" s="290"/>
      <c r="L28" s="290"/>
      <c r="M28" s="117"/>
      <c r="N28" s="117"/>
      <c r="O28" s="117"/>
      <c r="P28" s="356" t="str">
        <f>Cen!A258</f>
        <v>Korpusové lišty TIP-ON, 300mm, 40kg</v>
      </c>
      <c r="Q28" s="356" t="str">
        <f>Cen!B258</f>
        <v>750.3001T</v>
      </c>
      <c r="R28" s="356" t="str">
        <f>Cen!C258</f>
        <v>ZN</v>
      </c>
      <c r="S28" s="357">
        <f>E27</f>
        <v>0</v>
      </c>
      <c r="T28" s="358">
        <f>Cen!F258</f>
        <v>963.84325999999999</v>
      </c>
      <c r="U28" s="358">
        <f t="shared" si="1"/>
        <v>0</v>
      </c>
    </row>
    <row r="29" spans="1:21" ht="13" x14ac:dyDescent="0.3">
      <c r="A29" s="117"/>
      <c r="B29" s="117" t="str">
        <f>"        "&amp;List!$B$176</f>
        <v xml:space="preserve">        Máte-li zásuvné prvky vlastní, upravte počty v objednávce</v>
      </c>
      <c r="C29" s="282"/>
      <c r="D29" s="117"/>
      <c r="E29" s="117"/>
      <c r="F29" s="117"/>
      <c r="G29" s="117"/>
      <c r="H29" s="283"/>
      <c r="I29" s="283"/>
      <c r="J29" s="283"/>
      <c r="K29" s="283"/>
      <c r="L29" s="283"/>
      <c r="M29" s="117"/>
      <c r="N29" s="117"/>
      <c r="O29" s="117"/>
      <c r="P29" s="356" t="str">
        <f>Cen!A259</f>
        <v>Korpusové lišty TIP-ON, 350mm, 40kg</v>
      </c>
      <c r="Q29" s="356" t="str">
        <f>Cen!B259</f>
        <v>750.3501T</v>
      </c>
      <c r="R29" s="356" t="str">
        <f>Cen!C259</f>
        <v>ZN</v>
      </c>
      <c r="S29" s="357">
        <f>F27</f>
        <v>0</v>
      </c>
      <c r="T29" s="358">
        <f>Cen!F259</f>
        <v>963.84325999999999</v>
      </c>
      <c r="U29" s="358">
        <f t="shared" si="1"/>
        <v>0</v>
      </c>
    </row>
    <row r="30" spans="1:21" ht="13" x14ac:dyDescent="0.3">
      <c r="A30" s="117"/>
      <c r="B30" s="282"/>
      <c r="C30" s="282"/>
      <c r="D30" s="117"/>
      <c r="E30" s="117"/>
      <c r="F30" s="117"/>
      <c r="G30" s="117"/>
      <c r="H30" s="142"/>
      <c r="I30" s="142"/>
      <c r="J30" s="117"/>
      <c r="K30" s="117"/>
      <c r="L30" s="117"/>
      <c r="M30" s="117"/>
      <c r="N30" s="117"/>
      <c r="O30" s="117"/>
      <c r="P30" s="356" t="str">
        <f>Cen!A260</f>
        <v>Korpusové lišty TIP-ON, 400mm, 40kg</v>
      </c>
      <c r="Q30" s="356" t="str">
        <f>Cen!B260</f>
        <v>750.4001T</v>
      </c>
      <c r="R30" s="356" t="str">
        <f>Cen!C260</f>
        <v>ZN</v>
      </c>
      <c r="S30" s="357">
        <f>G27</f>
        <v>0</v>
      </c>
      <c r="T30" s="358">
        <f>Cen!F260</f>
        <v>972.70714999999996</v>
      </c>
      <c r="U30" s="358">
        <f t="shared" si="1"/>
        <v>0</v>
      </c>
    </row>
    <row r="31" spans="1:21" ht="13" x14ac:dyDescent="0.3">
      <c r="A31" s="117"/>
      <c r="B31" s="282"/>
      <c r="C31" s="282"/>
      <c r="H31" s="284"/>
      <c r="I31" s="284"/>
      <c r="J31" s="284"/>
      <c r="K31" s="284"/>
      <c r="L31" s="284"/>
      <c r="M31" s="117"/>
      <c r="N31" s="117"/>
      <c r="O31" s="117"/>
      <c r="P31" s="356" t="str">
        <f>Cen!A261</f>
        <v>Korpusové lišty TIP-ON, 450mm, 40kg</v>
      </c>
      <c r="Q31" s="356" t="str">
        <f>Cen!B261</f>
        <v>750.4501T</v>
      </c>
      <c r="R31" s="356" t="str">
        <f>Cen!C261</f>
        <v>ZN</v>
      </c>
      <c r="S31" s="357">
        <f>H27</f>
        <v>0</v>
      </c>
      <c r="T31" s="358">
        <f>Cen!F261</f>
        <v>958.74321999999995</v>
      </c>
      <c r="U31" s="358">
        <f t="shared" si="1"/>
        <v>0</v>
      </c>
    </row>
    <row r="32" spans="1:21" ht="13" x14ac:dyDescent="0.3">
      <c r="A32" s="117"/>
      <c r="B32" s="282"/>
      <c r="C32" s="282"/>
      <c r="H32" s="285"/>
      <c r="I32" s="285"/>
      <c r="J32" s="285"/>
      <c r="K32" s="285"/>
      <c r="L32" s="285"/>
      <c r="M32" s="117"/>
      <c r="N32" s="117"/>
      <c r="O32" s="117"/>
      <c r="P32" s="356" t="str">
        <f>Cen!A262</f>
        <v>Korpusové lišty TIP-ON, 450mm, 70kg</v>
      </c>
      <c r="Q32" s="356" t="str">
        <f>Cen!B262</f>
        <v>753.4501T</v>
      </c>
      <c r="R32" s="356" t="str">
        <f>Cen!C262</f>
        <v>ZN</v>
      </c>
      <c r="S32" s="357">
        <f>H28</f>
        <v>0</v>
      </c>
      <c r="T32" s="358">
        <f>Cen!F262</f>
        <v>1142.8525999999999</v>
      </c>
      <c r="U32" s="358">
        <f t="shared" si="1"/>
        <v>0</v>
      </c>
    </row>
    <row r="33" spans="1:21" ht="15.5" x14ac:dyDescent="0.35">
      <c r="A33" s="117"/>
      <c r="B33" s="316"/>
      <c r="C33" s="282"/>
      <c r="H33" s="283"/>
      <c r="I33" s="283"/>
      <c r="J33" s="283"/>
      <c r="K33" s="283"/>
      <c r="L33" s="283"/>
      <c r="M33" s="117"/>
      <c r="P33" s="356" t="str">
        <f>Cen!A263</f>
        <v>Korpusové lišty TIP-ON, 500mm, 40kg</v>
      </c>
      <c r="Q33" s="356" t="str">
        <f>Cen!B263</f>
        <v>750.5001T</v>
      </c>
      <c r="R33" s="356" t="str">
        <f>Cen!C263</f>
        <v>ZN</v>
      </c>
      <c r="S33" s="357">
        <f>I27</f>
        <v>0</v>
      </c>
      <c r="T33" s="358">
        <f>Cen!F263</f>
        <v>967.39513999999997</v>
      </c>
      <c r="U33" s="358">
        <f t="shared" si="1"/>
        <v>0</v>
      </c>
    </row>
    <row r="34" spans="1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P34" s="356" t="str">
        <f>Cen!A264</f>
        <v>Korpusové lišty TIP-ON, 500mm, 70kg</v>
      </c>
      <c r="Q34" s="356" t="str">
        <f>Cen!B264</f>
        <v>753.5001T</v>
      </c>
      <c r="R34" s="356" t="str">
        <f>Cen!C264</f>
        <v>ZN</v>
      </c>
      <c r="S34" s="357">
        <f>I28</f>
        <v>0</v>
      </c>
      <c r="T34" s="358">
        <f>Cen!F264</f>
        <v>1151.7105200000001</v>
      </c>
      <c r="U34" s="358">
        <f t="shared" si="1"/>
        <v>0</v>
      </c>
    </row>
    <row r="35" spans="1:21" ht="14" x14ac:dyDescent="0.3">
      <c r="B35" s="343"/>
      <c r="C35" s="286"/>
      <c r="D35" s="344"/>
      <c r="E35" s="290"/>
      <c r="F35" s="290"/>
      <c r="G35" s="290"/>
      <c r="H35" s="290"/>
      <c r="I35" s="284"/>
      <c r="J35" s="284"/>
      <c r="K35" s="284"/>
      <c r="L35" s="284"/>
      <c r="P35" s="356" t="str">
        <f>Cen!A265</f>
        <v>Korpusové lišty TIP-ON, 550mm, 40kg</v>
      </c>
      <c r="Q35" s="356" t="str">
        <f>Cen!B265</f>
        <v>750.5501T</v>
      </c>
      <c r="R35" s="356" t="str">
        <f>Cen!C265</f>
        <v>ZN</v>
      </c>
      <c r="S35" s="357">
        <f>J27</f>
        <v>0</v>
      </c>
      <c r="T35" s="358">
        <f>Cen!F265</f>
        <v>1037.74467</v>
      </c>
      <c r="U35" s="358">
        <f t="shared" si="1"/>
        <v>0</v>
      </c>
    </row>
    <row r="36" spans="1:21" ht="14" x14ac:dyDescent="0.3">
      <c r="B36" s="343"/>
      <c r="C36" s="286"/>
      <c r="D36" s="344"/>
      <c r="E36" s="290"/>
      <c r="F36" s="290"/>
      <c r="G36" s="290"/>
      <c r="H36" s="290"/>
      <c r="I36" s="284"/>
      <c r="J36" s="284"/>
      <c r="K36" s="284"/>
      <c r="L36" s="284"/>
      <c r="P36" s="356" t="str">
        <f>Cen!A266</f>
        <v>Korpusové lišty TIP-ON, 550mm, 70kg</v>
      </c>
      <c r="Q36" s="356" t="str">
        <f>Cen!B266</f>
        <v>753.5501T</v>
      </c>
      <c r="R36" s="356" t="str">
        <f>Cen!C266</f>
        <v>ZN</v>
      </c>
      <c r="S36" s="357">
        <f>J28</f>
        <v>0</v>
      </c>
      <c r="T36" s="358">
        <f>Cen!F266</f>
        <v>1199.02684</v>
      </c>
      <c r="U36" s="358">
        <f t="shared" si="1"/>
        <v>0</v>
      </c>
    </row>
    <row r="37" spans="1:21" ht="14" x14ac:dyDescent="0.3">
      <c r="B37" s="310"/>
      <c r="C37" s="311"/>
      <c r="D37" s="290"/>
      <c r="E37" s="290"/>
      <c r="F37" s="290"/>
      <c r="G37" s="290"/>
      <c r="I37" s="285"/>
      <c r="J37" s="285"/>
      <c r="K37" s="285"/>
      <c r="L37" s="285"/>
      <c r="P37" s="359" t="str">
        <f>Cen!A267</f>
        <v>Korpusové lišty TIP-ON, 600mm, 40kg</v>
      </c>
      <c r="Q37" s="359" t="str">
        <f>Cen!B267</f>
        <v>750.6001T</v>
      </c>
      <c r="R37" s="359" t="str">
        <f>Cen!C267</f>
        <v>ZN</v>
      </c>
      <c r="S37" s="360">
        <f>K27</f>
        <v>0</v>
      </c>
      <c r="T37" s="361">
        <f>Cen!F267</f>
        <v>1133.14894</v>
      </c>
      <c r="U37" s="358">
        <f t="shared" si="1"/>
        <v>0</v>
      </c>
    </row>
    <row r="38" spans="1:21" ht="13" x14ac:dyDescent="0.3">
      <c r="B38" s="282"/>
      <c r="C38" s="282"/>
      <c r="H38" s="283"/>
      <c r="I38" s="283"/>
      <c r="J38" s="283"/>
      <c r="K38" s="283"/>
      <c r="L38" s="283"/>
      <c r="P38" s="359" t="str">
        <f>Cen!A268</f>
        <v>Korpusové lišty TIP-ON, 600mm, 70kg</v>
      </c>
      <c r="Q38" s="359" t="str">
        <f>Cen!B268</f>
        <v>753.6001T</v>
      </c>
      <c r="R38" s="359" t="str">
        <f>Cen!C268</f>
        <v>ZN</v>
      </c>
      <c r="S38" s="360">
        <f>K28</f>
        <v>0</v>
      </c>
      <c r="T38" s="361">
        <f>Cen!F268</f>
        <v>1294.4311299999999</v>
      </c>
      <c r="U38" s="361">
        <f t="shared" si="1"/>
        <v>0</v>
      </c>
    </row>
    <row r="39" spans="1:21" ht="13" x14ac:dyDescent="0.3">
      <c r="B39" s="282"/>
      <c r="C39" s="282"/>
      <c r="H39" s="286"/>
      <c r="I39" s="286"/>
      <c r="J39" s="286"/>
      <c r="K39" s="286"/>
      <c r="L39" s="286"/>
      <c r="P39" s="359" t="str">
        <f>Cen!A269</f>
        <v>Korpusové lišty TIP-ON, 650mm, 70kg</v>
      </c>
      <c r="Q39" s="359" t="str">
        <f>Cen!B269</f>
        <v>753.6501T</v>
      </c>
      <c r="R39" s="359" t="str">
        <f>Cen!C269</f>
        <v>ZN</v>
      </c>
      <c r="S39" s="360">
        <f>K29</f>
        <v>0</v>
      </c>
      <c r="T39" s="361">
        <f>Cen!F269</f>
        <v>1341.74685</v>
      </c>
      <c r="U39" s="361">
        <f>S39*T39</f>
        <v>0</v>
      </c>
    </row>
    <row r="40" spans="1:21" x14ac:dyDescent="0.25">
      <c r="P40" s="142"/>
      <c r="Q40" s="142"/>
      <c r="R40" s="142"/>
      <c r="S40" s="148"/>
      <c r="T40" s="152"/>
      <c r="U40" s="152"/>
    </row>
    <row r="41" spans="1:21" x14ac:dyDescent="0.25">
      <c r="P41" s="120" t="str">
        <f>Cen!A329</f>
        <v>Držáky zadní stěny C, Orion šedá</v>
      </c>
      <c r="Q41" s="120" t="str">
        <f>Cen!B329</f>
        <v>ZB7C000S</v>
      </c>
      <c r="R41" s="120" t="str">
        <f>Cen!C329</f>
        <v>OG-M</v>
      </c>
      <c r="S41" s="121">
        <f>SUM($S$3:$S$11)</f>
        <v>0</v>
      </c>
      <c r="T41" s="116">
        <f>Cen!$F329</f>
        <v>47.092230000000001</v>
      </c>
      <c r="U41" s="116">
        <f>S41*T41</f>
        <v>0</v>
      </c>
    </row>
    <row r="42" spans="1:21" x14ac:dyDescent="0.25">
      <c r="P42" s="120" t="str">
        <f>Cen!A353</f>
        <v>Čelní kování C, na vruty</v>
      </c>
      <c r="Q42" s="120" t="str">
        <f>Cen!B353</f>
        <v>ZF7C7002</v>
      </c>
      <c r="R42" s="120" t="str">
        <f>Cen!C353</f>
        <v>BL</v>
      </c>
      <c r="S42" s="121">
        <f>SUM($S$3:$S$11)*2</f>
        <v>0</v>
      </c>
      <c r="T42" s="116">
        <f>Cen!F353</f>
        <v>18.390879999999999</v>
      </c>
      <c r="U42" s="116">
        <f>S42*T42</f>
        <v>0</v>
      </c>
    </row>
    <row r="43" spans="1:21" x14ac:dyDescent="0.25">
      <c r="P43" s="117"/>
      <c r="Q43" s="117"/>
    </row>
    <row r="44" spans="1:21" x14ac:dyDescent="0.25">
      <c r="P44" s="117"/>
      <c r="Q44" s="117"/>
    </row>
    <row r="45" spans="1:21" x14ac:dyDescent="0.25">
      <c r="P45" s="117"/>
      <c r="Q45" s="117"/>
    </row>
    <row r="46" spans="1:21" x14ac:dyDescent="0.25">
      <c r="P46" s="117"/>
      <c r="Q46" s="117"/>
    </row>
    <row r="47" spans="1:21" x14ac:dyDescent="0.25">
      <c r="P47" s="608" t="str">
        <f>Cen!A232</f>
        <v>Boční zásuvné prvky, sklo, pro 350 mm</v>
      </c>
      <c r="Q47" s="608" t="str">
        <f>Cen!B232</f>
        <v>ZE7S238G</v>
      </c>
      <c r="R47" s="608" t="str">
        <f>Cen!C232</f>
        <v>KLA</v>
      </c>
      <c r="S47" s="609">
        <f>S5</f>
        <v>0</v>
      </c>
      <c r="T47" s="610">
        <f>Cen!F232</f>
        <v>625.33465999999999</v>
      </c>
      <c r="U47" s="611">
        <f>S47*T47</f>
        <v>0</v>
      </c>
    </row>
    <row r="48" spans="1:21" x14ac:dyDescent="0.25">
      <c r="P48" s="612" t="str">
        <f>Cen!A233</f>
        <v>Boční zásuvné prvky, sklo, pro 400 mm</v>
      </c>
      <c r="Q48" s="612" t="str">
        <f>Cen!B233</f>
        <v>ZE7S288G</v>
      </c>
      <c r="R48" s="612" t="str">
        <f>Cen!C233</f>
        <v>KLA</v>
      </c>
      <c r="S48" s="613">
        <f t="shared" ref="S48:S53" si="2">S6</f>
        <v>0</v>
      </c>
      <c r="T48" s="614">
        <f>Cen!F233</f>
        <v>660.74360999999999</v>
      </c>
      <c r="U48" s="615">
        <f t="shared" ref="U48:U53" si="3">S48*T48</f>
        <v>0</v>
      </c>
    </row>
    <row r="49" spans="16:21" x14ac:dyDescent="0.25">
      <c r="P49" s="125" t="str">
        <f>Cen!A234</f>
        <v>Boční zásuvné prvky, sklo, pro 450 mm</v>
      </c>
      <c r="Q49" s="125" t="str">
        <f>Cen!B234</f>
        <v>ZE7S338G</v>
      </c>
      <c r="R49" s="125" t="str">
        <f>Cen!C234</f>
        <v>KLA</v>
      </c>
      <c r="S49" s="257">
        <f t="shared" si="2"/>
        <v>0</v>
      </c>
      <c r="T49" s="261">
        <f>Cen!F234</f>
        <v>696.15254000000004</v>
      </c>
      <c r="U49" s="258">
        <f t="shared" si="3"/>
        <v>0</v>
      </c>
    </row>
    <row r="50" spans="16:21" x14ac:dyDescent="0.25">
      <c r="P50" s="125" t="str">
        <f>Cen!A235</f>
        <v>Boční zásuvné prvky, sklo, pro 500 mm</v>
      </c>
      <c r="Q50" s="125" t="str">
        <f>Cen!B235</f>
        <v>ZE7S388G</v>
      </c>
      <c r="R50" s="125" t="str">
        <f>Cen!C235</f>
        <v>KLA</v>
      </c>
      <c r="S50" s="257">
        <f t="shared" si="2"/>
        <v>0</v>
      </c>
      <c r="T50" s="261">
        <f>Cen!F235</f>
        <v>731.56149000000005</v>
      </c>
      <c r="U50" s="258">
        <f t="shared" si="3"/>
        <v>0</v>
      </c>
    </row>
    <row r="51" spans="16:21" x14ac:dyDescent="0.25">
      <c r="P51" s="125" t="str">
        <f>Cen!A236</f>
        <v>Boční zásuvné prvky, sklo, pro 550 mm</v>
      </c>
      <c r="Q51" s="125" t="str">
        <f>Cen!B236</f>
        <v>ZE7S438G</v>
      </c>
      <c r="R51" s="125" t="str">
        <f>Cen!C236</f>
        <v>KLA</v>
      </c>
      <c r="S51" s="257">
        <f t="shared" si="2"/>
        <v>0</v>
      </c>
      <c r="T51" s="261">
        <f>Cen!F236</f>
        <v>802.35667000000001</v>
      </c>
      <c r="U51" s="258">
        <f t="shared" si="3"/>
        <v>0</v>
      </c>
    </row>
    <row r="52" spans="16:21" x14ac:dyDescent="0.25">
      <c r="P52" s="125" t="str">
        <f>Cen!A237</f>
        <v>Boční zásuvné prvky, sklo, pro 600 mm</v>
      </c>
      <c r="Q52" s="125" t="str">
        <f>Cen!B237</f>
        <v>ZE7S488G</v>
      </c>
      <c r="R52" s="125" t="str">
        <f>Cen!C237</f>
        <v>KLA</v>
      </c>
      <c r="S52" s="257">
        <f t="shared" si="2"/>
        <v>0</v>
      </c>
      <c r="T52" s="261">
        <f>Cen!F237</f>
        <v>873.15183000000002</v>
      </c>
      <c r="U52" s="258">
        <f t="shared" si="3"/>
        <v>0</v>
      </c>
    </row>
    <row r="53" spans="16:21" ht="13" thickBot="1" x14ac:dyDescent="0.3">
      <c r="P53" s="595" t="str">
        <f>Cen!A238</f>
        <v>Boční zásuvné prvky, sklo, pro 650 mm</v>
      </c>
      <c r="Q53" s="595" t="str">
        <f>Cen!B238</f>
        <v>ZE7S538G</v>
      </c>
      <c r="R53" s="595" t="str">
        <f>Cen!C238</f>
        <v>KLA</v>
      </c>
      <c r="S53" s="596">
        <f t="shared" si="2"/>
        <v>0</v>
      </c>
      <c r="T53" s="597">
        <f>Cen!F238</f>
        <v>943.94700999999998</v>
      </c>
      <c r="U53" s="598">
        <f t="shared" si="3"/>
        <v>0</v>
      </c>
    </row>
    <row r="54" spans="16:21" x14ac:dyDescent="0.25">
      <c r="P54" s="117"/>
      <c r="Q54" s="117"/>
    </row>
    <row r="55" spans="16:21" x14ac:dyDescent="0.25">
      <c r="P55" s="117"/>
      <c r="Q55" s="117"/>
    </row>
    <row r="56" spans="16:21" x14ac:dyDescent="0.25">
      <c r="P56" s="117"/>
      <c r="Q56" s="117"/>
      <c r="S56" s="74" t="str">
        <f>List!$B$97</f>
        <v>cena kování</v>
      </c>
      <c r="U56" s="346">
        <f>SUM(U3:U53)</f>
        <v>0</v>
      </c>
    </row>
    <row r="57" spans="16:21" x14ac:dyDescent="0.25">
      <c r="P57" s="117"/>
      <c r="Q57" s="117"/>
    </row>
    <row r="58" spans="16:21" x14ac:dyDescent="0.25">
      <c r="P58" s="117"/>
      <c r="Q58" s="117"/>
    </row>
    <row r="59" spans="16:21" x14ac:dyDescent="0.25">
      <c r="P59" s="117"/>
      <c r="Q59" s="117"/>
    </row>
    <row r="60" spans="16:21" x14ac:dyDescent="0.25">
      <c r="P60" s="117"/>
      <c r="Q60" s="117"/>
    </row>
    <row r="61" spans="16:21" x14ac:dyDescent="0.25">
      <c r="P61" s="117"/>
      <c r="Q61" s="117"/>
    </row>
    <row r="62" spans="16:21" x14ac:dyDescent="0.25">
      <c r="P62" s="117"/>
      <c r="Q62" s="117"/>
    </row>
    <row r="63" spans="16:21" x14ac:dyDescent="0.25">
      <c r="P63" s="117"/>
      <c r="Q63" s="117"/>
    </row>
    <row r="64" spans="16:21" x14ac:dyDescent="0.25">
      <c r="P64" s="117"/>
      <c r="Q64" s="117"/>
    </row>
    <row r="99" spans="1:1" x14ac:dyDescent="0.25">
      <c r="A99" s="823"/>
    </row>
    <row r="100" spans="1:1" x14ac:dyDescent="0.25">
      <c r="A100" s="823"/>
    </row>
    <row r="101" spans="1:1" x14ac:dyDescent="0.25">
      <c r="A101" s="823"/>
    </row>
    <row r="102" spans="1:1" x14ac:dyDescent="0.25">
      <c r="A102" s="823"/>
    </row>
    <row r="103" spans="1:1" x14ac:dyDescent="0.25">
      <c r="A103" s="823"/>
    </row>
    <row r="104" spans="1:1" x14ac:dyDescent="0.25">
      <c r="A104" s="823"/>
    </row>
    <row r="105" spans="1:1" x14ac:dyDescent="0.25">
      <c r="A105" s="823"/>
    </row>
    <row r="106" spans="1:1" x14ac:dyDescent="0.25">
      <c r="A106" s="823"/>
    </row>
    <row r="107" spans="1:1" x14ac:dyDescent="0.25">
      <c r="A107" s="823"/>
    </row>
    <row r="108" spans="1:1" x14ac:dyDescent="0.25">
      <c r="A108" s="823"/>
    </row>
    <row r="109" spans="1:1" x14ac:dyDescent="0.25">
      <c r="A109" s="823"/>
    </row>
    <row r="110" spans="1:1" x14ac:dyDescent="0.25">
      <c r="A110" s="823"/>
    </row>
    <row r="111" spans="1:1" x14ac:dyDescent="0.25">
      <c r="A111" s="823"/>
    </row>
    <row r="112" spans="1:1" x14ac:dyDescent="0.25">
      <c r="A112" s="823"/>
    </row>
    <row r="113" spans="1:1" x14ac:dyDescent="0.25">
      <c r="A113" s="823"/>
    </row>
    <row r="114" spans="1:1" x14ac:dyDescent="0.25">
      <c r="A114" s="823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s5BnvZ2a/mpxlrUDk1VTuNf9Ks2f1d9rACe9n7HKXQYOW+mgPTZlPm+OryYhBj+kMKkyz6SPT+QECtUj1P6WWA==" saltValue="qP8lZ6eovoMhJupafwVmDg==" spinCount="100000" sheet="1" objects="1" scenarios="1"/>
  <mergeCells count="1">
    <mergeCell ref="A99:A140"/>
  </mergeCells>
  <hyperlinks>
    <hyperlink ref="N3" location="Form!A1" tooltip=" " display="Form!A1" xr:uid="{00000000-0004-0000-1100-000000000000}"/>
    <hyperlink ref="N4" location="Menu!A1" tooltip=" " display="Menu!A1" xr:uid="{00000000-0004-0000-1100-000001000000}"/>
    <hyperlink ref="N7" location="Acs!A1" tooltip=" " display="Acs!A1" xr:uid="{00000000-0004-0000-1100-000002000000}"/>
    <hyperlink ref="N8" location="SD!A1" tooltip=" " display="SD!A1" xr:uid="{00000000-0004-0000-1100-000003000000}"/>
    <hyperlink ref="N10" location="Sum!A1" tooltip=" " display="Sum!A1" xr:uid="{00000000-0004-0000-1100-000004000000}"/>
    <hyperlink ref="N11" location="Ord!A1" tooltip=" " display="Ord!A1" xr:uid="{00000000-0004-0000-1100-000005000000}"/>
    <hyperlink ref="N9" location="AL!A1" tooltip=" " display="AL!A1" xr:uid="{00000000-0004-0000-11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3">
    <tabColor theme="0" tint="-0.34998626667073579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hidden="1" customWidth="1"/>
    <col min="15" max="15" width="3.816406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List!$B$55&amp;" C/M"</f>
        <v>Dřezový výsuv C/M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389" t="str">
        <f>Cen!A36</f>
        <v>Bočnice M 300mm, Orion šedá</v>
      </c>
      <c r="Q3" s="389" t="str">
        <f>Cen!B36</f>
        <v>770M3002S</v>
      </c>
      <c r="R3" s="389" t="str">
        <f>Cen!C36</f>
        <v>OG-M</v>
      </c>
      <c r="S3" s="416">
        <f>SUM(H21:H22, H27:H28, H33:H34)</f>
        <v>0</v>
      </c>
      <c r="T3" s="417">
        <f>Cen!F36</f>
        <v>588.26232000000005</v>
      </c>
      <c r="U3" s="390">
        <f t="shared" ref="U3:U12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908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389" t="str">
        <f>Cen!A41</f>
        <v>Bočnice M 350mm, Orion šedá</v>
      </c>
      <c r="Q4" s="389" t="str">
        <f>Cen!B41</f>
        <v>770M3502S</v>
      </c>
      <c r="R4" s="389" t="str">
        <f>Cen!C41</f>
        <v>OG-M</v>
      </c>
      <c r="S4" s="416">
        <f>SUM(I21:I22, I27:I28, I33:I34)</f>
        <v>0</v>
      </c>
      <c r="T4" s="417">
        <f>Cen!F41</f>
        <v>588.26232000000005</v>
      </c>
      <c r="U4" s="390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389" t="str">
        <f>Cen!A46</f>
        <v>Bočnice M 400mm, Orion šedá</v>
      </c>
      <c r="Q5" s="389" t="str">
        <f>Cen!B46</f>
        <v>770M4002S</v>
      </c>
      <c r="R5" s="389" t="str">
        <f>Cen!C46</f>
        <v>OG-M</v>
      </c>
      <c r="S5" s="416">
        <f>SUM(J21:J22, J27:J28, J33:J34)</f>
        <v>0</v>
      </c>
      <c r="T5" s="417">
        <f>Cen!F46</f>
        <v>595.32592999999997</v>
      </c>
      <c r="U5" s="390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389" t="str">
        <f>Cen!A51</f>
        <v>Bočnice M 450mm, Orion šedá</v>
      </c>
      <c r="Q6" s="389" t="str">
        <f>Cen!B51</f>
        <v>770M4502S</v>
      </c>
      <c r="R6" s="389" t="str">
        <f>Cen!C51</f>
        <v>OG-M</v>
      </c>
      <c r="S6" s="416">
        <f>SUM(K21:K22, K27:K28, K33:K34)</f>
        <v>0</v>
      </c>
      <c r="T6" s="417">
        <f>Cen!F51</f>
        <v>588.37465999999995</v>
      </c>
      <c r="U6" s="390">
        <f>S6*T6</f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389" t="str">
        <f>Cen!A56</f>
        <v>Bočnice M 500mm, Orion šedá</v>
      </c>
      <c r="Q7" s="389" t="str">
        <f>Cen!B56</f>
        <v>770M5002S</v>
      </c>
      <c r="R7" s="389" t="str">
        <f>Cen!C56</f>
        <v>OG-M</v>
      </c>
      <c r="S7" s="416">
        <f>SUM(L21:L22, L27:L28, L33:L34)</f>
        <v>0</v>
      </c>
      <c r="T7" s="417">
        <f>Cen!F56</f>
        <v>595.274</v>
      </c>
      <c r="U7" s="390">
        <f>S7*T7</f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389"/>
      <c r="Q8" s="389"/>
      <c r="R8" s="389"/>
      <c r="S8" s="416"/>
      <c r="T8" s="417"/>
      <c r="U8" s="390"/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U71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Cen!A131</f>
        <v>Bočnice C pure, 450mm, Orion šedá</v>
      </c>
      <c r="Q9" s="125" t="str">
        <f>Cen!B131</f>
        <v>770C4502S</v>
      </c>
      <c r="R9" s="125" t="str">
        <f>Cen!C131</f>
        <v>OG-M</v>
      </c>
      <c r="S9" s="257">
        <f>SUM(H21:H22, H27:H28, H33:H34)</f>
        <v>0</v>
      </c>
      <c r="T9" s="261">
        <f>Cen!F131</f>
        <v>921.30178999999998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Cen!A136</f>
        <v>Bočnice C pure, 500mm, Orion šedá</v>
      </c>
      <c r="Q10" s="125" t="str">
        <f>Cen!B136</f>
        <v>770C5002S</v>
      </c>
      <c r="R10" s="125" t="str">
        <f>Cen!C136</f>
        <v>OG-M</v>
      </c>
      <c r="S10" s="257">
        <f>SUM(I21:I22, I27:I28, I33:I34)</f>
        <v>0</v>
      </c>
      <c r="T10" s="261">
        <f>Cen!F136</f>
        <v>932.34378000000004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Cen!A141</f>
        <v>Bočnice C pure, 550mm, Orion šedá</v>
      </c>
      <c r="Q11" s="125" t="str">
        <f>Cen!B141</f>
        <v>770C5502S</v>
      </c>
      <c r="R11" s="125" t="str">
        <f>Cen!C141</f>
        <v>OG-M</v>
      </c>
      <c r="S11" s="257">
        <f>SUM(J21:J22, J27:J28, J33:J34)</f>
        <v>0</v>
      </c>
      <c r="T11" s="261">
        <f>Cen!F141</f>
        <v>1011.04004</v>
      </c>
      <c r="U11" s="258">
        <f t="shared" si="0"/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5" t="str">
        <f>Cen!A146</f>
        <v>Bočnice C pure, 600mm, Orion šedá</v>
      </c>
      <c r="Q12" s="125" t="str">
        <f>Cen!B146</f>
        <v>770C6002S</v>
      </c>
      <c r="R12" s="125" t="str">
        <f>Cen!C146</f>
        <v>OG-M</v>
      </c>
      <c r="S12" s="257">
        <f>SUM(K21:K22, K27:K28, K33:K34)</f>
        <v>0</v>
      </c>
      <c r="T12" s="261">
        <f>Cen!F146</f>
        <v>1127.97047</v>
      </c>
      <c r="U12" s="258">
        <f t="shared" si="0"/>
        <v>0</v>
      </c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125" t="str">
        <f>Cen!A151</f>
        <v>Bočnice C pure, 650mm, Orion šedá</v>
      </c>
      <c r="Q13" s="125" t="str">
        <f>Cen!B151</f>
        <v>770C6502S</v>
      </c>
      <c r="R13" s="125" t="str">
        <f>Cen!C151</f>
        <v>OG-M</v>
      </c>
      <c r="S13" s="257">
        <f>SUM(L21:L22, L27:L28, L33:L34)</f>
        <v>0</v>
      </c>
      <c r="T13" s="261">
        <f>Cen!F151</f>
        <v>1167.5130999999999</v>
      </c>
      <c r="U13" s="258">
        <f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124"/>
      <c r="Q14" s="124"/>
      <c r="R14" s="124"/>
      <c r="S14" s="327"/>
      <c r="T14" s="393"/>
      <c r="U14" s="328"/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356" t="str">
        <f>Cen!A243</f>
        <v>Korpusové lišty BLUMOTION S, 350mm, 40kg</v>
      </c>
      <c r="Q15" s="356" t="str">
        <f>Cen!B243</f>
        <v>750.3501S</v>
      </c>
      <c r="R15" s="356" t="str">
        <f>Cen!C243</f>
        <v>ZN</v>
      </c>
      <c r="S15" s="357"/>
      <c r="T15" s="358">
        <f>Cen!F243</f>
        <v>695.93676999999991</v>
      </c>
      <c r="U15" s="358">
        <f t="shared" ref="U15:U24" si="1">S15*T15</f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356" t="str">
        <f>Cen!A244</f>
        <v>Korpusové lišty BLUMOTION S, 400mm, 40kg</v>
      </c>
      <c r="Q16" s="356" t="str">
        <f>Cen!B244</f>
        <v>750.4001S</v>
      </c>
      <c r="R16" s="356" t="str">
        <f>Cen!C244</f>
        <v>ZN</v>
      </c>
      <c r="S16" s="357"/>
      <c r="T16" s="358">
        <f>Cen!F244</f>
        <v>704.8</v>
      </c>
      <c r="U16" s="358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SUM(H$21, H$33)</f>
        <v>0</v>
      </c>
      <c r="T17" s="256">
        <f>Cen!F245</f>
        <v>697.06186000000002</v>
      </c>
      <c r="U17" s="256">
        <f t="shared" si="1"/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SUM(H$22, H$34)</f>
        <v>0</v>
      </c>
      <c r="T18" s="256">
        <f>Cen!F246</f>
        <v>881.76589000000013</v>
      </c>
      <c r="U18" s="256">
        <f t="shared" si="1"/>
        <v>0</v>
      </c>
    </row>
    <row r="19" spans="1:21" ht="15.5" x14ac:dyDescent="0.3">
      <c r="A19" s="117"/>
      <c r="B19" s="307" t="s">
        <v>434</v>
      </c>
      <c r="C19" s="7"/>
      <c r="H19" s="285"/>
      <c r="I19" s="285"/>
      <c r="J19" s="285"/>
      <c r="K19" s="285"/>
      <c r="L19" s="285"/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SUM(I$21, I$33)</f>
        <v>0</v>
      </c>
      <c r="T19" s="256">
        <f>Cen!F247</f>
        <v>705.71905000000004</v>
      </c>
      <c r="U19" s="256">
        <f t="shared" si="1"/>
        <v>0</v>
      </c>
    </row>
    <row r="20" spans="1:21" ht="14" x14ac:dyDescent="0.3">
      <c r="A20" s="117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301" t="s">
        <v>525</v>
      </c>
      <c r="J20" s="300" t="s">
        <v>526</v>
      </c>
      <c r="K20" s="302" t="s">
        <v>112</v>
      </c>
      <c r="L20" s="302" t="s">
        <v>770</v>
      </c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SUM(I$22, I$34)</f>
        <v>0</v>
      </c>
      <c r="T20" s="256">
        <f>Cen!F248</f>
        <v>890.62918000000002</v>
      </c>
      <c r="U20" s="256">
        <f t="shared" si="1"/>
        <v>0</v>
      </c>
    </row>
    <row r="21" spans="1:21" ht="14.5" thickBot="1" x14ac:dyDescent="0.35">
      <c r="A21" s="117"/>
      <c r="B21" s="292" t="s">
        <v>909</v>
      </c>
      <c r="C21" s="293" t="s">
        <v>432</v>
      </c>
      <c r="D21" s="347"/>
      <c r="E21" s="347"/>
      <c r="F21" s="347"/>
      <c r="G21" s="347"/>
      <c r="H21" s="294"/>
      <c r="I21" s="294"/>
      <c r="J21" s="294"/>
      <c r="K21" s="295"/>
      <c r="L21" s="55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SUM(J$21, J$33)</f>
        <v>0</v>
      </c>
      <c r="T21" s="256">
        <f>Cen!F249</f>
        <v>769.83820000000003</v>
      </c>
      <c r="U21" s="256">
        <f t="shared" si="1"/>
        <v>0</v>
      </c>
    </row>
    <row r="22" spans="1:21" ht="14" x14ac:dyDescent="0.3">
      <c r="A22" s="117"/>
      <c r="B22" s="296" t="s">
        <v>909</v>
      </c>
      <c r="C22" s="306" t="s">
        <v>433</v>
      </c>
      <c r="D22" s="362"/>
      <c r="E22" s="362"/>
      <c r="F22" s="362"/>
      <c r="G22" s="362"/>
      <c r="H22" s="298"/>
      <c r="I22" s="298"/>
      <c r="J22" s="298"/>
      <c r="K22" s="299"/>
      <c r="L22" s="299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SUM(J$22, J$34)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SUM(K$21, K$33)</f>
        <v>0</v>
      </c>
      <c r="T23" s="256">
        <f>Cen!F251</f>
        <v>865.24247000000003</v>
      </c>
      <c r="U23" s="256">
        <f t="shared" si="1"/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SUM(K$22, K$34)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 t="s">
        <v>228</v>
      </c>
      <c r="C25" s="304"/>
      <c r="H25" s="283"/>
      <c r="I25" s="283"/>
      <c r="J25" s="283"/>
      <c r="K25" s="283"/>
      <c r="L25" s="283"/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SUM(L$22, L$34)</f>
        <v>0</v>
      </c>
      <c r="T25" s="256">
        <f>Cen!F253</f>
        <v>1080.66551</v>
      </c>
      <c r="U25" s="256">
        <f>S25*T25</f>
        <v>0</v>
      </c>
    </row>
    <row r="26" spans="1:21" ht="15.5" x14ac:dyDescent="0.35">
      <c r="A26" s="117"/>
      <c r="B26" s="308"/>
      <c r="C26" s="315" t="str">
        <f>List!$B$118&amp;":"</f>
        <v>Jmenovitá délka:</v>
      </c>
      <c r="D26" s="303"/>
      <c r="E26" s="300"/>
      <c r="F26" s="300"/>
      <c r="G26" s="300"/>
      <c r="H26" s="300" t="s">
        <v>111</v>
      </c>
      <c r="I26" s="301" t="s">
        <v>525</v>
      </c>
      <c r="J26" s="300" t="s">
        <v>526</v>
      </c>
      <c r="K26" s="302" t="s">
        <v>112</v>
      </c>
      <c r="L26" s="302" t="s">
        <v>770</v>
      </c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.5" thickBot="1" x14ac:dyDescent="0.35">
      <c r="A27" s="117"/>
      <c r="B27" s="292" t="s">
        <v>673</v>
      </c>
      <c r="C27" s="293" t="s">
        <v>432</v>
      </c>
      <c r="D27" s="347"/>
      <c r="E27" s="347"/>
      <c r="F27" s="347"/>
      <c r="G27" s="347"/>
      <c r="H27" s="294"/>
      <c r="I27" s="294"/>
      <c r="J27" s="294"/>
      <c r="K27" s="295"/>
      <c r="L27" s="559"/>
      <c r="M27" s="117"/>
      <c r="N27" s="117"/>
      <c r="O27" s="117"/>
      <c r="P27" s="356" t="str">
        <f>Cen!A259</f>
        <v>Korpusové lišty TIP-ON, 350mm, 40kg</v>
      </c>
      <c r="Q27" s="356" t="str">
        <f>Cen!B259</f>
        <v>750.3501T</v>
      </c>
      <c r="R27" s="356" t="str">
        <f>Cen!C259</f>
        <v>ZN</v>
      </c>
      <c r="S27" s="357"/>
      <c r="T27" s="358">
        <f>Cen!F259</f>
        <v>963.84325999999999</v>
      </c>
      <c r="U27" s="358">
        <f t="shared" ref="U27:U36" si="2">S27*T27</f>
        <v>0</v>
      </c>
    </row>
    <row r="28" spans="1:21" ht="14" x14ac:dyDescent="0.3">
      <c r="A28" s="117"/>
      <c r="B28" s="291" t="s">
        <v>674</v>
      </c>
      <c r="C28" s="305" t="s">
        <v>433</v>
      </c>
      <c r="D28" s="362"/>
      <c r="E28" s="362"/>
      <c r="F28" s="362"/>
      <c r="G28" s="362"/>
      <c r="H28" s="298"/>
      <c r="I28" s="298"/>
      <c r="J28" s="298"/>
      <c r="K28" s="299"/>
      <c r="L28" s="299"/>
      <c r="M28" s="117"/>
      <c r="N28" s="117"/>
      <c r="O28" s="117"/>
      <c r="P28" s="356" t="str">
        <f>Cen!A260</f>
        <v>Korpusové lišty TIP-ON, 400mm, 40kg</v>
      </c>
      <c r="Q28" s="356" t="str">
        <f>Cen!B260</f>
        <v>750.4001T</v>
      </c>
      <c r="R28" s="356" t="str">
        <f>Cen!C260</f>
        <v>ZN</v>
      </c>
      <c r="S28" s="357"/>
      <c r="T28" s="358">
        <f>Cen!F260</f>
        <v>972.70714999999996</v>
      </c>
      <c r="U28" s="358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283"/>
      <c r="I29" s="283"/>
      <c r="J29" s="283"/>
      <c r="K29" s="283"/>
      <c r="L29" s="283"/>
      <c r="M29" s="117"/>
      <c r="N29" s="117"/>
      <c r="O29" s="117"/>
      <c r="P29" s="205" t="str">
        <f>Cen!A261</f>
        <v>Korpusové lišty TIP-ON, 450mm, 40kg</v>
      </c>
      <c r="Q29" s="205" t="str">
        <f>Cen!B261</f>
        <v>750.4501T</v>
      </c>
      <c r="R29" s="205" t="str">
        <f>Cen!C261</f>
        <v>ZN</v>
      </c>
      <c r="S29" s="255">
        <f>H27</f>
        <v>0</v>
      </c>
      <c r="T29" s="256">
        <f>Cen!F261</f>
        <v>958.74321999999995</v>
      </c>
      <c r="U29" s="256">
        <f t="shared" si="2"/>
        <v>0</v>
      </c>
    </row>
    <row r="30" spans="1:21" ht="13" x14ac:dyDescent="0.3">
      <c r="A30" s="117"/>
      <c r="B30" s="282"/>
      <c r="C30" s="282"/>
      <c r="D30" s="117"/>
      <c r="E30" s="117"/>
      <c r="F30" s="117"/>
      <c r="G30" s="117"/>
      <c r="H30" s="142"/>
      <c r="I30" s="142"/>
      <c r="J30" s="117"/>
      <c r="K30" s="117"/>
      <c r="L30" s="117"/>
      <c r="M30" s="117"/>
      <c r="N30" s="117"/>
      <c r="O30" s="117"/>
      <c r="P30" s="205" t="str">
        <f>Cen!A262</f>
        <v>Korpusové lišty TIP-ON, 450mm, 70kg</v>
      </c>
      <c r="Q30" s="205" t="str">
        <f>Cen!B262</f>
        <v>753.4501T</v>
      </c>
      <c r="R30" s="205" t="str">
        <f>Cen!C262</f>
        <v>ZN</v>
      </c>
      <c r="S30" s="255">
        <f>H28</f>
        <v>0</v>
      </c>
      <c r="T30" s="256">
        <f>Cen!F262</f>
        <v>1142.8525999999999</v>
      </c>
      <c r="U30" s="256">
        <f t="shared" si="2"/>
        <v>0</v>
      </c>
    </row>
    <row r="31" spans="1:21" ht="16" thickBot="1" x14ac:dyDescent="0.4">
      <c r="A31" s="117"/>
      <c r="B31" s="308" t="s">
        <v>940</v>
      </c>
      <c r="C31" s="304"/>
      <c r="H31" s="283"/>
      <c r="I31" s="283"/>
      <c r="J31" s="283"/>
      <c r="K31" s="283"/>
      <c r="L31" s="283"/>
      <c r="M31" s="175"/>
      <c r="N31" s="253"/>
      <c r="O31" s="117"/>
      <c r="P31" s="205" t="str">
        <f>Cen!A263</f>
        <v>Korpusové lišty TIP-ON, 500mm, 40kg</v>
      </c>
      <c r="Q31" s="205" t="str">
        <f>Cen!B263</f>
        <v>750.5001T</v>
      </c>
      <c r="R31" s="205" t="str">
        <f>Cen!C263</f>
        <v>ZN</v>
      </c>
      <c r="S31" s="337">
        <f>I27</f>
        <v>0</v>
      </c>
      <c r="T31" s="256">
        <f>Cen!F263</f>
        <v>967.39513999999997</v>
      </c>
      <c r="U31" s="256">
        <f t="shared" si="2"/>
        <v>0</v>
      </c>
    </row>
    <row r="32" spans="1:21" ht="15.5" x14ac:dyDescent="0.35">
      <c r="A32" s="117"/>
      <c r="B32" s="308"/>
      <c r="C32" s="315" t="str">
        <f>List!$B$118&amp;":"</f>
        <v>Jmenovitá délka:</v>
      </c>
      <c r="D32" s="303"/>
      <c r="E32" s="300"/>
      <c r="F32" s="300"/>
      <c r="G32" s="300"/>
      <c r="H32" s="300" t="s">
        <v>111</v>
      </c>
      <c r="I32" s="301" t="s">
        <v>525</v>
      </c>
      <c r="J32" s="300" t="s">
        <v>526</v>
      </c>
      <c r="K32" s="302" t="s">
        <v>112</v>
      </c>
      <c r="L32" s="302" t="s">
        <v>770</v>
      </c>
      <c r="M32" s="175"/>
      <c r="N32" s="150" t="str">
        <f>" "&amp;List!$B$303</f>
        <v xml:space="preserve"> Výběr sady jednotek</v>
      </c>
      <c r="O32" s="117"/>
      <c r="P32" s="205" t="str">
        <f>Cen!A264</f>
        <v>Korpusové lišty TIP-ON, 500mm, 70kg</v>
      </c>
      <c r="Q32" s="205" t="str">
        <f>Cen!B264</f>
        <v>753.5001T</v>
      </c>
      <c r="R32" s="205" t="str">
        <f>Cen!C264</f>
        <v>ZN</v>
      </c>
      <c r="S32" s="337">
        <f>I28</f>
        <v>0</v>
      </c>
      <c r="T32" s="256">
        <f>Cen!F264</f>
        <v>1151.7105200000001</v>
      </c>
      <c r="U32" s="256">
        <f t="shared" si="2"/>
        <v>0</v>
      </c>
    </row>
    <row r="33" spans="1:21" ht="14.5" thickBot="1" x14ac:dyDescent="0.35">
      <c r="A33" s="117"/>
      <c r="B33" s="292" t="s">
        <v>941</v>
      </c>
      <c r="C33" s="293" t="s">
        <v>432</v>
      </c>
      <c r="D33" s="347"/>
      <c r="E33" s="347"/>
      <c r="F33" s="347"/>
      <c r="G33" s="347"/>
      <c r="H33" s="294"/>
      <c r="I33" s="294"/>
      <c r="J33" s="294"/>
      <c r="K33" s="295"/>
      <c r="L33" s="559"/>
      <c r="M33" s="117"/>
      <c r="N33" s="117"/>
      <c r="P33" s="205" t="str">
        <f>Cen!A265</f>
        <v>Korpusové lišty TIP-ON, 550mm, 40kg</v>
      </c>
      <c r="Q33" s="205" t="str">
        <f>Cen!B265</f>
        <v>750.5501T</v>
      </c>
      <c r="R33" s="205" t="str">
        <f>Cen!C265</f>
        <v>ZN</v>
      </c>
      <c r="S33" s="255">
        <f>J27</f>
        <v>0</v>
      </c>
      <c r="T33" s="256">
        <f>Cen!F265</f>
        <v>1037.74467</v>
      </c>
      <c r="U33" s="256">
        <f t="shared" si="2"/>
        <v>0</v>
      </c>
    </row>
    <row r="34" spans="1:21" ht="14" x14ac:dyDescent="0.3">
      <c r="B34" s="291" t="s">
        <v>942</v>
      </c>
      <c r="C34" s="305" t="s">
        <v>433</v>
      </c>
      <c r="D34" s="362"/>
      <c r="E34" s="362"/>
      <c r="F34" s="362"/>
      <c r="G34" s="362"/>
      <c r="H34" s="298"/>
      <c r="I34" s="298"/>
      <c r="J34" s="298"/>
      <c r="K34" s="299"/>
      <c r="L34" s="299"/>
      <c r="M34" s="117"/>
      <c r="N34" s="117"/>
      <c r="P34" s="205" t="str">
        <f>Cen!A266</f>
        <v>Korpusové lišty TIP-ON, 550mm, 70kg</v>
      </c>
      <c r="Q34" s="205" t="str">
        <f>Cen!B266</f>
        <v>753.5501T</v>
      </c>
      <c r="R34" s="205" t="str">
        <f>Cen!C266</f>
        <v>ZN</v>
      </c>
      <c r="S34" s="255">
        <f>J28</f>
        <v>0</v>
      </c>
      <c r="T34" s="256">
        <f>Cen!F266</f>
        <v>1199.02684</v>
      </c>
      <c r="U34" s="256">
        <f t="shared" si="2"/>
        <v>0</v>
      </c>
    </row>
    <row r="35" spans="1:21" ht="15.5" x14ac:dyDescent="0.3">
      <c r="B35" s="339"/>
      <c r="C35" s="286"/>
      <c r="D35" s="340"/>
      <c r="E35" s="341"/>
      <c r="F35" s="342"/>
      <c r="G35" s="341"/>
      <c r="H35" s="341"/>
      <c r="I35" s="286"/>
      <c r="J35" s="286"/>
      <c r="K35" s="286"/>
      <c r="L35" s="286"/>
      <c r="M35" s="117"/>
      <c r="N35" s="117"/>
      <c r="P35" s="205" t="str">
        <f>Cen!A267</f>
        <v>Korpusové lišty TIP-ON, 600mm, 40kg</v>
      </c>
      <c r="Q35" s="205" t="str">
        <f>Cen!B267</f>
        <v>750.6001T</v>
      </c>
      <c r="R35" s="205" t="str">
        <f>Cen!C267</f>
        <v>ZN</v>
      </c>
      <c r="S35" s="255">
        <f>K27</f>
        <v>0</v>
      </c>
      <c r="T35" s="256">
        <f>Cen!F267</f>
        <v>1133.14894</v>
      </c>
      <c r="U35" s="256">
        <f t="shared" si="2"/>
        <v>0</v>
      </c>
    </row>
    <row r="36" spans="1:21" ht="13" x14ac:dyDescent="0.3">
      <c r="C36" s="175"/>
      <c r="D36" s="649" t="str">
        <f>List!B312</f>
        <v>Sada jednotek TIP-ON BLUMOTION</v>
      </c>
      <c r="E36" s="175"/>
      <c r="F36" s="175"/>
      <c r="G36" s="175"/>
      <c r="H36" s="175"/>
      <c r="I36" s="723"/>
      <c r="J36" s="723"/>
      <c r="K36" s="723"/>
      <c r="L36" s="723"/>
      <c r="M36" s="117"/>
      <c r="N36" s="117"/>
      <c r="P36" s="205" t="str">
        <f>Cen!A268</f>
        <v>Korpusové lišty TIP-ON, 600mm, 70kg</v>
      </c>
      <c r="Q36" s="205" t="str">
        <f>Cen!B268</f>
        <v>753.6001T</v>
      </c>
      <c r="R36" s="205" t="str">
        <f>Cen!C268</f>
        <v>ZN</v>
      </c>
      <c r="S36" s="255">
        <f>K28</f>
        <v>0</v>
      </c>
      <c r="T36" s="256">
        <f>Cen!F268</f>
        <v>1294.4311299999999</v>
      </c>
      <c r="U36" s="256">
        <f t="shared" si="2"/>
        <v>0</v>
      </c>
    </row>
    <row r="37" spans="1:21" ht="14" x14ac:dyDescent="0.3">
      <c r="B37" s="286"/>
      <c r="C37" s="286"/>
      <c r="D37" s="300"/>
      <c r="E37" s="300"/>
      <c r="F37" s="300" t="s">
        <v>1421</v>
      </c>
      <c r="G37" s="300" t="s">
        <v>948</v>
      </c>
      <c r="H37" s="302"/>
      <c r="I37" s="286"/>
      <c r="J37" s="723"/>
      <c r="K37" s="723"/>
      <c r="L37" s="723"/>
      <c r="M37" s="117"/>
      <c r="P37" s="205" t="str">
        <f>Cen!A269</f>
        <v>Korpusové lišty TIP-ON, 650mm, 70kg</v>
      </c>
      <c r="Q37" s="205" t="str">
        <f>Cen!B269</f>
        <v>753.6501T</v>
      </c>
      <c r="R37" s="205" t="str">
        <f>Cen!C269</f>
        <v>ZN</v>
      </c>
      <c r="S37" s="255">
        <f>L28</f>
        <v>0</v>
      </c>
      <c r="T37" s="256">
        <f>Cen!F269</f>
        <v>1341.74685</v>
      </c>
      <c r="U37" s="256">
        <f>S37*T37</f>
        <v>0</v>
      </c>
    </row>
    <row r="38" spans="1:21" ht="14.5" thickBot="1" x14ac:dyDescent="0.35">
      <c r="B38" s="175"/>
      <c r="C38" s="286"/>
      <c r="D38" s="347"/>
      <c r="E38" s="347"/>
      <c r="F38" s="294"/>
      <c r="G38" s="294"/>
      <c r="H38" s="347"/>
      <c r="I38" s="652" t="str">
        <f>IF(SUM(F33:K33,H34:L34)=SUM(F38:H38)," ",P88)</f>
        <v xml:space="preserve"> </v>
      </c>
      <c r="M38" s="117"/>
      <c r="P38" s="142"/>
      <c r="Q38" s="142"/>
      <c r="R38" s="142"/>
      <c r="S38" s="148"/>
      <c r="T38" s="152"/>
      <c r="U38" s="152"/>
    </row>
    <row r="39" spans="1:21" ht="13" x14ac:dyDescent="0.3">
      <c r="B39" s="282"/>
      <c r="C39" s="282"/>
      <c r="H39" s="286"/>
      <c r="I39" s="286"/>
      <c r="J39" s="286"/>
      <c r="K39" s="286"/>
      <c r="L39" s="286"/>
      <c r="P39" s="142"/>
      <c r="Q39" s="142"/>
      <c r="R39" s="142"/>
      <c r="S39" s="148"/>
      <c r="T39" s="152"/>
      <c r="U39" s="152"/>
    </row>
    <row r="40" spans="1:21" x14ac:dyDescent="0.25">
      <c r="D40" s="725" t="str">
        <f>"       ** "&amp;List!$B$325&amp;"!"</f>
        <v xml:space="preserve">       ** Jednotky L1 nelze kombinovat s lištami se zvýšenou nosností (70 kg)!</v>
      </c>
      <c r="P40" s="142"/>
      <c r="Q40" s="142"/>
      <c r="R40" s="142"/>
      <c r="S40" s="148"/>
      <c r="T40" s="152"/>
      <c r="U40" s="152"/>
    </row>
    <row r="41" spans="1:21" x14ac:dyDescent="0.25">
      <c r="P41" s="356" t="str">
        <f>Cen!A273</f>
        <v>Korpusové lišty TIP-ON BLUMOTION, 270mm, 40kg</v>
      </c>
      <c r="Q41" s="356" t="str">
        <f>Cen!B273</f>
        <v>750.2700M</v>
      </c>
      <c r="R41" s="356" t="str">
        <f>Cen!C273</f>
        <v>ZN</v>
      </c>
      <c r="S41" s="357"/>
      <c r="T41" s="358">
        <f>Cen!F273</f>
        <v>0</v>
      </c>
      <c r="U41" s="358">
        <f>S41*T41</f>
        <v>0</v>
      </c>
    </row>
    <row r="42" spans="1:21" x14ac:dyDescent="0.25">
      <c r="D42" s="725" t="str">
        <f>"       "&amp;List!$B$313</f>
        <v xml:space="preserve">       Synchronizace bude přidána automaticky. </v>
      </c>
      <c r="P42" s="356" t="str">
        <f>Cen!A274</f>
        <v>Korpusové lišty TIP-ON BLUMOTION, 300mm, 40kg</v>
      </c>
      <c r="Q42" s="356" t="str">
        <f>Cen!B274</f>
        <v>750.3001M</v>
      </c>
      <c r="R42" s="356" t="str">
        <f>Cen!C274</f>
        <v>ZN</v>
      </c>
      <c r="S42" s="357"/>
      <c r="T42" s="358">
        <f>Cen!F274</f>
        <v>695.93676999999991</v>
      </c>
      <c r="U42" s="358">
        <f t="shared" ref="U42:U59" si="3">S42*T42</f>
        <v>0</v>
      </c>
    </row>
    <row r="43" spans="1:21" x14ac:dyDescent="0.25">
      <c r="D43" s="725" t="str">
        <f>"       "&amp;List!$B$314</f>
        <v xml:space="preserve">       Pozor! Pro každý výsuv je započítána jedna hřídel. Počet hřídelí upravte v objednávce!</v>
      </c>
      <c r="P43" s="356" t="str">
        <f>Cen!A275</f>
        <v>Korpusové lišty TIP-ON BLUMOTION, 350mm, 40kg</v>
      </c>
      <c r="Q43" s="356" t="str">
        <f>Cen!B275</f>
        <v>750.3501M</v>
      </c>
      <c r="R43" s="356" t="str">
        <f>Cen!C275</f>
        <v>ZN</v>
      </c>
      <c r="S43" s="357"/>
      <c r="T43" s="358">
        <f>Cen!F275</f>
        <v>695.93676999999991</v>
      </c>
      <c r="U43" s="358">
        <f t="shared" si="3"/>
        <v>0</v>
      </c>
    </row>
    <row r="44" spans="1:21" x14ac:dyDescent="0.25">
      <c r="D44" s="725"/>
      <c r="P44" s="356" t="str">
        <f>Cen!A276</f>
        <v>Korpusové lišty TIP-ON BLUMOTION, 400mm, 40kg</v>
      </c>
      <c r="Q44" s="356" t="str">
        <f>Cen!B276</f>
        <v>750.4001M</v>
      </c>
      <c r="R44" s="356" t="str">
        <f>Cen!C276</f>
        <v>ZN</v>
      </c>
      <c r="S44" s="357"/>
      <c r="T44" s="358">
        <f>Cen!F276</f>
        <v>0</v>
      </c>
      <c r="U44" s="358">
        <f t="shared" si="3"/>
        <v>0</v>
      </c>
    </row>
    <row r="45" spans="1:21" x14ac:dyDescent="0.25">
      <c r="P45" s="120" t="str">
        <f>Cen!A277</f>
        <v>Korpusové lišty TIP-ON BLUMOTION, 450mm, 40kg</v>
      </c>
      <c r="Q45" s="120" t="str">
        <f>Cen!B277</f>
        <v>750.4501M</v>
      </c>
      <c r="R45" s="120" t="str">
        <f>Cen!C277</f>
        <v>ZN</v>
      </c>
      <c r="S45" s="121"/>
      <c r="T45" s="116">
        <f>Cen!F277</f>
        <v>697.06186000000002</v>
      </c>
      <c r="U45" s="116">
        <f t="shared" si="3"/>
        <v>0</v>
      </c>
    </row>
    <row r="46" spans="1:21" x14ac:dyDescent="0.25">
      <c r="P46" s="120" t="str">
        <f>Cen!A278</f>
        <v>Korpusové lišty TIP-ON BLUMOTION, 450mm, 70kg</v>
      </c>
      <c r="Q46" s="120" t="str">
        <f>Cen!B278</f>
        <v>753.4501M</v>
      </c>
      <c r="R46" s="120" t="str">
        <f>Cen!C278</f>
        <v>ZN</v>
      </c>
      <c r="S46" s="121"/>
      <c r="T46" s="116">
        <f>Cen!F278</f>
        <v>881.76589000000013</v>
      </c>
      <c r="U46" s="116">
        <f t="shared" si="3"/>
        <v>0</v>
      </c>
    </row>
    <row r="47" spans="1:21" ht="13" x14ac:dyDescent="0.3">
      <c r="P47" s="684" t="str">
        <f>Cen!A279</f>
        <v>Korpusové lišty TIP-ON BLUMOTION, 500mm, 40kg</v>
      </c>
      <c r="Q47" s="684" t="str">
        <f>Cen!B279</f>
        <v>750.5001M</v>
      </c>
      <c r="R47" s="684" t="str">
        <f>Cen!C279</f>
        <v>ZN</v>
      </c>
      <c r="S47" s="685"/>
      <c r="T47" s="686">
        <f>Cen!F279</f>
        <v>705.71905000000004</v>
      </c>
      <c r="U47" s="686">
        <f t="shared" si="3"/>
        <v>0</v>
      </c>
    </row>
    <row r="48" spans="1:21" ht="13" x14ac:dyDescent="0.3">
      <c r="P48" s="684" t="str">
        <f>Cen!A280</f>
        <v>Korpusové lišty TIP-ON BLUMOTION, 500mm, 70kg</v>
      </c>
      <c r="Q48" s="684" t="str">
        <f>Cen!B280</f>
        <v>753.5001M</v>
      </c>
      <c r="R48" s="684" t="str">
        <f>Cen!C280</f>
        <v>ZN</v>
      </c>
      <c r="S48" s="685"/>
      <c r="T48" s="686">
        <f>Cen!F280</f>
        <v>890.62918000000002</v>
      </c>
      <c r="U48" s="686">
        <f t="shared" si="3"/>
        <v>0</v>
      </c>
    </row>
    <row r="49" spans="16:21" x14ac:dyDescent="0.25">
      <c r="P49" s="120" t="str">
        <f>Cen!A281</f>
        <v>Korpusové lišty TIP-ON BLUMOTION, 550mm, 40kg</v>
      </c>
      <c r="Q49" s="120" t="str">
        <f>Cen!B281</f>
        <v>750.5501M</v>
      </c>
      <c r="R49" s="120" t="str">
        <f>Cen!C281</f>
        <v>ZN</v>
      </c>
      <c r="S49" s="121"/>
      <c r="T49" s="116">
        <f>Cen!F281</f>
        <v>0</v>
      </c>
      <c r="U49" s="116">
        <f t="shared" si="3"/>
        <v>0</v>
      </c>
    </row>
    <row r="50" spans="16:21" x14ac:dyDescent="0.25">
      <c r="P50" s="120" t="str">
        <f>Cen!A282</f>
        <v>Korpusové lišty TIP-ON BLUMOTION, 550mm, 70kg</v>
      </c>
      <c r="Q50" s="120" t="str">
        <f>Cen!B282</f>
        <v>753.5501M</v>
      </c>
      <c r="R50" s="120" t="str">
        <f>Cen!C282</f>
        <v>ZN</v>
      </c>
      <c r="S50" s="121"/>
      <c r="T50" s="116">
        <f>Cen!F282</f>
        <v>0</v>
      </c>
      <c r="U50" s="116">
        <f t="shared" si="3"/>
        <v>0</v>
      </c>
    </row>
    <row r="51" spans="16:21" x14ac:dyDescent="0.25">
      <c r="P51" s="120" t="str">
        <f>Cen!A283</f>
        <v>Korpusové lišty TIP-ON BLUMOTION, 600mm, 40kg</v>
      </c>
      <c r="Q51" s="120" t="str">
        <f>Cen!B283</f>
        <v>750.6001M</v>
      </c>
      <c r="R51" s="120" t="str">
        <f>Cen!C283</f>
        <v>ZN</v>
      </c>
      <c r="S51" s="121"/>
      <c r="T51" s="116">
        <f>Cen!F283</f>
        <v>865.24247000000003</v>
      </c>
      <c r="U51" s="116">
        <f t="shared" si="3"/>
        <v>0</v>
      </c>
    </row>
    <row r="52" spans="16:21" x14ac:dyDescent="0.25">
      <c r="P52" s="120" t="str">
        <f>Cen!A284</f>
        <v>Korpusové lišty TIP-ON BLUMOTION, 600mm, 70kg</v>
      </c>
      <c r="Q52" s="120" t="str">
        <f>Cen!B284</f>
        <v>753.6001M</v>
      </c>
      <c r="R52" s="120" t="str">
        <f>Cen!C284</f>
        <v>ZN</v>
      </c>
      <c r="S52" s="121"/>
      <c r="T52" s="116">
        <f>Cen!F284</f>
        <v>0</v>
      </c>
      <c r="U52" s="116">
        <f t="shared" si="3"/>
        <v>0</v>
      </c>
    </row>
    <row r="53" spans="16:21" x14ac:dyDescent="0.25">
      <c r="P53" s="120" t="str">
        <f>Cen!A285</f>
        <v>Korpusové lišty TIP-ON BLUMOTION, 650mm, 70kg</v>
      </c>
      <c r="Q53" s="120" t="str">
        <f>Cen!B285</f>
        <v>753.6501M</v>
      </c>
      <c r="R53" s="120" t="str">
        <f>Cen!C285</f>
        <v>ZN</v>
      </c>
      <c r="S53" s="121"/>
      <c r="T53" s="116">
        <f>Cen!F285</f>
        <v>1080.66551</v>
      </c>
      <c r="U53" s="116">
        <f t="shared" si="3"/>
        <v>0</v>
      </c>
    </row>
    <row r="54" spans="16:21" x14ac:dyDescent="0.25">
      <c r="P54" s="120"/>
      <c r="Q54" s="120"/>
      <c r="R54" s="120"/>
      <c r="S54" s="121"/>
      <c r="T54" s="116"/>
      <c r="U54" s="116"/>
    </row>
    <row r="55" spans="16:21" x14ac:dyDescent="0.25"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/>
      <c r="T55" s="116">
        <f>Cen!F287</f>
        <v>478.94060000000007</v>
      </c>
      <c r="U55" s="116">
        <f t="shared" ref="U55" si="4">S55*T55</f>
        <v>0</v>
      </c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/>
      <c r="T56" s="116">
        <f>Cen!F288</f>
        <v>478.94060000000007</v>
      </c>
      <c r="U56" s="116">
        <f t="shared" si="3"/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/>
      <c r="T57" s="116">
        <f>Cen!F289</f>
        <v>467.80245000000002</v>
      </c>
      <c r="U57" s="116">
        <f t="shared" si="3"/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/>
      <c r="T58" s="116">
        <f>Cen!F290</f>
        <v>467.80245000000002</v>
      </c>
      <c r="U58" s="116">
        <f t="shared" si="3"/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/>
      <c r="T59" s="116">
        <f>Cen!F291</f>
        <v>467.80245000000002</v>
      </c>
      <c r="U59" s="116">
        <f t="shared" si="3"/>
        <v>0</v>
      </c>
    </row>
    <row r="60" spans="16:21" x14ac:dyDescent="0.25">
      <c r="P60" s="120" t="str">
        <f>Cen!A292</f>
        <v>Sada jednotek TOB, dřezový výsuv, L1</v>
      </c>
      <c r="Q60" s="120" t="str">
        <f>Cen!B292</f>
        <v>T60L9340 </v>
      </c>
      <c r="R60" s="120" t="str">
        <f>Cen!C292</f>
        <v>ZN</v>
      </c>
      <c r="S60" s="121">
        <f>F38</f>
        <v>0</v>
      </c>
      <c r="T60" s="116">
        <f>Cen!F292</f>
        <v>786.64774</v>
      </c>
      <c r="U60" s="116">
        <f t="shared" ref="U60:U61" si="5">S60*T60</f>
        <v>0</v>
      </c>
    </row>
    <row r="61" spans="16:21" x14ac:dyDescent="0.25">
      <c r="P61" s="120" t="str">
        <f>Cen!A293</f>
        <v>Sada jednotek TOB, dřezový výsuv, L3</v>
      </c>
      <c r="Q61" s="120" t="str">
        <f>Cen!B293</f>
        <v>T60L9540</v>
      </c>
      <c r="R61" s="120" t="str">
        <f>Cen!C293</f>
        <v>ZN</v>
      </c>
      <c r="S61" s="121">
        <f>G38</f>
        <v>0</v>
      </c>
      <c r="T61" s="116">
        <f>Cen!F293</f>
        <v>786.64774</v>
      </c>
      <c r="U61" s="116">
        <f t="shared" si="5"/>
        <v>0</v>
      </c>
    </row>
    <row r="62" spans="16:21" x14ac:dyDescent="0.25">
      <c r="P62" s="142"/>
      <c r="Q62" s="142"/>
      <c r="R62" s="142"/>
      <c r="S62" s="148"/>
      <c r="T62" s="152"/>
      <c r="U62" s="152"/>
    </row>
    <row r="63" spans="16:21" x14ac:dyDescent="0.25">
      <c r="P63" s="120" t="str">
        <f>Cen!A306</f>
        <v>TIP-ON BLM synchronizační adaptér</v>
      </c>
      <c r="Q63" s="120" t="str">
        <f>Cen!B306</f>
        <v>T60.000D</v>
      </c>
      <c r="R63" s="120" t="str">
        <f>Cen!C306</f>
        <v>R736</v>
      </c>
      <c r="S63" s="121"/>
      <c r="T63" s="116">
        <f>Cen!$F306</f>
        <v>6.7107799999999997</v>
      </c>
      <c r="U63" s="116">
        <f>S63*T63</f>
        <v>0</v>
      </c>
    </row>
    <row r="64" spans="16:21" x14ac:dyDescent="0.25">
      <c r="P64" s="120" t="str">
        <f>Cen!A307</f>
        <v>TIP-ON BLM hřídel synchronizace, ke zkrácení</v>
      </c>
      <c r="Q64" s="120" t="str">
        <f>Cen!B307</f>
        <v>T60L1125W</v>
      </c>
      <c r="R64" s="120" t="str">
        <f>Cen!C307</f>
        <v>S</v>
      </c>
      <c r="S64" s="121">
        <f>SUM($S$60:$S$61)</f>
        <v>0</v>
      </c>
      <c r="T64" s="116">
        <f>Cen!$F307</f>
        <v>110.51743999999999</v>
      </c>
      <c r="U64" s="116">
        <f>S64*T64</f>
        <v>0</v>
      </c>
    </row>
    <row r="65" spans="16:21" x14ac:dyDescent="0.25">
      <c r="P65" s="142"/>
      <c r="Q65" s="142"/>
      <c r="R65" s="142"/>
      <c r="S65" s="148"/>
      <c r="T65" s="152"/>
      <c r="U65" s="152"/>
    </row>
    <row r="66" spans="16:21" x14ac:dyDescent="0.25">
      <c r="P66" s="120" t="str">
        <f>Cen!A319</f>
        <v>Držáky zadní stěny M, Orion šedá</v>
      </c>
      <c r="Q66" s="120" t="str">
        <f>Cen!B319</f>
        <v>ZB7M000S</v>
      </c>
      <c r="R66" s="120" t="str">
        <f>Cen!C319</f>
        <v>OG-M</v>
      </c>
      <c r="S66" s="121">
        <f>SUM($S$3:$S$7)</f>
        <v>0</v>
      </c>
      <c r="T66" s="116">
        <f>Cen!$F319</f>
        <v>35.345579999999998</v>
      </c>
      <c r="U66" s="116">
        <f>S66*T66</f>
        <v>0</v>
      </c>
    </row>
    <row r="67" spans="16:21" x14ac:dyDescent="0.25">
      <c r="P67" s="120" t="str">
        <f>Cen!A329</f>
        <v>Držáky zadní stěny C, Orion šedá</v>
      </c>
      <c r="Q67" s="120" t="str">
        <f>Cen!B329</f>
        <v>ZB7C000S</v>
      </c>
      <c r="R67" s="120" t="str">
        <f>Cen!C329</f>
        <v>OG-M</v>
      </c>
      <c r="S67" s="121">
        <f>SUM($S$9:$S$13)</f>
        <v>0</v>
      </c>
      <c r="T67" s="116">
        <f>Cen!$F329</f>
        <v>47.092230000000001</v>
      </c>
      <c r="U67" s="116">
        <f>S67*T67</f>
        <v>0</v>
      </c>
    </row>
    <row r="68" spans="16:21" x14ac:dyDescent="0.25">
      <c r="P68" s="120" t="str">
        <f>Cen!A347</f>
        <v>Čelní kování M, na vruty</v>
      </c>
      <c r="Q68" s="120" t="str">
        <f>Cen!B347</f>
        <v>ZF7M7002</v>
      </c>
      <c r="R68" s="120" t="str">
        <f>Cen!C347</f>
        <v>BL</v>
      </c>
      <c r="S68" s="121">
        <f>SUM($S$3:$S$7)*2</f>
        <v>0</v>
      </c>
      <c r="T68" s="116">
        <f>Cen!F347</f>
        <v>7.6647100000000004</v>
      </c>
      <c r="U68" s="116">
        <f>S68*T68</f>
        <v>0</v>
      </c>
    </row>
    <row r="69" spans="16:21" x14ac:dyDescent="0.25">
      <c r="P69" s="120" t="str">
        <f>Cen!A353</f>
        <v>Čelní kování C, na vruty</v>
      </c>
      <c r="Q69" s="120" t="str">
        <f>Cen!B353</f>
        <v>ZF7C7002</v>
      </c>
      <c r="R69" s="120" t="str">
        <f>Cen!C353</f>
        <v>BL</v>
      </c>
      <c r="S69" s="121">
        <f>SUM($S$9:$S$13)*2</f>
        <v>0</v>
      </c>
      <c r="T69" s="116">
        <f>Cen!F353</f>
        <v>18.390879999999999</v>
      </c>
      <c r="U69" s="116">
        <f>S69*T69</f>
        <v>0</v>
      </c>
    </row>
    <row r="70" spans="16:21" x14ac:dyDescent="0.25">
      <c r="P70" s="117"/>
      <c r="Q70" s="117"/>
    </row>
    <row r="71" spans="16:21" x14ac:dyDescent="0.25">
      <c r="P71" s="117"/>
      <c r="Q71" s="117"/>
      <c r="S71" s="74" t="str">
        <f>List!$B$97</f>
        <v>cena kování</v>
      </c>
      <c r="U71" s="346">
        <f>SUM(U3:U70)</f>
        <v>0</v>
      </c>
    </row>
    <row r="72" spans="16:21" x14ac:dyDescent="0.25">
      <c r="P72" s="117"/>
      <c r="Q72" s="117"/>
    </row>
    <row r="73" spans="16:21" x14ac:dyDescent="0.25">
      <c r="P73" s="117"/>
      <c r="Q73" s="117"/>
    </row>
    <row r="74" spans="16:21" x14ac:dyDescent="0.25">
      <c r="P74" s="117"/>
      <c r="Q74" s="117"/>
    </row>
    <row r="75" spans="16:21" x14ac:dyDescent="0.25">
      <c r="P75" s="117"/>
      <c r="Q75" s="117"/>
    </row>
    <row r="76" spans="16:21" x14ac:dyDescent="0.25">
      <c r="P76" s="117"/>
      <c r="Q76" s="117"/>
    </row>
    <row r="77" spans="16:21" x14ac:dyDescent="0.25">
      <c r="P77" s="117"/>
      <c r="Q77" s="117"/>
    </row>
    <row r="78" spans="16:21" x14ac:dyDescent="0.25">
      <c r="P78" s="117"/>
      <c r="Q78" s="117"/>
    </row>
    <row r="79" spans="16:21" x14ac:dyDescent="0.25">
      <c r="P79" s="117"/>
      <c r="Q79" s="117"/>
    </row>
    <row r="86" spans="16:16" x14ac:dyDescent="0.25">
      <c r="P86" s="117" t="str">
        <f>List!$B$316&amp;"!"</f>
        <v>S0 a S1 pouze pro jmenovitou délku 270 a 300 mm!</v>
      </c>
    </row>
    <row r="87" spans="16:16" x14ac:dyDescent="0.25">
      <c r="P87" s="117" t="str">
        <f>List!$B$317&amp;"!"</f>
        <v>Pro výsuvy délky 270 a 300 mm vyberte jednotky S0 nebo S1!</v>
      </c>
    </row>
    <row r="88" spans="16:16" x14ac:dyDescent="0.25">
      <c r="P88" s="117" t="str">
        <f>List!$B$318&amp;"!"</f>
        <v>Počet jednotek L neodpovídá počtu korpusových lišt!</v>
      </c>
    </row>
    <row r="89" spans="16:16" x14ac:dyDescent="0.25">
      <c r="P89" s="117" t="str">
        <f>List!$B$319&amp;"!"</f>
        <v>Počet jednotek S neodpovídá počtu korpusových lišt!</v>
      </c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3.75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/>
      <c r="E107" s="838"/>
      <c r="F107" s="839"/>
      <c r="G107" s="801"/>
      <c r="H107" s="877"/>
      <c r="I107" s="878"/>
      <c r="J107" s="807"/>
      <c r="K107" s="720"/>
      <c r="L107" s="72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721"/>
      <c r="H108" s="877"/>
      <c r="I108" s="878"/>
      <c r="J108" s="807"/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1419</v>
      </c>
      <c r="E109" s="838"/>
      <c r="F109" s="839"/>
      <c r="G109" s="721" t="s">
        <v>1421</v>
      </c>
      <c r="H109" s="873" t="s">
        <v>1420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721" t="s">
        <v>948</v>
      </c>
      <c r="H110" s="873" t="s">
        <v>1378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721"/>
      <c r="H111" s="877"/>
      <c r="I111" s="878"/>
      <c r="J111" s="698"/>
      <c r="K111" s="884"/>
      <c r="L111" s="884"/>
    </row>
    <row r="112" spans="1:14" ht="19.5" customHeight="1" x14ac:dyDescent="0.25">
      <c r="A112" s="823"/>
      <c r="B112" s="835"/>
      <c r="C112" s="836"/>
      <c r="D112" s="879"/>
      <c r="E112" s="880"/>
      <c r="F112" s="880"/>
      <c r="G112" s="881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882"/>
      <c r="E113" s="851"/>
      <c r="F113" s="851"/>
      <c r="G113" s="883"/>
      <c r="H113" s="851"/>
      <c r="I113" s="851"/>
      <c r="J113" s="851"/>
      <c r="K113" s="851"/>
      <c r="L113" s="851"/>
    </row>
    <row r="114" spans="1:12" ht="12.5" customHeight="1" x14ac:dyDescent="0.25">
      <c r="A114" s="823"/>
    </row>
    <row r="115" spans="1:12" ht="12.5" customHeight="1" x14ac:dyDescent="0.25">
      <c r="A115" s="823"/>
      <c r="E115" s="725" t="str">
        <f>"       ** "&amp;List!$B$325&amp;"!"</f>
        <v xml:space="preserve">       ** Jednotky L1 nelze kombinovat s lištami se zvýšenou nosností (70 kg)!</v>
      </c>
    </row>
    <row r="116" spans="1:12" ht="12.5" customHeight="1" x14ac:dyDescent="0.25">
      <c r="A116" s="823"/>
    </row>
    <row r="117" spans="1:12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QwyM62UAFlBfYKAhYb6bg7lz3v2V0tHgX/fhXlnB4uhsEcHltY2Xx8Su/KyljBFtNH2C2qGqPBanXwVmUPApxw==" saltValue="Qbn0d7IHHgCIJU1spoU5FA==" spinCount="100000" sheet="1" objects="1" scenarios="1"/>
  <mergeCells count="20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  <mergeCell ref="D112:G113"/>
  </mergeCells>
  <hyperlinks>
    <hyperlink ref="N3" location="Form!A1" tooltip=" " display="Form!A1" xr:uid="{00000000-0004-0000-1200-000000000000}"/>
    <hyperlink ref="N4" location="Menu!A1" tooltip=" " display="Menu!A1" xr:uid="{00000000-0004-0000-1200-000001000000}"/>
    <hyperlink ref="N7" location="Acs!A1" tooltip=" " display="Acs!A1" xr:uid="{00000000-0004-0000-1200-000002000000}"/>
    <hyperlink ref="N8" location="SD!A1" tooltip=" " display="SD!A1" xr:uid="{00000000-0004-0000-1200-000003000000}"/>
    <hyperlink ref="N10" location="Sum!A1" tooltip=" " display="Sum!A1" xr:uid="{00000000-0004-0000-1200-000004000000}"/>
    <hyperlink ref="N11" location="Ord!A1" tooltip=" " display="Ord!A1" xr:uid="{00000000-0004-0000-1200-000005000000}"/>
    <hyperlink ref="N9" location="AL!A1" tooltip=" " display="AL!A1" xr:uid="{00000000-0004-0000-1200-000006000000}"/>
    <hyperlink ref="N32" location="'7CM42P'!A100" tooltip=" " display="'7CM42P'!A100" xr:uid="{00000000-0004-0000-1200-000007000000}"/>
    <hyperlink ref="N112" location="'7CM42P'!A1" tooltip=" " display="'7CM42P'!A1" xr:uid="{00000000-0004-0000-12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AF224"/>
  <sheetViews>
    <sheetView showGridLines="0" showRowColHeaders="0" zoomScaleNormal="100" workbookViewId="0">
      <selection activeCell="T3" sqref="T3"/>
    </sheetView>
  </sheetViews>
  <sheetFormatPr defaultColWidth="9.1796875" defaultRowHeight="12.5" x14ac:dyDescent="0.25"/>
  <cols>
    <col min="1" max="1" width="2.54296875" style="2" customWidth="1"/>
    <col min="2" max="3" width="9.1796875" style="2"/>
    <col min="4" max="4" width="7.1796875" style="2" customWidth="1"/>
    <col min="5" max="5" width="9.1796875" style="2"/>
    <col min="6" max="6" width="9.7265625" style="2" customWidth="1"/>
    <col min="7" max="7" width="2.81640625" style="2" customWidth="1"/>
    <col min="8" max="9" width="9.1796875" style="2"/>
    <col min="10" max="10" width="7.1796875" style="2" customWidth="1"/>
    <col min="11" max="11" width="9.1796875" style="2"/>
    <col min="12" max="12" width="9.7265625" style="2" customWidth="1"/>
    <col min="13" max="13" width="2.81640625" style="2" customWidth="1"/>
    <col min="14" max="15" width="9.1796875" style="2"/>
    <col min="16" max="16" width="7.1796875" style="2" customWidth="1"/>
    <col min="17" max="17" width="9.1796875" style="2"/>
    <col min="18" max="18" width="9.7265625" style="2" customWidth="1"/>
    <col min="19" max="19" width="3.54296875" style="2" customWidth="1"/>
    <col min="20" max="20" width="25.7265625" style="2" customWidth="1"/>
    <col min="21" max="16384" width="9.1796875" style="2"/>
  </cols>
  <sheetData>
    <row r="1" spans="1:26" ht="22.5" customHeight="1" x14ac:dyDescent="0.4">
      <c r="A1" s="117"/>
      <c r="B1" s="138" t="str">
        <f>List!$B$57</f>
        <v>Zásuvky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82" t="str">
        <f>List!$B$4</f>
        <v>Výběr zásuvek a výsuvů</v>
      </c>
      <c r="S1" s="117"/>
      <c r="U1" s="117"/>
    </row>
    <row r="2" spans="1:26" ht="15" customHeight="1" x14ac:dyDescent="0.35">
      <c r="A2" s="117"/>
      <c r="B2" s="117"/>
      <c r="C2" s="141"/>
      <c r="D2" s="141"/>
      <c r="E2" s="141"/>
      <c r="F2" s="147" t="str">
        <f>List!$B$50&amp;" N  "</f>
        <v xml:space="preserve">Zásuvka N  </v>
      </c>
      <c r="G2" s="117"/>
      <c r="H2" s="117"/>
      <c r="I2" s="141"/>
      <c r="J2" s="141"/>
      <c r="K2" s="141"/>
      <c r="L2" s="147" t="str">
        <f>List!$B$50&amp;" M  "</f>
        <v xml:space="preserve">Zásuvka M  </v>
      </c>
      <c r="M2" s="117"/>
      <c r="N2" s="117"/>
      <c r="O2" s="141"/>
      <c r="P2" s="141"/>
      <c r="Q2" s="141"/>
      <c r="R2" s="147" t="str">
        <f>List!$B$50&amp;" K  "</f>
        <v xml:space="preserve">Zásuvka K  </v>
      </c>
      <c r="S2" s="117"/>
      <c r="T2" s="2" t="str">
        <f>List!$B$11&amp;":"</f>
        <v>Zpět na:</v>
      </c>
      <c r="U2" s="117"/>
    </row>
    <row r="3" spans="1:26" ht="13.5" customHeight="1" x14ac:dyDescent="0.3">
      <c r="A3" s="117"/>
      <c r="B3" s="142"/>
      <c r="C3" s="142"/>
      <c r="D3" s="142"/>
      <c r="E3" s="143" t="str">
        <f>List!$B$79&amp;":"</f>
        <v>označení:</v>
      </c>
      <c r="F3" s="158" t="s">
        <v>11</v>
      </c>
      <c r="G3" s="117"/>
      <c r="H3" s="142"/>
      <c r="I3" s="142"/>
      <c r="J3" s="142"/>
      <c r="K3" s="143" t="str">
        <f>List!$B$79&amp;":"</f>
        <v>označení:</v>
      </c>
      <c r="L3" s="158" t="s">
        <v>12</v>
      </c>
      <c r="M3" s="117"/>
      <c r="N3" s="117"/>
      <c r="O3" s="117"/>
      <c r="P3" s="117"/>
      <c r="Q3" s="143" t="str">
        <f>List!$B$79&amp;":"</f>
        <v>označení:</v>
      </c>
      <c r="R3" s="158" t="s">
        <v>13</v>
      </c>
      <c r="S3" s="117"/>
      <c r="T3" s="153" t="str">
        <f>" "&amp;List!$B$13</f>
        <v xml:space="preserve"> Úvod</v>
      </c>
      <c r="U3" s="117"/>
    </row>
    <row r="4" spans="1:26" ht="13.5" customHeight="1" x14ac:dyDescent="0.25">
      <c r="A4" s="117"/>
      <c r="B4" s="142"/>
      <c r="C4" s="142"/>
      <c r="D4" s="142"/>
      <c r="E4" s="117"/>
      <c r="F4" s="144"/>
      <c r="G4" s="117"/>
      <c r="H4" s="142"/>
      <c r="I4" s="142"/>
      <c r="J4" s="142"/>
      <c r="K4" s="117"/>
      <c r="L4" s="144"/>
      <c r="M4" s="117"/>
      <c r="N4" s="117"/>
      <c r="O4" s="117"/>
      <c r="P4" s="117"/>
      <c r="Q4" s="117"/>
      <c r="R4" s="144"/>
      <c r="S4" s="117"/>
      <c r="U4" s="117"/>
    </row>
    <row r="5" spans="1:26" ht="13.5" customHeight="1" x14ac:dyDescent="0.25">
      <c r="A5" s="117"/>
      <c r="B5" s="142"/>
      <c r="C5" s="142"/>
      <c r="D5" s="142"/>
      <c r="E5" s="143" t="str">
        <f>List!$B$80&amp;":"</f>
        <v>bočnice:</v>
      </c>
      <c r="F5" s="145" t="s">
        <v>178</v>
      </c>
      <c r="G5" s="117"/>
      <c r="H5" s="142"/>
      <c r="I5" s="142"/>
      <c r="J5" s="142"/>
      <c r="K5" s="143" t="str">
        <f>List!$B$80&amp;":"</f>
        <v>bočnice:</v>
      </c>
      <c r="L5" s="145" t="s">
        <v>171</v>
      </c>
      <c r="M5" s="117"/>
      <c r="N5" s="117"/>
      <c r="O5" s="117"/>
      <c r="P5" s="117"/>
      <c r="Q5" s="143" t="str">
        <f>List!$B$80&amp;":"</f>
        <v>bočnice:</v>
      </c>
      <c r="R5" s="145" t="s">
        <v>179</v>
      </c>
      <c r="S5" s="117"/>
      <c r="T5" s="2" t="str">
        <f>List!$B$12&amp;":"</f>
        <v>Pokračovat na:</v>
      </c>
      <c r="U5" s="117"/>
    </row>
    <row r="6" spans="1:26" ht="14.25" customHeight="1" thickBot="1" x14ac:dyDescent="0.3">
      <c r="A6" s="117"/>
      <c r="B6" s="142"/>
      <c r="C6" s="142"/>
      <c r="D6" s="142"/>
      <c r="E6" s="143" t="str">
        <f>List!$B$84&amp;":"</f>
        <v>potřebný prostor:</v>
      </c>
      <c r="F6" s="145" t="s">
        <v>413</v>
      </c>
      <c r="G6" s="117"/>
      <c r="H6" s="142"/>
      <c r="I6" s="142"/>
      <c r="J6" s="142"/>
      <c r="K6" s="143" t="str">
        <f>List!$B$84&amp;":"</f>
        <v>potřebný prostor:</v>
      </c>
      <c r="L6" s="145" t="s">
        <v>181</v>
      </c>
      <c r="M6" s="117"/>
      <c r="N6" s="117"/>
      <c r="O6" s="117"/>
      <c r="P6" s="117"/>
      <c r="Q6" s="143" t="str">
        <f>List!$B$84&amp;":"</f>
        <v>potřebný prostor:</v>
      </c>
      <c r="R6" s="145" t="s">
        <v>414</v>
      </c>
      <c r="S6" s="117"/>
      <c r="T6" s="149" t="str">
        <f>" "&amp;List!$B$5</f>
        <v xml:space="preserve"> Výběr doplňků</v>
      </c>
      <c r="U6" s="117"/>
    </row>
    <row r="7" spans="1:26" ht="13.5" customHeight="1" thickBot="1" x14ac:dyDescent="0.3">
      <c r="A7" s="117"/>
      <c r="B7" s="142"/>
      <c r="C7" s="142"/>
      <c r="D7" s="142"/>
      <c r="E7" s="142"/>
      <c r="F7" s="142"/>
      <c r="G7" s="117"/>
      <c r="H7" s="142"/>
      <c r="I7" s="142"/>
      <c r="J7" s="142"/>
      <c r="K7" s="143"/>
      <c r="L7" s="148"/>
      <c r="M7" s="117"/>
      <c r="N7" s="142"/>
      <c r="O7" s="142"/>
      <c r="P7" s="142"/>
      <c r="Q7" s="143"/>
      <c r="R7" s="148"/>
      <c r="S7" s="117"/>
      <c r="T7" s="149" t="str">
        <f>" "&amp;List!$B$6</f>
        <v xml:space="preserve"> Výběr SERVO-DRIVE</v>
      </c>
      <c r="U7" s="117"/>
    </row>
    <row r="8" spans="1:26" ht="13.5" customHeight="1" thickBot="1" x14ac:dyDescent="0.3">
      <c r="A8" s="117"/>
      <c r="B8" s="142"/>
      <c r="C8" s="142"/>
      <c r="D8" s="142"/>
      <c r="E8" s="142"/>
      <c r="F8" s="142"/>
      <c r="G8" s="117"/>
      <c r="H8" s="142"/>
      <c r="I8" s="142"/>
      <c r="J8" s="142"/>
      <c r="K8" s="143"/>
      <c r="L8" s="148"/>
      <c r="M8" s="117"/>
      <c r="N8" s="142"/>
      <c r="O8" s="142"/>
      <c r="P8" s="142"/>
      <c r="Q8" s="143"/>
      <c r="R8" s="148"/>
      <c r="S8" s="117"/>
      <c r="T8" s="242" t="str">
        <f>" "&amp;List!$B$7</f>
        <v xml:space="preserve"> Výběr AMBIA-LINE</v>
      </c>
      <c r="U8" s="117"/>
    </row>
    <row r="9" spans="1:26" ht="14.25" customHeight="1" x14ac:dyDescent="0.3">
      <c r="A9" s="117"/>
      <c r="B9" s="7"/>
      <c r="C9" s="119"/>
      <c r="D9" s="119"/>
      <c r="E9" s="119"/>
      <c r="F9" s="119"/>
      <c r="G9" s="119"/>
      <c r="H9" s="138" t="str">
        <f>List!$B$51&amp;" M"</f>
        <v>Vnitřní zásuvka M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7"/>
      <c r="T9" s="231" t="str">
        <f>" "&amp;List!$B$18</f>
        <v xml:space="preserve"> Souhrn</v>
      </c>
      <c r="U9" s="117"/>
    </row>
    <row r="10" spans="1:26" ht="13.5" customHeight="1" x14ac:dyDescent="0.35">
      <c r="A10" s="117"/>
      <c r="B10" s="142"/>
      <c r="C10" s="142"/>
      <c r="D10" s="142"/>
      <c r="E10" s="142"/>
      <c r="F10" s="144"/>
      <c r="G10" s="117"/>
      <c r="H10" s="117"/>
      <c r="I10" s="141"/>
      <c r="J10" s="141"/>
      <c r="K10" s="141"/>
      <c r="L10" s="147" t="str">
        <f>List!$B$51&amp;" M  "</f>
        <v xml:space="preserve">Vnitřní zásuvka M  </v>
      </c>
      <c r="M10" s="117"/>
      <c r="N10" s="117"/>
      <c r="O10" s="141"/>
      <c r="P10" s="141"/>
      <c r="Q10" s="141"/>
      <c r="R10" s="147"/>
      <c r="S10" s="117"/>
      <c r="U10" s="117"/>
    </row>
    <row r="11" spans="1:26" ht="13.5" customHeight="1" x14ac:dyDescent="0.3">
      <c r="A11" s="117"/>
      <c r="B11" s="142"/>
      <c r="C11" s="142"/>
      <c r="D11" s="142"/>
      <c r="E11" s="142"/>
      <c r="F11" s="144"/>
      <c r="G11" s="117"/>
      <c r="H11" s="142"/>
      <c r="I11" s="142"/>
      <c r="J11" s="142"/>
      <c r="K11" s="143" t="str">
        <f>List!$B$79&amp;":"</f>
        <v>označení:</v>
      </c>
      <c r="L11" s="158" t="s">
        <v>14</v>
      </c>
      <c r="M11" s="117"/>
      <c r="N11" s="142"/>
      <c r="O11" s="142"/>
      <c r="P11" s="142"/>
      <c r="Q11" s="143"/>
      <c r="R11" s="144"/>
      <c r="S11" s="117"/>
      <c r="U11" s="117"/>
    </row>
    <row r="12" spans="1:26" ht="13.5" customHeight="1" x14ac:dyDescent="0.25">
      <c r="A12" s="117"/>
      <c r="B12" s="142"/>
      <c r="C12" s="142"/>
      <c r="D12" s="142"/>
      <c r="E12" s="142"/>
      <c r="F12" s="144"/>
      <c r="G12" s="117"/>
      <c r="H12" s="142"/>
      <c r="I12" s="142"/>
      <c r="J12" s="142"/>
      <c r="K12" s="117"/>
      <c r="L12" s="501"/>
      <c r="M12" s="117"/>
      <c r="N12" s="142"/>
      <c r="O12" s="142"/>
      <c r="P12" s="142"/>
      <c r="Q12" s="117"/>
      <c r="R12" s="144"/>
      <c r="S12" s="117"/>
      <c r="U12" s="117"/>
    </row>
    <row r="13" spans="1:26" ht="13.5" customHeight="1" x14ac:dyDescent="0.25">
      <c r="A13" s="117"/>
      <c r="B13" s="142"/>
      <c r="C13" s="142"/>
      <c r="D13" s="142"/>
      <c r="E13" s="142"/>
      <c r="F13" s="144"/>
      <c r="G13" s="117"/>
      <c r="H13" s="142"/>
      <c r="I13" s="142"/>
      <c r="J13" s="142"/>
      <c r="K13" s="143" t="str">
        <f>List!$B$80&amp;":"</f>
        <v>bočnice:</v>
      </c>
      <c r="L13" s="145" t="s">
        <v>171</v>
      </c>
      <c r="M13" s="117"/>
      <c r="N13" s="142"/>
      <c r="O13" s="142"/>
      <c r="P13" s="142"/>
      <c r="Q13" s="143"/>
      <c r="R13" s="145"/>
      <c r="S13" s="117"/>
      <c r="T13" s="153" t="str">
        <f>" "&amp;List!$B$16</f>
        <v xml:space="preserve"> Nápověda</v>
      </c>
      <c r="U13" s="117"/>
    </row>
    <row r="14" spans="1:26" ht="13.5" customHeight="1" x14ac:dyDescent="0.25">
      <c r="A14" s="117"/>
      <c r="B14" s="142"/>
      <c r="C14" s="142"/>
      <c r="D14" s="142"/>
      <c r="E14" s="142"/>
      <c r="F14" s="144"/>
      <c r="G14" s="117"/>
      <c r="H14" s="142"/>
      <c r="I14" s="142"/>
      <c r="J14" s="142"/>
      <c r="K14" s="143" t="str">
        <f>List!$B$84&amp;":"</f>
        <v>potřebný prostor:</v>
      </c>
      <c r="L14" s="145" t="s">
        <v>409</v>
      </c>
      <c r="M14" s="117"/>
      <c r="N14" s="142"/>
      <c r="O14" s="142"/>
      <c r="P14" s="142"/>
      <c r="Q14" s="143"/>
      <c r="R14" s="145"/>
      <c r="S14" s="117"/>
      <c r="T14" s="251"/>
      <c r="U14" s="117"/>
    </row>
    <row r="15" spans="1:26" ht="30" customHeight="1" x14ac:dyDescent="0.25">
      <c r="A15" s="117"/>
      <c r="B15" s="142"/>
      <c r="C15" s="142"/>
      <c r="D15" s="142"/>
      <c r="E15" s="142"/>
      <c r="F15" s="142"/>
      <c r="G15" s="117"/>
      <c r="H15" s="142"/>
      <c r="I15" s="142"/>
      <c r="J15" s="142"/>
      <c r="K15" s="143"/>
      <c r="L15" s="148"/>
      <c r="M15" s="117"/>
      <c r="N15" s="142"/>
      <c r="O15" s="142"/>
      <c r="P15" s="142"/>
      <c r="Q15" s="143"/>
      <c r="R15" s="148"/>
      <c r="S15" s="117"/>
      <c r="T15" s="146"/>
      <c r="U15" s="117"/>
    </row>
    <row r="16" spans="1:26" ht="13.5" customHeight="1" x14ac:dyDescent="0.35">
      <c r="A16" s="117"/>
      <c r="B16" s="138" t="str">
        <f>List!$B$59</f>
        <v>Čelní výsuvy</v>
      </c>
      <c r="C16" s="139"/>
      <c r="D16" s="139"/>
      <c r="E16" s="139"/>
      <c r="F16" s="139"/>
      <c r="G16" s="139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17"/>
      <c r="T16" s="117"/>
      <c r="U16" s="141"/>
      <c r="V16" s="141"/>
      <c r="W16" s="462"/>
      <c r="X16" s="462"/>
      <c r="Y16" s="463"/>
      <c r="Z16" s="286"/>
    </row>
    <row r="17" spans="1:26" ht="15" customHeight="1" x14ac:dyDescent="0.35">
      <c r="A17" s="117"/>
      <c r="B17" s="141"/>
      <c r="C17" s="141"/>
      <c r="D17" s="141"/>
      <c r="E17" s="141"/>
      <c r="F17" s="140" t="str">
        <f>List!$B$52&amp;" C "</f>
        <v xml:space="preserve">Čelní výsuv C </v>
      </c>
      <c r="G17" s="117"/>
      <c r="H17" s="141"/>
      <c r="I17" s="141"/>
      <c r="J17" s="141"/>
      <c r="K17" s="141"/>
      <c r="L17" s="140" t="str">
        <f>List!$B$52&amp;" C "</f>
        <v xml:space="preserve">Čelní výsuv C </v>
      </c>
      <c r="M17" s="117"/>
      <c r="N17" s="141"/>
      <c r="O17" s="141"/>
      <c r="P17" s="141"/>
      <c r="Q17" s="141"/>
      <c r="R17" s="140" t="str">
        <f>List!$B$52&amp;" F "</f>
        <v xml:space="preserve">Čelní výsuv F </v>
      </c>
      <c r="S17" s="142"/>
      <c r="T17" s="117"/>
      <c r="U17" s="142"/>
      <c r="V17" s="142"/>
      <c r="W17" s="175"/>
      <c r="X17" s="464"/>
      <c r="Y17" s="227"/>
      <c r="Z17" s="286"/>
    </row>
    <row r="18" spans="1:26" ht="13.5" customHeight="1" x14ac:dyDescent="0.25">
      <c r="A18" s="117"/>
      <c r="B18" s="142"/>
      <c r="C18" s="142"/>
      <c r="D18" s="142"/>
      <c r="E18" s="143" t="str">
        <f>List!$B$79&amp;":"</f>
        <v>označení:</v>
      </c>
      <c r="F18" s="601" t="s">
        <v>15</v>
      </c>
      <c r="G18" s="117"/>
      <c r="H18" s="142"/>
      <c r="I18" s="142"/>
      <c r="J18" s="142"/>
      <c r="K18" s="143" t="str">
        <f>List!$B$79&amp;":"</f>
        <v>označení:</v>
      </c>
      <c r="L18" s="600" t="s">
        <v>773</v>
      </c>
      <c r="M18" s="117"/>
      <c r="N18" s="142"/>
      <c r="O18" s="142"/>
      <c r="P18" s="142"/>
      <c r="Q18" s="143" t="str">
        <f>List!$B$79&amp;":"</f>
        <v>označení:</v>
      </c>
      <c r="R18" s="601" t="s">
        <v>16</v>
      </c>
      <c r="S18" s="117"/>
      <c r="T18" s="117"/>
      <c r="U18" s="142"/>
      <c r="V18" s="142"/>
      <c r="W18" s="175"/>
      <c r="X18" s="175"/>
      <c r="Y18" s="175"/>
      <c r="Z18" s="286"/>
    </row>
    <row r="19" spans="1:26" ht="13.5" customHeight="1" x14ac:dyDescent="0.25">
      <c r="A19" s="117"/>
      <c r="B19" s="142"/>
      <c r="C19" s="142"/>
      <c r="D19" s="142"/>
      <c r="E19" s="143" t="str">
        <f>List!$B$81&amp;":"</f>
        <v>provedení:</v>
      </c>
      <c r="F19" s="145" t="s">
        <v>771</v>
      </c>
      <c r="G19" s="117"/>
      <c r="H19" s="142"/>
      <c r="I19" s="142"/>
      <c r="J19" s="142"/>
      <c r="K19" s="143" t="str">
        <f>List!$B$81&amp;":"</f>
        <v>provedení:</v>
      </c>
      <c r="L19" s="145" t="s">
        <v>772</v>
      </c>
      <c r="M19" s="117"/>
      <c r="N19" s="142"/>
      <c r="O19" s="142"/>
      <c r="P19" s="142"/>
      <c r="Q19" s="117"/>
      <c r="R19" s="501"/>
      <c r="S19" s="117"/>
      <c r="T19" s="117"/>
      <c r="U19" s="142"/>
      <c r="V19" s="142"/>
      <c r="W19" s="175"/>
      <c r="X19" s="464"/>
      <c r="Y19" s="287"/>
      <c r="Z19" s="286"/>
    </row>
    <row r="20" spans="1:26" ht="13.5" customHeight="1" x14ac:dyDescent="0.25">
      <c r="A20" s="117"/>
      <c r="B20" s="142"/>
      <c r="C20" s="142"/>
      <c r="D20" s="142"/>
      <c r="E20" s="143" t="str">
        <f>List!$B$80&amp;":"</f>
        <v>bočnice:</v>
      </c>
      <c r="F20" s="145" t="s">
        <v>406</v>
      </c>
      <c r="G20" s="117"/>
      <c r="H20" s="142"/>
      <c r="I20" s="142"/>
      <c r="J20" s="142"/>
      <c r="K20" s="143" t="str">
        <f>List!$B$80&amp;":"</f>
        <v>bočnice:</v>
      </c>
      <c r="L20" s="145" t="s">
        <v>406</v>
      </c>
      <c r="M20" s="117"/>
      <c r="N20" s="142"/>
      <c r="O20" s="142"/>
      <c r="P20" s="142"/>
      <c r="Q20" s="143" t="str">
        <f>List!$B$80&amp;":"</f>
        <v>bočnice:</v>
      </c>
      <c r="R20" s="145" t="s">
        <v>407</v>
      </c>
      <c r="S20" s="117"/>
      <c r="T20" s="117"/>
      <c r="U20" s="142"/>
      <c r="V20" s="142"/>
      <c r="W20" s="175"/>
      <c r="X20" s="464"/>
      <c r="Y20" s="287"/>
      <c r="Z20" s="286"/>
    </row>
    <row r="21" spans="1:26" ht="15" customHeight="1" x14ac:dyDescent="0.25">
      <c r="A21" s="117"/>
      <c r="B21" s="142"/>
      <c r="C21" s="142"/>
      <c r="D21" s="142"/>
      <c r="E21" s="143" t="str">
        <f>List!$B$84&amp;":"</f>
        <v>potřebný prostor:</v>
      </c>
      <c r="F21" s="145" t="s">
        <v>410</v>
      </c>
      <c r="G21" s="117"/>
      <c r="H21" s="142"/>
      <c r="I21" s="142"/>
      <c r="J21" s="142"/>
      <c r="K21" s="143" t="str">
        <f>List!$B$84&amp;":"</f>
        <v>potřebný prostor:</v>
      </c>
      <c r="L21" s="145" t="s">
        <v>410</v>
      </c>
      <c r="M21" s="117"/>
      <c r="N21" s="142"/>
      <c r="O21" s="142"/>
      <c r="P21" s="142"/>
      <c r="Q21" s="143" t="str">
        <f>List!$B$84&amp;":"</f>
        <v>potřebný prostor:</v>
      </c>
      <c r="R21" s="145" t="s">
        <v>412</v>
      </c>
      <c r="S21" s="117"/>
      <c r="T21" s="117"/>
      <c r="U21" s="142"/>
      <c r="V21" s="142"/>
      <c r="W21" s="175"/>
      <c r="X21" s="464"/>
      <c r="Y21" s="287"/>
      <c r="Z21" s="286"/>
    </row>
    <row r="22" spans="1:26" ht="30" customHeight="1" x14ac:dyDescent="0.25">
      <c r="A22" s="117"/>
      <c r="B22" s="142"/>
      <c r="C22" s="142"/>
      <c r="D22" s="142"/>
      <c r="E22" s="143"/>
      <c r="F22" s="148"/>
      <c r="G22" s="117"/>
      <c r="H22" s="142"/>
      <c r="I22" s="142"/>
      <c r="J22" s="142"/>
      <c r="K22" s="143"/>
      <c r="L22" s="148"/>
      <c r="M22" s="117"/>
      <c r="N22" s="142"/>
      <c r="O22" s="142"/>
      <c r="P22" s="142"/>
      <c r="Q22" s="143"/>
      <c r="R22" s="148"/>
      <c r="S22" s="117"/>
      <c r="T22" s="117"/>
      <c r="U22" s="117"/>
      <c r="W22" s="286"/>
      <c r="X22" s="286"/>
      <c r="Y22" s="286"/>
      <c r="Z22" s="286"/>
    </row>
    <row r="23" spans="1:26" ht="13.5" customHeight="1" x14ac:dyDescent="0.3">
      <c r="A23" s="117"/>
      <c r="B23" s="138" t="str">
        <f>List!$B$60&amp;" C "</f>
        <v xml:space="preserve">Vnitřní výsuvy C 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7"/>
      <c r="T23" s="117"/>
      <c r="U23" s="117"/>
    </row>
    <row r="24" spans="1:26" ht="13.5" customHeight="1" x14ac:dyDescent="0.35">
      <c r="A24" s="117"/>
      <c r="B24" s="141"/>
      <c r="C24" s="141"/>
      <c r="D24" s="141"/>
      <c r="E24" s="141"/>
      <c r="F24" s="140" t="str">
        <f>List!$B$69&amp;" "&amp;List!$B$67&amp;"  "</f>
        <v xml:space="preserve">vysoký přední zásuvný prvek  </v>
      </c>
      <c r="G24" s="117"/>
      <c r="H24" s="141"/>
      <c r="I24" s="141"/>
      <c r="J24" s="141"/>
      <c r="K24" s="141"/>
      <c r="L24" s="140" t="str">
        <f>List!$B$70&amp;" "&amp;List!$B$67&amp;"  "</f>
        <v xml:space="preserve">nízký přední zásuvný prvek  </v>
      </c>
      <c r="M24" s="117"/>
      <c r="N24" s="141"/>
      <c r="O24" s="141"/>
      <c r="P24" s="141"/>
      <c r="Q24" s="141"/>
      <c r="R24" s="140" t="str">
        <f>List!$B$72&amp;"  "</f>
        <v xml:space="preserve">přední reling  </v>
      </c>
      <c r="S24" s="142"/>
      <c r="T24" s="142"/>
      <c r="U24" s="117"/>
    </row>
    <row r="25" spans="1:26" ht="13.5" customHeight="1" x14ac:dyDescent="0.3">
      <c r="A25" s="117"/>
      <c r="B25" s="142"/>
      <c r="C25" s="142"/>
      <c r="D25" s="142"/>
      <c r="E25" s="143" t="str">
        <f>List!$B$79&amp;":"</f>
        <v>označení:</v>
      </c>
      <c r="F25" s="158" t="s">
        <v>17</v>
      </c>
      <c r="G25" s="117"/>
      <c r="H25" s="142"/>
      <c r="I25" s="142"/>
      <c r="J25" s="142"/>
      <c r="K25" s="143" t="str">
        <f>List!$B$79&amp;":"</f>
        <v>označení:</v>
      </c>
      <c r="L25" s="158" t="s">
        <v>18</v>
      </c>
      <c r="M25" s="117"/>
      <c r="N25" s="142"/>
      <c r="O25" s="142"/>
      <c r="P25" s="142"/>
      <c r="Q25" s="143" t="str">
        <f>List!$B$79&amp;":"</f>
        <v>označení:</v>
      </c>
      <c r="R25" s="158" t="s">
        <v>19</v>
      </c>
      <c r="S25" s="117"/>
      <c r="T25" s="117"/>
      <c r="U25" s="117"/>
    </row>
    <row r="26" spans="1:26" ht="13.5" customHeight="1" x14ac:dyDescent="0.25">
      <c r="A26" s="117"/>
      <c r="B26" s="142"/>
      <c r="C26" s="142"/>
      <c r="D26" s="142"/>
      <c r="E26" s="143" t="str">
        <f>List!$B$81&amp;":"</f>
        <v>provedení:</v>
      </c>
      <c r="F26" s="145" t="s">
        <v>771</v>
      </c>
      <c r="G26" s="117"/>
      <c r="H26" s="142"/>
      <c r="I26" s="142"/>
      <c r="J26" s="142"/>
      <c r="K26" s="143" t="str">
        <f>List!$B$81&amp;":"</f>
        <v>provedení:</v>
      </c>
      <c r="L26" s="145" t="s">
        <v>771</v>
      </c>
      <c r="M26" s="117"/>
      <c r="N26" s="142"/>
      <c r="O26" s="142"/>
      <c r="P26" s="142"/>
      <c r="Q26" s="143" t="str">
        <f>List!$B$81&amp;":"</f>
        <v>provedení:</v>
      </c>
      <c r="R26" s="145" t="s">
        <v>771</v>
      </c>
      <c r="S26" s="117"/>
      <c r="T26" s="117"/>
      <c r="U26" s="117"/>
    </row>
    <row r="27" spans="1:26" ht="13.5" customHeight="1" x14ac:dyDescent="0.25">
      <c r="A27" s="117"/>
      <c r="B27" s="142"/>
      <c r="C27" s="142"/>
      <c r="D27" s="142"/>
      <c r="E27" s="143" t="str">
        <f>List!$B$80&amp;":"</f>
        <v>bočnice:</v>
      </c>
      <c r="F27" s="145" t="s">
        <v>406</v>
      </c>
      <c r="G27" s="117"/>
      <c r="H27" s="142"/>
      <c r="I27" s="142"/>
      <c r="J27" s="142"/>
      <c r="K27" s="143" t="str">
        <f>List!$B$80&amp;":"</f>
        <v>bočnice:</v>
      </c>
      <c r="L27" s="145" t="s">
        <v>406</v>
      </c>
      <c r="M27" s="117"/>
      <c r="N27" s="142"/>
      <c r="O27" s="142"/>
      <c r="P27" s="142"/>
      <c r="Q27" s="143" t="str">
        <f>List!$B$80&amp;":"</f>
        <v>bočnice:</v>
      </c>
      <c r="R27" s="145" t="s">
        <v>406</v>
      </c>
      <c r="S27" s="117"/>
      <c r="T27" s="117"/>
      <c r="U27" s="117"/>
    </row>
    <row r="28" spans="1:26" ht="13.5" customHeight="1" x14ac:dyDescent="0.25">
      <c r="A28" s="117"/>
      <c r="B28" s="142"/>
      <c r="C28" s="142"/>
      <c r="D28" s="142"/>
      <c r="E28" s="143" t="str">
        <f>List!$B$84&amp;":"</f>
        <v>potřebný prostor:</v>
      </c>
      <c r="F28" s="145" t="s">
        <v>411</v>
      </c>
      <c r="G28" s="117"/>
      <c r="H28" s="142"/>
      <c r="I28" s="142"/>
      <c r="J28" s="142"/>
      <c r="K28" s="143" t="str">
        <f>List!$B$84&amp;":"</f>
        <v>potřebný prostor:</v>
      </c>
      <c r="L28" s="145" t="s">
        <v>411</v>
      </c>
      <c r="M28" s="117"/>
      <c r="N28" s="142"/>
      <c r="O28" s="142"/>
      <c r="P28" s="142"/>
      <c r="Q28" s="143" t="str">
        <f>List!$B$84&amp;":"</f>
        <v>potřebný prostor:</v>
      </c>
      <c r="R28" s="145" t="s">
        <v>411</v>
      </c>
      <c r="S28" s="117"/>
      <c r="T28" s="117"/>
      <c r="U28" s="117"/>
    </row>
    <row r="29" spans="1:26" ht="13.5" customHeight="1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</row>
    <row r="30" spans="1:26" ht="30" customHeight="1" x14ac:dyDescent="0.25">
      <c r="A30" s="117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17"/>
      <c r="U30" s="117"/>
      <c r="W30" s="286"/>
      <c r="X30" s="286"/>
      <c r="Y30" s="286"/>
      <c r="Z30" s="286"/>
    </row>
    <row r="31" spans="1:26" ht="13.5" customHeight="1" x14ac:dyDescent="0.3">
      <c r="A31" s="117"/>
      <c r="B31" s="138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7"/>
      <c r="T31" s="117"/>
      <c r="U31" s="117"/>
    </row>
    <row r="32" spans="1:26" ht="13.5" customHeight="1" x14ac:dyDescent="0.35">
      <c r="A32" s="117"/>
      <c r="B32" s="141"/>
      <c r="C32" s="141"/>
      <c r="D32" s="141"/>
      <c r="E32" s="141"/>
      <c r="F32" s="140" t="str">
        <f>List!$B$69&amp;" "&amp;List!$B$67&amp;"  "</f>
        <v xml:space="preserve">vysoký přední zásuvný prvek  </v>
      </c>
      <c r="G32" s="117"/>
      <c r="H32" s="141"/>
      <c r="I32" s="141"/>
      <c r="J32" s="141"/>
      <c r="K32" s="141"/>
      <c r="L32" s="140" t="str">
        <f>List!$B$70&amp;" "&amp;List!$B$67&amp;"  "</f>
        <v xml:space="preserve">nízký přední zásuvný prvek  </v>
      </c>
      <c r="M32" s="117"/>
      <c r="N32" s="141"/>
      <c r="O32" s="141"/>
      <c r="P32" s="141"/>
      <c r="Q32" s="141"/>
      <c r="R32" s="140" t="str">
        <f>List!$B$72&amp;"  "</f>
        <v xml:space="preserve">přední reling  </v>
      </c>
      <c r="S32" s="142"/>
      <c r="T32" s="142"/>
      <c r="U32" s="117"/>
    </row>
    <row r="33" spans="1:32" ht="13.5" customHeight="1" x14ac:dyDescent="0.25">
      <c r="A33" s="117"/>
      <c r="B33" s="142"/>
      <c r="C33" s="142"/>
      <c r="D33" s="142"/>
      <c r="E33" s="143" t="str">
        <f>List!$B$79&amp;":"</f>
        <v>označení:</v>
      </c>
      <c r="F33" s="600" t="s">
        <v>775</v>
      </c>
      <c r="G33" s="117"/>
      <c r="H33" s="142"/>
      <c r="I33" s="142"/>
      <c r="J33" s="142"/>
      <c r="K33" s="143" t="str">
        <f>List!$B$79&amp;":"</f>
        <v>označení:</v>
      </c>
      <c r="L33" s="600" t="s">
        <v>776</v>
      </c>
      <c r="M33" s="117"/>
      <c r="N33" s="142"/>
      <c r="O33" s="142"/>
      <c r="P33" s="142"/>
      <c r="Q33" s="143" t="str">
        <f>List!$B$79&amp;":"</f>
        <v>označení:</v>
      </c>
      <c r="R33" s="600" t="s">
        <v>777</v>
      </c>
      <c r="S33" s="117"/>
      <c r="T33" s="117"/>
      <c r="U33" s="117"/>
    </row>
    <row r="34" spans="1:32" ht="13.5" customHeight="1" x14ac:dyDescent="0.25">
      <c r="A34" s="117"/>
      <c r="B34" s="142"/>
      <c r="C34" s="142"/>
      <c r="D34" s="142"/>
      <c r="E34" s="143" t="str">
        <f>List!$B$81&amp;":"</f>
        <v>provedení:</v>
      </c>
      <c r="F34" s="145" t="s">
        <v>772</v>
      </c>
      <c r="G34" s="117"/>
      <c r="H34" s="142"/>
      <c r="I34" s="142"/>
      <c r="J34" s="142"/>
      <c r="K34" s="143" t="str">
        <f>List!$B$81&amp;":"</f>
        <v>provedení:</v>
      </c>
      <c r="L34" s="145" t="s">
        <v>772</v>
      </c>
      <c r="M34" s="117"/>
      <c r="N34" s="142"/>
      <c r="O34" s="142"/>
      <c r="P34" s="142"/>
      <c r="Q34" s="143" t="str">
        <f>List!$B$81&amp;":"</f>
        <v>provedení:</v>
      </c>
      <c r="R34" s="145" t="s">
        <v>772</v>
      </c>
      <c r="S34" s="117"/>
      <c r="T34" s="117"/>
      <c r="U34" s="117"/>
    </row>
    <row r="35" spans="1:32" ht="13.5" customHeight="1" x14ac:dyDescent="0.25">
      <c r="A35" s="117"/>
      <c r="B35" s="142"/>
      <c r="C35" s="142"/>
      <c r="D35" s="142"/>
      <c r="E35" s="143" t="str">
        <f>List!$B$80&amp;":"</f>
        <v>bočnice:</v>
      </c>
      <c r="F35" s="145" t="s">
        <v>406</v>
      </c>
      <c r="G35" s="117"/>
      <c r="H35" s="142"/>
      <c r="I35" s="142"/>
      <c r="J35" s="142"/>
      <c r="K35" s="143" t="str">
        <f>List!$B$80&amp;":"</f>
        <v>bočnice:</v>
      </c>
      <c r="L35" s="145" t="s">
        <v>406</v>
      </c>
      <c r="M35" s="117"/>
      <c r="N35" s="142"/>
      <c r="O35" s="142"/>
      <c r="P35" s="142"/>
      <c r="Q35" s="143" t="str">
        <f>List!$B$80&amp;":"</f>
        <v>bočnice:</v>
      </c>
      <c r="R35" s="145" t="s">
        <v>406</v>
      </c>
      <c r="S35" s="117"/>
      <c r="T35" s="117"/>
      <c r="U35" s="117"/>
    </row>
    <row r="36" spans="1:32" ht="13.5" customHeight="1" x14ac:dyDescent="0.25">
      <c r="A36" s="117"/>
      <c r="B36" s="142"/>
      <c r="C36" s="142"/>
      <c r="D36" s="142"/>
      <c r="E36" s="143" t="str">
        <f>List!$B$84&amp;":"</f>
        <v>potřebný prostor:</v>
      </c>
      <c r="F36" s="145" t="s">
        <v>411</v>
      </c>
      <c r="G36" s="117"/>
      <c r="H36" s="142"/>
      <c r="I36" s="142"/>
      <c r="J36" s="142"/>
      <c r="K36" s="143" t="str">
        <f>List!$B$84&amp;":"</f>
        <v>potřebný prostor:</v>
      </c>
      <c r="L36" s="145" t="s">
        <v>411</v>
      </c>
      <c r="M36" s="117"/>
      <c r="N36" s="142"/>
      <c r="O36" s="142"/>
      <c r="P36" s="142"/>
      <c r="Q36" s="143" t="str">
        <f>List!$B$84&amp;":"</f>
        <v>potřebný prostor:</v>
      </c>
      <c r="R36" s="145" t="s">
        <v>411</v>
      </c>
      <c r="S36" s="117"/>
      <c r="T36" s="117"/>
      <c r="U36" s="117"/>
    </row>
    <row r="37" spans="1:32" ht="13.5" customHeight="1" x14ac:dyDescent="0.2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</row>
    <row r="38" spans="1:32" ht="35" customHeight="1" x14ac:dyDescent="0.25">
      <c r="A38" s="117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17"/>
      <c r="U38" s="117"/>
    </row>
    <row r="39" spans="1:32" ht="13.5" customHeight="1" x14ac:dyDescent="0.35">
      <c r="A39" s="117"/>
      <c r="B39" s="138" t="str">
        <f>List!$B$61</f>
        <v>Dřezové zásuvky a výsuvy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38"/>
      <c r="O39" s="119"/>
      <c r="P39" s="119"/>
      <c r="Q39" s="119"/>
      <c r="R39" s="119"/>
      <c r="S39" s="117"/>
      <c r="T39" s="117"/>
      <c r="U39" s="175"/>
      <c r="V39" s="462"/>
      <c r="W39" s="462"/>
      <c r="X39" s="462"/>
      <c r="Y39" s="462"/>
      <c r="Z39" s="463"/>
      <c r="AA39" s="175"/>
      <c r="AB39" s="462"/>
      <c r="AC39" s="462"/>
      <c r="AD39" s="462"/>
      <c r="AE39" s="462"/>
      <c r="AF39" s="463"/>
    </row>
    <row r="40" spans="1:32" ht="13.5" customHeight="1" x14ac:dyDescent="0.35">
      <c r="A40" s="117"/>
      <c r="B40" s="141"/>
      <c r="C40" s="141"/>
      <c r="D40" s="141"/>
      <c r="E40" s="141"/>
      <c r="F40" s="140" t="str">
        <f>List!$B$55&amp;" C "</f>
        <v xml:space="preserve">Dřezový výsuv C </v>
      </c>
      <c r="G40" s="117"/>
      <c r="H40" s="141"/>
      <c r="I40" s="141"/>
      <c r="J40" s="141"/>
      <c r="K40" s="141"/>
      <c r="L40" s="140" t="str">
        <f>List!$B$55&amp;" C "</f>
        <v xml:space="preserve">Dřezový výsuv C </v>
      </c>
      <c r="M40" s="117"/>
      <c r="N40" s="141"/>
      <c r="O40" s="141"/>
      <c r="P40" s="141"/>
      <c r="Q40" s="141"/>
      <c r="R40" s="140" t="str">
        <f>List!$B$54&amp;" M"</f>
        <v>Dřezová zásuvka M</v>
      </c>
      <c r="S40" s="117"/>
      <c r="T40" s="117"/>
      <c r="U40" s="175"/>
      <c r="V40" s="175"/>
      <c r="W40" s="175"/>
      <c r="X40" s="175"/>
      <c r="Y40" s="464"/>
      <c r="Z40" s="227"/>
      <c r="AA40" s="175"/>
      <c r="AB40" s="175"/>
      <c r="AC40" s="175"/>
      <c r="AD40" s="175"/>
      <c r="AE40" s="464"/>
      <c r="AF40" s="555"/>
    </row>
    <row r="41" spans="1:32" ht="13.5" customHeight="1" x14ac:dyDescent="0.3">
      <c r="A41" s="117"/>
      <c r="B41" s="142"/>
      <c r="C41" s="142"/>
      <c r="D41" s="142"/>
      <c r="E41" s="143" t="str">
        <f>List!$B$79&amp;":"</f>
        <v>označení:</v>
      </c>
      <c r="F41" s="158" t="s">
        <v>20</v>
      </c>
      <c r="G41" s="117"/>
      <c r="H41" s="142"/>
      <c r="I41" s="142"/>
      <c r="J41" s="142"/>
      <c r="K41" s="143" t="str">
        <f>List!$B$79&amp;":"</f>
        <v>označení:</v>
      </c>
      <c r="L41" s="600" t="s">
        <v>774</v>
      </c>
      <c r="M41" s="117"/>
      <c r="N41" s="142"/>
      <c r="O41" s="142"/>
      <c r="P41" s="142"/>
      <c r="Q41" s="143" t="str">
        <f>List!$B$79&amp;":"</f>
        <v>označení:</v>
      </c>
      <c r="R41" s="158" t="s">
        <v>3</v>
      </c>
      <c r="S41" s="117"/>
      <c r="T41" s="117"/>
      <c r="U41" s="175"/>
      <c r="V41" s="175"/>
      <c r="W41" s="175"/>
      <c r="X41" s="175"/>
      <c r="Y41" s="464"/>
      <c r="Z41" s="287"/>
      <c r="AA41" s="175"/>
      <c r="AB41" s="175"/>
      <c r="AC41" s="175"/>
      <c r="AD41" s="175"/>
      <c r="AE41" s="464"/>
      <c r="AF41" s="287"/>
    </row>
    <row r="42" spans="1:32" ht="13.5" customHeight="1" x14ac:dyDescent="0.25">
      <c r="A42" s="117"/>
      <c r="B42" s="142"/>
      <c r="C42" s="142"/>
      <c r="D42" s="142"/>
      <c r="E42" s="143" t="str">
        <f>List!$B$81&amp;":"</f>
        <v>provedení:</v>
      </c>
      <c r="F42" s="145" t="s">
        <v>771</v>
      </c>
      <c r="G42" s="117"/>
      <c r="H42" s="142"/>
      <c r="I42" s="142"/>
      <c r="J42" s="142"/>
      <c r="K42" s="143" t="str">
        <f>List!$B$81&amp;":"</f>
        <v>provedení:</v>
      </c>
      <c r="L42" s="145" t="s">
        <v>772</v>
      </c>
      <c r="M42" s="117"/>
      <c r="N42" s="142"/>
      <c r="O42" s="142"/>
      <c r="P42" s="142"/>
      <c r="Q42" s="117"/>
      <c r="R42" s="144"/>
      <c r="S42" s="117"/>
      <c r="T42" s="117"/>
      <c r="U42" s="175"/>
      <c r="V42" s="175"/>
      <c r="W42" s="175"/>
      <c r="X42" s="175"/>
      <c r="Y42" s="464"/>
      <c r="Z42" s="287"/>
      <c r="AA42" s="175"/>
      <c r="AB42" s="175"/>
      <c r="AC42" s="175"/>
      <c r="AD42" s="175"/>
      <c r="AE42" s="464"/>
      <c r="AF42" s="287"/>
    </row>
    <row r="43" spans="1:32" ht="13.5" customHeight="1" x14ac:dyDescent="0.25">
      <c r="A43" s="117"/>
      <c r="B43" s="142"/>
      <c r="C43" s="142"/>
      <c r="D43" s="142"/>
      <c r="E43" s="143" t="str">
        <f>List!$B$80&amp;":"</f>
        <v>bočnice:</v>
      </c>
      <c r="F43" s="145" t="s">
        <v>406</v>
      </c>
      <c r="G43" s="117"/>
      <c r="H43" s="142"/>
      <c r="I43" s="142"/>
      <c r="J43" s="142"/>
      <c r="K43" s="143" t="str">
        <f>List!$B$80&amp;":"</f>
        <v>bočnice:</v>
      </c>
      <c r="L43" s="145" t="s">
        <v>763</v>
      </c>
      <c r="M43" s="117"/>
      <c r="N43" s="142"/>
      <c r="O43" s="142"/>
      <c r="P43" s="142"/>
      <c r="Q43" s="143" t="str">
        <f>List!$B$80&amp;":"</f>
        <v>bočnice:</v>
      </c>
      <c r="R43" s="145" t="s">
        <v>171</v>
      </c>
      <c r="S43" s="117"/>
      <c r="T43" s="117"/>
      <c r="U43" s="175"/>
      <c r="V43" s="175"/>
      <c r="W43" s="175"/>
      <c r="X43" s="175"/>
      <c r="Y43" s="464"/>
      <c r="Z43" s="287"/>
      <c r="AA43" s="175"/>
      <c r="AB43" s="175"/>
      <c r="AC43" s="175"/>
      <c r="AD43" s="175"/>
      <c r="AE43" s="464"/>
      <c r="AF43" s="287"/>
    </row>
    <row r="44" spans="1:32" ht="13.5" customHeight="1" x14ac:dyDescent="0.25">
      <c r="A44" s="117"/>
      <c r="B44" s="142"/>
      <c r="C44" s="142"/>
      <c r="D44" s="142"/>
      <c r="E44" s="143" t="str">
        <f>List!$B$84&amp;":"</f>
        <v>potřebný prostor:</v>
      </c>
      <c r="F44" s="145" t="s">
        <v>410</v>
      </c>
      <c r="G44" s="117"/>
      <c r="H44" s="142"/>
      <c r="I44" s="142"/>
      <c r="J44" s="142"/>
      <c r="K44" s="143" t="str">
        <f>List!$B$84&amp;":"</f>
        <v>potřebný prostor:</v>
      </c>
      <c r="L44" s="145" t="s">
        <v>410</v>
      </c>
      <c r="M44" s="117"/>
      <c r="N44" s="142"/>
      <c r="O44" s="142"/>
      <c r="P44" s="142"/>
      <c r="Q44" s="143" t="str">
        <f>List!$B$84&amp;":"</f>
        <v>potřebný prostor:</v>
      </c>
      <c r="R44" s="145" t="s">
        <v>181</v>
      </c>
      <c r="S44" s="117"/>
      <c r="T44" s="117"/>
      <c r="U44" s="175"/>
      <c r="V44" s="175"/>
      <c r="W44" s="175"/>
      <c r="X44" s="175"/>
      <c r="Y44" s="464"/>
      <c r="Z44" s="287"/>
      <c r="AA44" s="175"/>
      <c r="AB44" s="175"/>
      <c r="AC44" s="175"/>
      <c r="AD44" s="175"/>
      <c r="AE44" s="464"/>
      <c r="AF44" s="287"/>
    </row>
    <row r="45" spans="1:32" ht="13.5" customHeight="1" x14ac:dyDescent="0.25">
      <c r="A45" s="117"/>
      <c r="B45" s="142"/>
      <c r="C45" s="142"/>
      <c r="D45" s="142"/>
      <c r="E45" s="143"/>
      <c r="F45" s="148"/>
      <c r="G45" s="117"/>
      <c r="H45" s="142"/>
      <c r="I45" s="142"/>
      <c r="J45" s="142"/>
      <c r="K45" s="143"/>
      <c r="L45" s="148"/>
      <c r="M45" s="117"/>
      <c r="N45" s="142"/>
      <c r="O45" s="142"/>
      <c r="P45" s="142"/>
      <c r="Q45" s="143"/>
      <c r="R45" s="148"/>
      <c r="S45" s="117"/>
      <c r="T45" s="117"/>
      <c r="U45" s="117"/>
      <c r="V45" s="142"/>
      <c r="W45" s="142"/>
      <c r="X45" s="142"/>
      <c r="Y45" s="143"/>
      <c r="Z45" s="148"/>
      <c r="AA45" s="117"/>
      <c r="AB45" s="142"/>
      <c r="AC45" s="142"/>
      <c r="AD45" s="142"/>
      <c r="AE45" s="143"/>
      <c r="AF45" s="148"/>
    </row>
    <row r="46" spans="1:32" ht="13.5" customHeight="1" x14ac:dyDescent="0.35">
      <c r="A46" s="117"/>
      <c r="B46" s="142"/>
      <c r="C46" s="142"/>
      <c r="D46" s="142"/>
      <c r="E46" s="143"/>
      <c r="F46" s="148"/>
      <c r="G46" s="117"/>
      <c r="H46" s="142"/>
      <c r="I46" s="142"/>
      <c r="J46" s="142"/>
      <c r="K46" s="143"/>
      <c r="L46" s="148"/>
      <c r="M46" s="117"/>
      <c r="N46" s="142"/>
      <c r="O46" s="142"/>
      <c r="P46" s="142"/>
      <c r="Q46" s="143"/>
      <c r="R46" s="148"/>
      <c r="S46" s="117"/>
      <c r="T46" s="117"/>
      <c r="U46" s="175"/>
      <c r="V46" s="462"/>
      <c r="W46" s="462"/>
      <c r="X46" s="462"/>
      <c r="Y46" s="462"/>
      <c r="Z46" s="463"/>
      <c r="AA46" s="175"/>
      <c r="AB46" s="462"/>
      <c r="AC46" s="462"/>
      <c r="AD46" s="462"/>
      <c r="AE46" s="462"/>
      <c r="AF46" s="463"/>
    </row>
    <row r="47" spans="1:32" ht="13.5" customHeight="1" x14ac:dyDescent="0.35">
      <c r="A47" s="117"/>
      <c r="B47" s="605"/>
      <c r="C47" s="605"/>
      <c r="D47" s="605"/>
      <c r="E47" s="605"/>
      <c r="F47" s="604" t="str">
        <f>List!$B$55&amp;" C/M "</f>
        <v xml:space="preserve">Dřezový výsuv C/M </v>
      </c>
      <c r="G47" s="174"/>
      <c r="H47" s="605"/>
      <c r="I47" s="605"/>
      <c r="J47" s="605"/>
      <c r="K47" s="605"/>
      <c r="L47" s="604" t="str">
        <f>List!$B$55&amp;" C/M "</f>
        <v xml:space="preserve">Dřezový výsuv C/M </v>
      </c>
      <c r="M47" s="117"/>
      <c r="N47" s="141"/>
      <c r="O47" s="141"/>
      <c r="P47" s="141"/>
      <c r="Q47" s="141"/>
      <c r="R47" s="141"/>
      <c r="S47" s="141"/>
      <c r="T47" s="117"/>
      <c r="U47" s="175"/>
      <c r="V47" s="175"/>
      <c r="W47" s="175"/>
      <c r="X47" s="175"/>
      <c r="Y47" s="464"/>
      <c r="Z47" s="227"/>
      <c r="AA47" s="175"/>
      <c r="AB47" s="175"/>
      <c r="AC47" s="175"/>
      <c r="AD47" s="175"/>
      <c r="AE47" s="464"/>
      <c r="AF47" s="555"/>
    </row>
    <row r="48" spans="1:32" ht="13.5" customHeight="1" x14ac:dyDescent="0.3">
      <c r="A48" s="117"/>
      <c r="B48" s="142"/>
      <c r="C48" s="142"/>
      <c r="D48" s="142"/>
      <c r="E48" s="143" t="str">
        <f>List!$B$79&amp;":"</f>
        <v>označení:</v>
      </c>
      <c r="F48" s="158" t="s">
        <v>778</v>
      </c>
      <c r="G48" s="117"/>
      <c r="H48" s="142"/>
      <c r="I48" s="142"/>
      <c r="J48" s="142"/>
      <c r="K48" s="143" t="str">
        <f>List!$B$79&amp;":"</f>
        <v>označení:</v>
      </c>
      <c r="L48" s="600" t="s">
        <v>779</v>
      </c>
      <c r="M48" s="117"/>
      <c r="N48" s="142"/>
      <c r="O48" s="142"/>
      <c r="P48" s="142"/>
      <c r="Q48" s="143"/>
      <c r="R48" s="143"/>
      <c r="S48" s="143"/>
      <c r="T48" s="117"/>
      <c r="U48" s="175"/>
      <c r="V48" s="175"/>
      <c r="W48" s="175"/>
      <c r="X48" s="175"/>
      <c r="Y48" s="464"/>
      <c r="Z48" s="287"/>
      <c r="AA48" s="175"/>
      <c r="AB48" s="175"/>
      <c r="AC48" s="175"/>
      <c r="AD48" s="175"/>
      <c r="AE48" s="464"/>
      <c r="AF48" s="287"/>
    </row>
    <row r="49" spans="1:32" ht="13.5" customHeight="1" x14ac:dyDescent="0.25">
      <c r="A49" s="117"/>
      <c r="B49" s="142"/>
      <c r="C49" s="142"/>
      <c r="D49" s="142"/>
      <c r="E49" s="143" t="str">
        <f>List!$B$81&amp;":"</f>
        <v>provedení:</v>
      </c>
      <c r="F49" s="145" t="s">
        <v>771</v>
      </c>
      <c r="G49" s="117"/>
      <c r="H49" s="142"/>
      <c r="I49" s="142"/>
      <c r="J49" s="142"/>
      <c r="K49" s="143" t="str">
        <f>List!$B$81&amp;":"</f>
        <v>provedení:</v>
      </c>
      <c r="L49" s="145" t="s">
        <v>772</v>
      </c>
      <c r="M49" s="117"/>
      <c r="N49" s="142"/>
      <c r="O49" s="142"/>
      <c r="P49" s="142"/>
      <c r="Q49" s="117"/>
      <c r="R49" s="117"/>
      <c r="S49" s="117"/>
      <c r="T49" s="117"/>
      <c r="U49" s="175"/>
      <c r="V49" s="175"/>
      <c r="W49" s="175"/>
      <c r="X49" s="175"/>
      <c r="Y49" s="464"/>
      <c r="Z49" s="287"/>
      <c r="AA49" s="175"/>
      <c r="AB49" s="175"/>
      <c r="AC49" s="175"/>
      <c r="AD49" s="175"/>
      <c r="AE49" s="464"/>
      <c r="AF49" s="287"/>
    </row>
    <row r="50" spans="1:32" ht="13.5" customHeight="1" x14ac:dyDescent="0.25">
      <c r="A50" s="117"/>
      <c r="B50" s="142"/>
      <c r="C50" s="142"/>
      <c r="D50" s="142"/>
      <c r="E50" s="143" t="str">
        <f>List!$B$80&amp;":"</f>
        <v>bočnice:</v>
      </c>
      <c r="F50" s="145" t="s">
        <v>406</v>
      </c>
      <c r="G50" s="117"/>
      <c r="H50" s="142"/>
      <c r="I50" s="142"/>
      <c r="J50" s="142"/>
      <c r="K50" s="143" t="str">
        <f>List!$B$80&amp;":"</f>
        <v>bočnice:</v>
      </c>
      <c r="L50" s="145" t="s">
        <v>763</v>
      </c>
      <c r="M50" s="117"/>
      <c r="N50" s="142"/>
      <c r="O50" s="142"/>
      <c r="P50" s="142"/>
      <c r="Q50" s="143"/>
      <c r="R50" s="143"/>
      <c r="S50" s="143"/>
      <c r="T50" s="117"/>
      <c r="U50" s="175"/>
      <c r="V50" s="175"/>
      <c r="W50" s="175"/>
      <c r="X50" s="175"/>
      <c r="Y50" s="464"/>
      <c r="Z50" s="287"/>
      <c r="AA50" s="175"/>
      <c r="AB50" s="175"/>
      <c r="AC50" s="175"/>
      <c r="AD50" s="175"/>
      <c r="AE50" s="464"/>
      <c r="AF50" s="287"/>
    </row>
    <row r="51" spans="1:32" ht="13.5" customHeight="1" x14ac:dyDescent="0.25">
      <c r="A51" s="117"/>
      <c r="B51" s="142"/>
      <c r="C51" s="142"/>
      <c r="D51" s="142"/>
      <c r="E51" s="143" t="str">
        <f>List!$B$84&amp;":"</f>
        <v>potřebný prostor:</v>
      </c>
      <c r="F51" s="145" t="s">
        <v>410</v>
      </c>
      <c r="G51" s="117"/>
      <c r="H51" s="142"/>
      <c r="I51" s="142"/>
      <c r="J51" s="142"/>
      <c r="K51" s="143" t="str">
        <f>List!$B$84&amp;":"</f>
        <v>potřebný prostor:</v>
      </c>
      <c r="L51" s="145" t="s">
        <v>410</v>
      </c>
      <c r="M51" s="117"/>
      <c r="N51" s="142"/>
      <c r="O51" s="142"/>
      <c r="P51" s="142"/>
      <c r="Q51" s="143"/>
      <c r="R51" s="143"/>
      <c r="S51" s="143"/>
      <c r="T51" s="117"/>
      <c r="U51" s="175"/>
      <c r="V51" s="175"/>
      <c r="W51" s="175"/>
      <c r="X51" s="175"/>
      <c r="Y51" s="464"/>
      <c r="Z51" s="287"/>
      <c r="AA51" s="175"/>
      <c r="AB51" s="175"/>
      <c r="AC51" s="175"/>
      <c r="AD51" s="175"/>
      <c r="AE51" s="464"/>
      <c r="AF51" s="287"/>
    </row>
    <row r="52" spans="1:32" ht="13.5" customHeight="1" x14ac:dyDescent="0.25">
      <c r="A52" s="117"/>
      <c r="B52" s="142"/>
      <c r="C52" s="142"/>
      <c r="D52" s="142"/>
      <c r="E52" s="143"/>
      <c r="F52" s="148"/>
      <c r="G52" s="117"/>
      <c r="H52" s="142"/>
      <c r="I52" s="142"/>
      <c r="J52" s="142"/>
      <c r="K52" s="143"/>
      <c r="L52" s="148"/>
      <c r="M52" s="117"/>
      <c r="N52" s="142"/>
      <c r="O52" s="142"/>
      <c r="P52" s="142"/>
      <c r="Q52" s="143"/>
      <c r="R52" s="148"/>
      <c r="S52" s="117"/>
      <c r="T52" s="117"/>
      <c r="U52" s="117"/>
      <c r="V52" s="142"/>
      <c r="W52" s="142"/>
      <c r="X52" s="142"/>
      <c r="Y52" s="143"/>
      <c r="Z52" s="148"/>
      <c r="AA52" s="117"/>
      <c r="AB52" s="142"/>
      <c r="AC52" s="142"/>
      <c r="AD52" s="142"/>
      <c r="AE52" s="143"/>
      <c r="AF52" s="148"/>
    </row>
    <row r="53" spans="1:32" ht="35" customHeight="1" x14ac:dyDescent="0.25">
      <c r="A53" s="117"/>
      <c r="B53" s="142"/>
      <c r="C53" s="142"/>
      <c r="D53" s="142"/>
      <c r="E53" s="143"/>
      <c r="F53" s="148"/>
      <c r="G53" s="117"/>
      <c r="H53" s="142"/>
      <c r="I53" s="142"/>
      <c r="J53" s="142"/>
      <c r="K53" s="143"/>
      <c r="L53" s="148"/>
      <c r="M53" s="117"/>
      <c r="N53" s="142"/>
      <c r="O53" s="142"/>
      <c r="P53" s="142"/>
      <c r="Q53" s="143"/>
      <c r="R53" s="148"/>
      <c r="S53" s="117"/>
      <c r="T53" s="117"/>
      <c r="U53" s="117"/>
    </row>
    <row r="54" spans="1:32" ht="13.5" customHeight="1" x14ac:dyDescent="0.3">
      <c r="A54" s="117"/>
      <c r="B54" s="138" t="str">
        <f>List!$B$59&amp;" "&amp;List!$B$63</f>
        <v>Čelní výsuvy pro úzké korpusy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42"/>
      <c r="N54" s="603"/>
      <c r="O54" s="142"/>
      <c r="P54" s="142"/>
      <c r="Q54" s="142"/>
      <c r="R54" s="142"/>
      <c r="S54" s="142"/>
      <c r="T54" s="117"/>
      <c r="U54" s="117"/>
    </row>
    <row r="55" spans="1:32" ht="13.5" customHeight="1" x14ac:dyDescent="0.35">
      <c r="A55" s="117"/>
      <c r="B55" s="141"/>
      <c r="C55" s="141"/>
      <c r="D55" s="141"/>
      <c r="E55" s="141"/>
      <c r="F55" s="140"/>
      <c r="G55" s="117"/>
      <c r="H55" s="141"/>
      <c r="I55" s="141"/>
      <c r="J55" s="141"/>
      <c r="K55" s="141"/>
      <c r="L55" s="604"/>
      <c r="M55" s="142"/>
      <c r="N55" s="141"/>
      <c r="O55" s="141"/>
      <c r="P55" s="141"/>
      <c r="Q55" s="141"/>
      <c r="R55" s="602"/>
      <c r="S55" s="142"/>
      <c r="T55" s="117"/>
      <c r="U55" s="117"/>
    </row>
    <row r="56" spans="1:32" ht="13.5" customHeight="1" x14ac:dyDescent="0.3">
      <c r="A56" s="117"/>
      <c r="B56" s="142"/>
      <c r="C56" s="142"/>
      <c r="D56" s="142"/>
      <c r="E56" s="143" t="str">
        <f>List!$B$79&amp;":"</f>
        <v>označení:</v>
      </c>
      <c r="F56" s="158" t="s">
        <v>902</v>
      </c>
      <c r="G56" s="117"/>
      <c r="H56" s="142"/>
      <c r="I56" s="142"/>
      <c r="J56" s="142"/>
      <c r="K56" s="143" t="str">
        <f>List!$B$79&amp;":"</f>
        <v>označení:</v>
      </c>
      <c r="L56" s="600" t="s">
        <v>903</v>
      </c>
      <c r="M56" s="142"/>
      <c r="N56" s="142"/>
      <c r="O56" s="142"/>
      <c r="P56" s="142"/>
      <c r="Q56" s="143"/>
      <c r="R56" s="148"/>
      <c r="S56" s="142"/>
      <c r="T56" s="117"/>
      <c r="U56" s="117"/>
    </row>
    <row r="57" spans="1:32" ht="13.5" customHeight="1" x14ac:dyDescent="0.25">
      <c r="A57" s="117"/>
      <c r="B57" s="142"/>
      <c r="C57" s="142"/>
      <c r="D57" s="142"/>
      <c r="E57" s="143" t="str">
        <f>List!$B$81&amp;":"</f>
        <v>provedení:</v>
      </c>
      <c r="F57" s="145" t="s">
        <v>771</v>
      </c>
      <c r="G57" s="117"/>
      <c r="H57" s="142"/>
      <c r="I57" s="142"/>
      <c r="J57" s="142"/>
      <c r="K57" s="143" t="str">
        <f>List!$B$81&amp;":"</f>
        <v>provedení:</v>
      </c>
      <c r="L57" s="145" t="s">
        <v>772</v>
      </c>
      <c r="M57" s="142"/>
      <c r="N57" s="142"/>
      <c r="O57" s="142"/>
      <c r="P57" s="142"/>
      <c r="Q57" s="143"/>
      <c r="R57" s="148"/>
      <c r="S57" s="142"/>
      <c r="T57" s="117"/>
      <c r="U57" s="117"/>
    </row>
    <row r="58" spans="1:32" ht="13.5" customHeight="1" x14ac:dyDescent="0.25">
      <c r="A58" s="117"/>
      <c r="B58" s="142"/>
      <c r="C58" s="142"/>
      <c r="D58" s="142"/>
      <c r="E58" s="143" t="str">
        <f>List!$B$80&amp;":"</f>
        <v>bočnice:</v>
      </c>
      <c r="F58" s="145" t="s">
        <v>763</v>
      </c>
      <c r="G58" s="117"/>
      <c r="H58" s="142"/>
      <c r="I58" s="142"/>
      <c r="J58" s="142"/>
      <c r="K58" s="143" t="str">
        <f>List!$B$80&amp;":"</f>
        <v>bočnice:</v>
      </c>
      <c r="L58" s="145" t="s">
        <v>763</v>
      </c>
      <c r="M58" s="142"/>
      <c r="N58" s="142"/>
      <c r="O58" s="142"/>
      <c r="P58" s="142"/>
      <c r="Q58" s="143"/>
      <c r="R58" s="148"/>
      <c r="S58" s="142"/>
      <c r="T58" s="117"/>
      <c r="U58" s="117"/>
    </row>
    <row r="59" spans="1:32" ht="13.5" customHeight="1" x14ac:dyDescent="0.25">
      <c r="A59" s="117"/>
      <c r="B59" s="142"/>
      <c r="C59" s="142"/>
      <c r="D59" s="142"/>
      <c r="E59" s="143" t="str">
        <f>List!$B$84&amp;":"</f>
        <v>potřebný prostor:</v>
      </c>
      <c r="F59" s="145" t="s">
        <v>85</v>
      </c>
      <c r="G59" s="117"/>
      <c r="H59" s="142"/>
      <c r="I59" s="142"/>
      <c r="J59" s="142"/>
      <c r="K59" s="143" t="str">
        <f>List!$B$84&amp;":"</f>
        <v>potřebný prostor:</v>
      </c>
      <c r="L59" s="145" t="s">
        <v>85</v>
      </c>
      <c r="M59" s="142"/>
      <c r="N59" s="142"/>
      <c r="O59" s="142"/>
      <c r="P59" s="142"/>
      <c r="Q59" s="143"/>
      <c r="R59" s="148"/>
      <c r="S59" s="142"/>
      <c r="T59" s="117"/>
      <c r="U59" s="117"/>
    </row>
    <row r="60" spans="1:32" ht="13.5" customHeight="1" x14ac:dyDescent="0.25">
      <c r="A60" s="117"/>
      <c r="B60" s="142"/>
      <c r="C60" s="142"/>
      <c r="D60" s="142"/>
      <c r="E60" s="143"/>
      <c r="F60" s="148"/>
      <c r="G60" s="117"/>
      <c r="H60" s="142"/>
      <c r="I60" s="142"/>
      <c r="J60" s="142"/>
      <c r="K60" s="143"/>
      <c r="L60" s="145"/>
      <c r="M60" s="117"/>
      <c r="N60" s="142"/>
      <c r="O60" s="142"/>
      <c r="P60" s="142"/>
      <c r="Q60" s="143"/>
      <c r="R60" s="148"/>
      <c r="S60" s="117"/>
      <c r="T60" s="117"/>
      <c r="U60" s="117"/>
    </row>
    <row r="61" spans="1:32" ht="35" customHeight="1" x14ac:dyDescent="0.25">
      <c r="A61" s="117"/>
      <c r="B61" s="142"/>
      <c r="C61" s="142"/>
      <c r="D61" s="142"/>
      <c r="E61" s="143"/>
      <c r="F61" s="148"/>
      <c r="G61" s="117"/>
      <c r="H61" s="142"/>
      <c r="I61" s="142"/>
      <c r="J61" s="142"/>
      <c r="K61" s="143"/>
      <c r="L61" s="148"/>
      <c r="M61" s="117"/>
      <c r="N61" s="142"/>
      <c r="O61" s="142"/>
      <c r="P61" s="142"/>
      <c r="Q61" s="143"/>
      <c r="R61" s="148"/>
      <c r="S61" s="117"/>
      <c r="T61" s="142"/>
      <c r="U61" s="117"/>
    </row>
    <row r="62" spans="1:32" ht="13.5" customHeight="1" x14ac:dyDescent="0.3">
      <c r="A62" s="117"/>
      <c r="B62" s="138" t="str">
        <f>"SPACE-TOWER, "&amp;List!$B$64&amp;" 4xC/1xM"</f>
        <v>SPACE-TOWER, sestava 4xC/1xM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42"/>
      <c r="N62" s="142"/>
      <c r="O62" s="142"/>
      <c r="P62" s="142"/>
      <c r="Q62" s="142"/>
      <c r="R62" s="142"/>
      <c r="S62" s="142"/>
      <c r="T62" s="142"/>
      <c r="U62" s="117"/>
    </row>
    <row r="63" spans="1:32" ht="13.5" customHeight="1" x14ac:dyDescent="0.35">
      <c r="A63" s="117"/>
      <c r="B63" s="141"/>
      <c r="C63" s="141"/>
      <c r="D63" s="141"/>
      <c r="E63" s="141"/>
      <c r="F63" s="140" t="str">
        <f>List!$B$69&amp;"/"&amp;List!$B$70&amp;" "&amp;List!$B$67&amp;"  "</f>
        <v xml:space="preserve">vysoký/nízký přední zásuvný prvek  </v>
      </c>
      <c r="G63" s="117"/>
      <c r="H63" s="141"/>
      <c r="I63" s="141"/>
      <c r="J63" s="141"/>
      <c r="K63" s="141"/>
      <c r="L63" s="604" t="str">
        <f>List!$B$69&amp;"/"&amp;List!$B$70&amp;" "&amp;List!$B$67&amp;"  "</f>
        <v xml:space="preserve">vysoký/nízký přední zásuvný prvek  </v>
      </c>
      <c r="M63" s="142"/>
      <c r="N63" s="141"/>
      <c r="O63" s="141"/>
      <c r="P63" s="141"/>
      <c r="Q63" s="141"/>
      <c r="R63" s="602"/>
      <c r="S63" s="142"/>
      <c r="T63" s="142"/>
      <c r="U63" s="117"/>
    </row>
    <row r="64" spans="1:32" ht="13.5" customHeight="1" x14ac:dyDescent="0.3">
      <c r="A64" s="117"/>
      <c r="B64" s="142"/>
      <c r="C64" s="142"/>
      <c r="D64" s="142"/>
      <c r="E64" s="164" t="s">
        <v>135</v>
      </c>
      <c r="F64" s="158" t="s">
        <v>749</v>
      </c>
      <c r="G64" s="117"/>
      <c r="H64" s="142"/>
      <c r="I64" s="142"/>
      <c r="J64" s="142"/>
      <c r="K64" s="143" t="str">
        <f>List!$B$79&amp;":"</f>
        <v>označení:</v>
      </c>
      <c r="L64" s="600" t="s">
        <v>782</v>
      </c>
      <c r="M64" s="142"/>
      <c r="N64" s="142"/>
      <c r="O64" s="142"/>
      <c r="P64" s="142"/>
      <c r="Q64" s="143"/>
      <c r="R64" s="148"/>
      <c r="S64" s="142"/>
      <c r="T64" s="142"/>
      <c r="U64" s="117"/>
    </row>
    <row r="65" spans="1:21" ht="13.5" customHeight="1" x14ac:dyDescent="0.25">
      <c r="A65" s="117"/>
      <c r="B65" s="142"/>
      <c r="C65" s="142"/>
      <c r="D65" s="142"/>
      <c r="E65" s="143" t="str">
        <f>List!$B$81&amp;":"</f>
        <v>provedení:</v>
      </c>
      <c r="F65" s="145" t="s">
        <v>771</v>
      </c>
      <c r="G65" s="117"/>
      <c r="H65" s="142"/>
      <c r="I65" s="142"/>
      <c r="J65" s="142"/>
      <c r="K65" s="143" t="str">
        <f>List!$B$81&amp;":"</f>
        <v>provedení:</v>
      </c>
      <c r="L65" s="145" t="s">
        <v>772</v>
      </c>
      <c r="M65" s="142"/>
      <c r="N65" s="142"/>
      <c r="O65" s="142"/>
      <c r="P65" s="142"/>
      <c r="Q65" s="142"/>
      <c r="R65" s="142"/>
      <c r="S65" s="142"/>
      <c r="T65" s="142"/>
      <c r="U65" s="117"/>
    </row>
    <row r="66" spans="1:21" ht="13.5" customHeight="1" x14ac:dyDescent="0.25">
      <c r="A66" s="117"/>
      <c r="B66" s="142"/>
      <c r="C66" s="142"/>
      <c r="D66" s="142"/>
      <c r="E66" s="164" t="s">
        <v>136</v>
      </c>
      <c r="F66" s="145" t="s">
        <v>408</v>
      </c>
      <c r="G66" s="117"/>
      <c r="H66" s="142"/>
      <c r="I66" s="142"/>
      <c r="J66" s="142"/>
      <c r="K66" s="143" t="str">
        <f>List!$B$80&amp;":"</f>
        <v>bočnice:</v>
      </c>
      <c r="L66" s="145" t="s">
        <v>408</v>
      </c>
      <c r="M66" s="142"/>
      <c r="N66" s="142"/>
      <c r="O66" s="142"/>
      <c r="P66" s="142"/>
      <c r="Q66" s="143"/>
      <c r="R66" s="148"/>
      <c r="S66" s="142"/>
      <c r="T66" s="142"/>
      <c r="U66" s="117"/>
    </row>
    <row r="67" spans="1:21" ht="13.5" customHeight="1" x14ac:dyDescent="0.25">
      <c r="A67" s="117"/>
      <c r="B67" s="142"/>
      <c r="C67" s="142"/>
      <c r="D67" s="142"/>
      <c r="E67" s="164" t="s">
        <v>137</v>
      </c>
      <c r="F67" s="145" t="s">
        <v>87</v>
      </c>
      <c r="G67" s="117"/>
      <c r="H67" s="142"/>
      <c r="I67" s="142"/>
      <c r="J67" s="142"/>
      <c r="K67" s="143" t="str">
        <f>List!$B$84&amp;":"</f>
        <v>potřebný prostor:</v>
      </c>
      <c r="L67" s="145" t="s">
        <v>87</v>
      </c>
      <c r="M67" s="142"/>
      <c r="N67" s="142"/>
      <c r="O67" s="142"/>
      <c r="P67" s="142"/>
      <c r="Q67" s="143"/>
      <c r="R67" s="148"/>
      <c r="S67" s="142"/>
      <c r="T67" s="142"/>
      <c r="U67" s="117"/>
    </row>
    <row r="68" spans="1:21" ht="28.5" customHeight="1" x14ac:dyDescent="0.25">
      <c r="A68" s="117"/>
      <c r="B68" s="117"/>
      <c r="C68" s="117"/>
      <c r="D68" s="117"/>
      <c r="E68" s="117"/>
      <c r="F68" s="144"/>
      <c r="G68" s="117"/>
      <c r="H68" s="117"/>
      <c r="I68" s="117"/>
      <c r="J68" s="117"/>
      <c r="K68" s="117"/>
      <c r="L68" s="144"/>
      <c r="M68" s="142"/>
      <c r="N68" s="142"/>
      <c r="O68" s="142"/>
      <c r="P68" s="142"/>
      <c r="Q68" s="142"/>
      <c r="R68" s="142"/>
      <c r="S68" s="142"/>
      <c r="T68" s="142"/>
      <c r="U68" s="117"/>
    </row>
    <row r="69" spans="1:21" ht="13.5" customHeight="1" x14ac:dyDescent="0.25">
      <c r="A69" s="117"/>
      <c r="B69" s="117"/>
      <c r="C69" s="117"/>
      <c r="D69" s="117"/>
      <c r="E69" s="117"/>
      <c r="F69" s="144"/>
      <c r="G69" s="117"/>
      <c r="H69" s="117"/>
      <c r="I69" s="117"/>
      <c r="J69" s="117"/>
      <c r="K69" s="117"/>
      <c r="L69" s="144"/>
      <c r="M69" s="142"/>
      <c r="N69" s="142"/>
      <c r="O69" s="142"/>
      <c r="P69" s="142"/>
      <c r="Q69" s="142"/>
      <c r="R69" s="142"/>
      <c r="S69" s="142"/>
      <c r="T69" s="142"/>
      <c r="U69" s="117"/>
    </row>
    <row r="70" spans="1:21" ht="28.5" customHeight="1" x14ac:dyDescent="0.25">
      <c r="A70" s="117"/>
      <c r="B70" s="117"/>
      <c r="C70" s="117"/>
      <c r="D70" s="117"/>
      <c r="E70" s="117"/>
      <c r="F70" s="144"/>
      <c r="G70" s="117"/>
      <c r="H70" s="117"/>
      <c r="I70" s="117"/>
      <c r="J70" s="117"/>
      <c r="K70" s="117"/>
      <c r="L70" s="144"/>
      <c r="M70" s="142"/>
      <c r="N70" s="142"/>
      <c r="O70" s="142"/>
      <c r="P70" s="142"/>
      <c r="Q70" s="142"/>
      <c r="R70" s="142"/>
      <c r="S70" s="142"/>
      <c r="T70" s="142"/>
      <c r="U70" s="117"/>
    </row>
    <row r="71" spans="1:21" ht="13.5" customHeight="1" x14ac:dyDescent="0.3">
      <c r="A71" s="117"/>
      <c r="B71" s="138" t="str">
        <f>"SPACE-TOWER, "&amp;List!$B$64&amp;" 4xC/1xM"</f>
        <v>SPACE-TOWER, sestava 4xC/1xM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42"/>
      <c r="N71" s="142"/>
      <c r="O71" s="142"/>
      <c r="P71" s="142"/>
      <c r="Q71" s="142"/>
      <c r="R71" s="142"/>
      <c r="S71" s="142"/>
      <c r="T71" s="142"/>
      <c r="U71" s="117"/>
    </row>
    <row r="72" spans="1:21" ht="13.5" customHeight="1" x14ac:dyDescent="0.35">
      <c r="A72" s="117"/>
      <c r="B72" s="141"/>
      <c r="C72" s="141"/>
      <c r="D72" s="141"/>
      <c r="E72" s="141"/>
      <c r="F72" s="140" t="str">
        <f>List!$B$72&amp;"  "</f>
        <v xml:space="preserve">přední reling  </v>
      </c>
      <c r="G72" s="117"/>
      <c r="H72" s="141"/>
      <c r="I72" s="141"/>
      <c r="J72" s="141"/>
      <c r="K72" s="141"/>
      <c r="L72" s="604" t="str">
        <f>List!$B$72&amp;"  "</f>
        <v xml:space="preserve">přední reling  </v>
      </c>
      <c r="M72" s="142"/>
      <c r="N72" s="141"/>
      <c r="O72" s="141"/>
      <c r="P72" s="141"/>
      <c r="Q72" s="141"/>
      <c r="R72" s="602"/>
      <c r="S72" s="142"/>
      <c r="T72" s="142"/>
      <c r="U72" s="117"/>
    </row>
    <row r="73" spans="1:21" ht="13.5" customHeight="1" x14ac:dyDescent="0.3">
      <c r="A73" s="117"/>
      <c r="B73" s="142"/>
      <c r="C73" s="142"/>
      <c r="D73" s="142"/>
      <c r="E73" s="143" t="str">
        <f>List!$B$79&amp;":"</f>
        <v>označení:</v>
      </c>
      <c r="F73" s="158" t="s">
        <v>750</v>
      </c>
      <c r="G73" s="117"/>
      <c r="H73" s="142"/>
      <c r="I73" s="142"/>
      <c r="J73" s="142"/>
      <c r="K73" s="143" t="str">
        <f>List!$B$79&amp;":"</f>
        <v>označení:</v>
      </c>
      <c r="L73" s="600" t="s">
        <v>783</v>
      </c>
      <c r="M73" s="142"/>
      <c r="N73" s="142"/>
      <c r="O73" s="142"/>
      <c r="P73" s="142"/>
      <c r="Q73" s="143"/>
      <c r="R73" s="148"/>
      <c r="S73" s="142"/>
      <c r="T73" s="142"/>
      <c r="U73" s="117"/>
    </row>
    <row r="74" spans="1:21" ht="13.5" customHeight="1" x14ac:dyDescent="0.25">
      <c r="A74" s="117"/>
      <c r="B74" s="142"/>
      <c r="C74" s="142"/>
      <c r="D74" s="142"/>
      <c r="E74" s="143" t="str">
        <f>List!$B$81&amp;":"</f>
        <v>provedení:</v>
      </c>
      <c r="F74" s="145" t="s">
        <v>771</v>
      </c>
      <c r="G74" s="117"/>
      <c r="H74" s="142"/>
      <c r="I74" s="142"/>
      <c r="J74" s="142"/>
      <c r="K74" s="143" t="str">
        <f>List!$B$81&amp;":"</f>
        <v>provedení:</v>
      </c>
      <c r="L74" s="145" t="s">
        <v>772</v>
      </c>
      <c r="M74" s="142"/>
      <c r="N74" s="142"/>
      <c r="O74" s="142"/>
      <c r="P74" s="142"/>
      <c r="Q74" s="142"/>
      <c r="R74" s="142"/>
      <c r="S74" s="142"/>
      <c r="T74" s="142"/>
      <c r="U74" s="117"/>
    </row>
    <row r="75" spans="1:21" ht="13.5" customHeight="1" x14ac:dyDescent="0.25">
      <c r="A75" s="117"/>
      <c r="B75" s="142"/>
      <c r="C75" s="142"/>
      <c r="D75" s="142"/>
      <c r="E75" s="143" t="str">
        <f>List!$B$80&amp;":"</f>
        <v>bočnice:</v>
      </c>
      <c r="F75" s="145" t="s">
        <v>408</v>
      </c>
      <c r="G75" s="117"/>
      <c r="H75" s="142"/>
      <c r="I75" s="142"/>
      <c r="J75" s="142"/>
      <c r="K75" s="143" t="str">
        <f>List!$B$80&amp;":"</f>
        <v>bočnice:</v>
      </c>
      <c r="L75" s="145" t="s">
        <v>408</v>
      </c>
      <c r="M75" s="142"/>
      <c r="N75" s="142"/>
      <c r="O75" s="142"/>
      <c r="P75" s="142"/>
      <c r="Q75" s="143"/>
      <c r="R75" s="148"/>
      <c r="S75" s="142"/>
      <c r="T75" s="142"/>
      <c r="U75" s="117"/>
    </row>
    <row r="76" spans="1:21" ht="13.5" customHeight="1" x14ac:dyDescent="0.25">
      <c r="A76" s="117"/>
      <c r="B76" s="142"/>
      <c r="C76" s="142"/>
      <c r="D76" s="142"/>
      <c r="E76" s="143" t="str">
        <f>List!$B$84&amp;":"</f>
        <v>potřebný prostor:</v>
      </c>
      <c r="F76" s="145" t="s">
        <v>87</v>
      </c>
      <c r="G76" s="117"/>
      <c r="H76" s="142"/>
      <c r="I76" s="142"/>
      <c r="J76" s="142"/>
      <c r="K76" s="143" t="str">
        <f>List!$B$84&amp;":"</f>
        <v>potřebný prostor:</v>
      </c>
      <c r="L76" s="145" t="s">
        <v>87</v>
      </c>
      <c r="M76" s="142"/>
      <c r="N76" s="142"/>
      <c r="O76" s="142"/>
      <c r="P76" s="142"/>
      <c r="Q76" s="143"/>
      <c r="R76" s="148"/>
      <c r="S76" s="142"/>
      <c r="T76" s="142"/>
      <c r="U76" s="117"/>
    </row>
    <row r="77" spans="1:21" ht="28.5" customHeight="1" x14ac:dyDescent="0.25">
      <c r="A77" s="117"/>
      <c r="B77" s="117"/>
      <c r="C77" s="117"/>
      <c r="D77" s="117"/>
      <c r="E77" s="117"/>
      <c r="F77" s="144"/>
      <c r="G77" s="117"/>
      <c r="H77" s="117"/>
      <c r="I77" s="117"/>
      <c r="J77" s="117"/>
      <c r="K77" s="117"/>
      <c r="L77" s="144"/>
      <c r="M77" s="142"/>
      <c r="N77" s="142"/>
      <c r="O77" s="142"/>
      <c r="P77" s="142"/>
      <c r="Q77" s="142"/>
      <c r="R77" s="142"/>
      <c r="S77" s="142"/>
      <c r="T77" s="142"/>
      <c r="U77" s="117"/>
    </row>
    <row r="78" spans="1:21" ht="13.5" customHeight="1" x14ac:dyDescent="0.25">
      <c r="A78" s="117"/>
      <c r="B78" s="117"/>
      <c r="C78" s="117"/>
      <c r="D78" s="117"/>
      <c r="E78" s="117"/>
      <c r="F78" s="144"/>
      <c r="G78" s="117"/>
      <c r="H78" s="117"/>
      <c r="I78" s="117"/>
      <c r="J78" s="117"/>
      <c r="K78" s="117"/>
      <c r="L78" s="144"/>
      <c r="M78" s="142"/>
      <c r="N78" s="142"/>
      <c r="O78" s="142"/>
      <c r="P78" s="142"/>
      <c r="Q78" s="142"/>
      <c r="R78" s="142"/>
      <c r="S78" s="142"/>
      <c r="T78" s="142"/>
      <c r="U78" s="117"/>
    </row>
    <row r="79" spans="1:21" ht="28.5" customHeight="1" x14ac:dyDescent="0.25">
      <c r="A79" s="117"/>
      <c r="B79" s="117"/>
      <c r="C79" s="117"/>
      <c r="D79" s="117"/>
      <c r="E79" s="117"/>
      <c r="F79" s="144"/>
      <c r="G79" s="117"/>
      <c r="H79" s="117"/>
      <c r="I79" s="117"/>
      <c r="J79" s="117"/>
      <c r="K79" s="117"/>
      <c r="L79" s="144"/>
      <c r="M79" s="142"/>
      <c r="N79" s="142"/>
      <c r="O79" s="142"/>
      <c r="P79" s="142"/>
      <c r="Q79" s="142"/>
      <c r="R79" s="142"/>
      <c r="S79" s="142"/>
      <c r="T79" s="117"/>
      <c r="U79" s="117"/>
    </row>
    <row r="80" spans="1:21" ht="13.5" customHeight="1" x14ac:dyDescent="0.3">
      <c r="A80" s="117"/>
      <c r="B80" s="138" t="str">
        <f>"SPACE-TOWER, "&amp;List!$B$64&amp;" 5xC"</f>
        <v>SPACE-TOWER, sestava 5xC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75"/>
      <c r="N80" s="175"/>
      <c r="O80" s="175"/>
      <c r="P80" s="175"/>
      <c r="Q80" s="175"/>
      <c r="R80" s="175"/>
      <c r="S80" s="142"/>
      <c r="T80" s="117"/>
      <c r="U80" s="117"/>
    </row>
    <row r="81" spans="1:21" ht="13.5" customHeight="1" x14ac:dyDescent="0.35">
      <c r="A81" s="117"/>
      <c r="B81" s="141"/>
      <c r="C81" s="141"/>
      <c r="D81" s="141"/>
      <c r="E81" s="141"/>
      <c r="F81" s="140" t="str">
        <f>List!$B$69&amp;"/"&amp;List!$B$70&amp;" "&amp;List!$B$67&amp;"  "</f>
        <v xml:space="preserve">vysoký/nízký přední zásuvný prvek  </v>
      </c>
      <c r="G81" s="117"/>
      <c r="H81" s="141"/>
      <c r="I81" s="141"/>
      <c r="J81" s="141"/>
      <c r="K81" s="141"/>
      <c r="L81" s="604" t="str">
        <f>List!$B$69&amp;"/"&amp;List!$B$70&amp;" "&amp;List!$B$67&amp;"  "</f>
        <v xml:space="preserve">vysoký/nízký přední zásuvný prvek  </v>
      </c>
      <c r="M81" s="142"/>
      <c r="N81" s="141"/>
      <c r="O81" s="141"/>
      <c r="P81" s="141"/>
      <c r="Q81" s="141"/>
      <c r="R81" s="602"/>
      <c r="S81" s="142"/>
      <c r="T81" s="117"/>
      <c r="U81" s="117"/>
    </row>
    <row r="82" spans="1:21" ht="13.5" customHeight="1" x14ac:dyDescent="0.3">
      <c r="A82" s="117"/>
      <c r="B82" s="142"/>
      <c r="C82" s="142"/>
      <c r="D82" s="142"/>
      <c r="E82" s="164" t="s">
        <v>135</v>
      </c>
      <c r="F82" s="158" t="s">
        <v>22</v>
      </c>
      <c r="G82" s="117"/>
      <c r="H82" s="117"/>
      <c r="I82" s="117"/>
      <c r="J82" s="117"/>
      <c r="K82" s="143" t="str">
        <f>List!$B$79&amp;":"</f>
        <v>označení:</v>
      </c>
      <c r="L82" s="600" t="s">
        <v>781</v>
      </c>
      <c r="M82" s="142"/>
      <c r="N82" s="142"/>
      <c r="O82" s="142"/>
      <c r="P82" s="142"/>
      <c r="Q82" s="143"/>
      <c r="R82" s="148"/>
      <c r="S82" s="142"/>
      <c r="T82" s="117"/>
      <c r="U82" s="117"/>
    </row>
    <row r="83" spans="1:21" ht="13.5" customHeight="1" x14ac:dyDescent="0.25">
      <c r="A83" s="117"/>
      <c r="B83" s="142"/>
      <c r="C83" s="142"/>
      <c r="D83" s="142"/>
      <c r="E83" s="143" t="str">
        <f>List!$B$81&amp;":"</f>
        <v>provedení:</v>
      </c>
      <c r="F83" s="145" t="s">
        <v>771</v>
      </c>
      <c r="G83" s="117"/>
      <c r="H83" s="117"/>
      <c r="I83" s="117"/>
      <c r="J83" s="117"/>
      <c r="K83" s="143" t="str">
        <f>List!$B$81&amp;":"</f>
        <v>provedení:</v>
      </c>
      <c r="L83" s="145" t="s">
        <v>772</v>
      </c>
      <c r="M83" s="142"/>
      <c r="N83" s="142"/>
      <c r="O83" s="142"/>
      <c r="P83" s="142"/>
      <c r="Q83" s="142"/>
      <c r="R83" s="148"/>
      <c r="S83" s="142"/>
      <c r="T83" s="117"/>
      <c r="U83" s="117"/>
    </row>
    <row r="84" spans="1:21" ht="13.5" customHeight="1" x14ac:dyDescent="0.25">
      <c r="A84" s="117"/>
      <c r="B84" s="142"/>
      <c r="C84" s="142"/>
      <c r="D84" s="142"/>
      <c r="E84" s="164" t="s">
        <v>136</v>
      </c>
      <c r="F84" s="145" t="s">
        <v>406</v>
      </c>
      <c r="G84" s="117"/>
      <c r="H84" s="117"/>
      <c r="I84" s="117"/>
      <c r="J84" s="117"/>
      <c r="K84" s="143" t="str">
        <f>List!$B$80&amp;":"</f>
        <v>bočnice:</v>
      </c>
      <c r="L84" s="145" t="s">
        <v>406</v>
      </c>
      <c r="M84" s="142"/>
      <c r="N84" s="142"/>
      <c r="O84" s="142"/>
      <c r="P84" s="142"/>
      <c r="Q84" s="143"/>
      <c r="R84" s="148"/>
      <c r="S84" s="142"/>
      <c r="T84" s="117"/>
      <c r="U84" s="117"/>
    </row>
    <row r="85" spans="1:21" ht="13.5" customHeight="1" x14ac:dyDescent="0.25">
      <c r="A85" s="117"/>
      <c r="B85" s="142"/>
      <c r="C85" s="142"/>
      <c r="D85" s="142"/>
      <c r="E85" s="164" t="s">
        <v>137</v>
      </c>
      <c r="F85" s="145" t="s">
        <v>86</v>
      </c>
      <c r="G85" s="117"/>
      <c r="H85" s="117"/>
      <c r="I85" s="117"/>
      <c r="J85" s="117"/>
      <c r="K85" s="143" t="str">
        <f>List!$B$84&amp;":"</f>
        <v>potřebný prostor:</v>
      </c>
      <c r="L85" s="145" t="s">
        <v>86</v>
      </c>
      <c r="M85" s="142"/>
      <c r="N85" s="142"/>
      <c r="O85" s="142"/>
      <c r="P85" s="142"/>
      <c r="Q85" s="143"/>
      <c r="R85" s="148"/>
      <c r="S85" s="142"/>
      <c r="T85" s="117"/>
      <c r="U85" s="117"/>
    </row>
    <row r="86" spans="1:21" ht="28.5" customHeight="1" x14ac:dyDescent="0.25">
      <c r="A86" s="117"/>
      <c r="B86" s="142"/>
      <c r="C86" s="142"/>
      <c r="D86" s="142"/>
      <c r="E86" s="164"/>
      <c r="F86" s="145"/>
      <c r="G86" s="117"/>
      <c r="H86" s="117"/>
      <c r="I86" s="117"/>
      <c r="J86" s="117"/>
      <c r="K86" s="143"/>
      <c r="L86" s="145"/>
      <c r="M86" s="142"/>
      <c r="N86" s="142"/>
      <c r="O86" s="142"/>
      <c r="P86" s="142"/>
      <c r="Q86" s="143"/>
      <c r="R86" s="148"/>
      <c r="S86" s="142"/>
      <c r="T86" s="117"/>
      <c r="U86" s="117"/>
    </row>
    <row r="87" spans="1:21" ht="13.5" customHeight="1" x14ac:dyDescent="0.25">
      <c r="A87" s="117"/>
      <c r="B87" s="142"/>
      <c r="C87" s="142"/>
      <c r="D87" s="142"/>
      <c r="E87" s="164"/>
      <c r="F87" s="145"/>
      <c r="G87" s="117"/>
      <c r="H87" s="117"/>
      <c r="I87" s="117"/>
      <c r="J87" s="117"/>
      <c r="K87" s="143"/>
      <c r="L87" s="145"/>
      <c r="M87" s="142"/>
      <c r="N87" s="142"/>
      <c r="O87" s="142"/>
      <c r="P87" s="142"/>
      <c r="Q87" s="143"/>
      <c r="R87" s="148"/>
      <c r="S87" s="142"/>
      <c r="T87" s="117"/>
      <c r="U87" s="117"/>
    </row>
    <row r="88" spans="1:21" ht="28.5" customHeight="1" x14ac:dyDescent="0.25">
      <c r="A88" s="117"/>
      <c r="B88" s="142"/>
      <c r="C88" s="142"/>
      <c r="D88" s="142"/>
      <c r="E88" s="164"/>
      <c r="F88" s="145"/>
      <c r="G88" s="117"/>
      <c r="H88" s="117"/>
      <c r="I88" s="117"/>
      <c r="J88" s="117"/>
      <c r="K88" s="143"/>
      <c r="L88" s="145"/>
      <c r="M88" s="142"/>
      <c r="N88" s="142"/>
      <c r="O88" s="142"/>
      <c r="P88" s="142"/>
      <c r="Q88" s="143"/>
      <c r="R88" s="148"/>
      <c r="S88" s="142"/>
      <c r="T88" s="142"/>
      <c r="U88" s="117"/>
    </row>
    <row r="89" spans="1:21" ht="13.5" customHeight="1" x14ac:dyDescent="0.3">
      <c r="A89" s="117"/>
      <c r="B89" s="138" t="str">
        <f>"SPACE-TOWER, "&amp;List!$B$64&amp;" 5xC"</f>
        <v>SPACE-TOWER, sestava 5xC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75"/>
      <c r="N89" s="175"/>
      <c r="O89" s="175"/>
      <c r="P89" s="175"/>
      <c r="Q89" s="175"/>
      <c r="R89" s="175"/>
      <c r="S89" s="142"/>
      <c r="T89" s="142"/>
      <c r="U89" s="117"/>
    </row>
    <row r="90" spans="1:21" ht="13.5" customHeight="1" x14ac:dyDescent="0.35">
      <c r="A90" s="117"/>
      <c r="B90" s="141"/>
      <c r="C90" s="141"/>
      <c r="D90" s="141"/>
      <c r="E90" s="141"/>
      <c r="F90" s="140" t="str">
        <f>List!$B$72&amp;"  "</f>
        <v xml:space="preserve">přední reling  </v>
      </c>
      <c r="G90" s="117"/>
      <c r="H90" s="141"/>
      <c r="I90" s="141"/>
      <c r="J90" s="141"/>
      <c r="K90" s="141"/>
      <c r="L90" s="604" t="str">
        <f>List!$B$72&amp;"  "</f>
        <v xml:space="preserve">přední reling  </v>
      </c>
      <c r="M90" s="142"/>
      <c r="N90" s="141"/>
      <c r="O90" s="141"/>
      <c r="P90" s="141"/>
      <c r="Q90" s="141"/>
      <c r="R90" s="602"/>
      <c r="S90" s="142"/>
      <c r="T90" s="142"/>
      <c r="U90" s="117"/>
    </row>
    <row r="91" spans="1:21" ht="13.5" customHeight="1" x14ac:dyDescent="0.3">
      <c r="A91" s="117"/>
      <c r="B91" s="117"/>
      <c r="C91" s="117"/>
      <c r="D91" s="117"/>
      <c r="E91" s="143" t="str">
        <f>List!$B$79&amp;":"</f>
        <v>označení:</v>
      </c>
      <c r="F91" s="158" t="s">
        <v>23</v>
      </c>
      <c r="G91" s="117"/>
      <c r="H91" s="117"/>
      <c r="I91" s="117"/>
      <c r="J91" s="117"/>
      <c r="K91" s="143" t="str">
        <f>List!$B$79&amp;":"</f>
        <v>označení:</v>
      </c>
      <c r="L91" s="600" t="s">
        <v>780</v>
      </c>
      <c r="M91" s="142"/>
      <c r="N91" s="142"/>
      <c r="O91" s="142"/>
      <c r="P91" s="142"/>
      <c r="Q91" s="143"/>
      <c r="R91" s="148"/>
      <c r="S91" s="142"/>
      <c r="T91" s="142"/>
      <c r="U91" s="117"/>
    </row>
    <row r="92" spans="1:21" ht="13.5" customHeight="1" x14ac:dyDescent="0.25">
      <c r="A92" s="117"/>
      <c r="B92" s="117"/>
      <c r="C92" s="117"/>
      <c r="D92" s="117"/>
      <c r="E92" s="143" t="str">
        <f>List!$B$81&amp;":"</f>
        <v>provedení:</v>
      </c>
      <c r="F92" s="145" t="s">
        <v>771</v>
      </c>
      <c r="G92" s="117"/>
      <c r="H92" s="117"/>
      <c r="I92" s="117"/>
      <c r="J92" s="117"/>
      <c r="K92" s="143" t="str">
        <f>List!$B$81&amp;":"</f>
        <v>provedení:</v>
      </c>
      <c r="L92" s="145" t="s">
        <v>772</v>
      </c>
      <c r="M92" s="142"/>
      <c r="N92" s="142"/>
      <c r="O92" s="142"/>
      <c r="P92" s="142"/>
      <c r="Q92" s="142"/>
      <c r="R92" s="148"/>
      <c r="S92" s="142"/>
      <c r="T92" s="142"/>
      <c r="U92" s="117"/>
    </row>
    <row r="93" spans="1:21" ht="13.5" customHeight="1" x14ac:dyDescent="0.25">
      <c r="A93" s="117"/>
      <c r="B93" s="117"/>
      <c r="C93" s="117"/>
      <c r="D93" s="117"/>
      <c r="E93" s="143" t="str">
        <f>List!$B$80&amp;":"</f>
        <v>bočnice:</v>
      </c>
      <c r="F93" s="145" t="s">
        <v>406</v>
      </c>
      <c r="G93" s="117"/>
      <c r="H93" s="117"/>
      <c r="I93" s="117"/>
      <c r="J93" s="117"/>
      <c r="K93" s="143" t="str">
        <f>List!$B$80&amp;":"</f>
        <v>bočnice:</v>
      </c>
      <c r="L93" s="145" t="s">
        <v>406</v>
      </c>
      <c r="M93" s="142"/>
      <c r="N93" s="142"/>
      <c r="O93" s="142"/>
      <c r="P93" s="142"/>
      <c r="Q93" s="143"/>
      <c r="R93" s="148"/>
      <c r="S93" s="142"/>
      <c r="T93" s="142"/>
      <c r="U93" s="117"/>
    </row>
    <row r="94" spans="1:21" ht="13.5" customHeight="1" x14ac:dyDescent="0.25">
      <c r="A94" s="117"/>
      <c r="B94" s="117"/>
      <c r="C94" s="117"/>
      <c r="D94" s="117"/>
      <c r="E94" s="143" t="str">
        <f>List!$B$84&amp;":"</f>
        <v>potřebný prostor:</v>
      </c>
      <c r="F94" s="145" t="s">
        <v>86</v>
      </c>
      <c r="G94" s="117"/>
      <c r="H94" s="117"/>
      <c r="I94" s="117"/>
      <c r="J94" s="117"/>
      <c r="K94" s="143" t="str">
        <f>List!$B$84&amp;":"</f>
        <v>potřebný prostor:</v>
      </c>
      <c r="L94" s="145" t="s">
        <v>86</v>
      </c>
      <c r="M94" s="142"/>
      <c r="N94" s="142"/>
      <c r="O94" s="142"/>
      <c r="P94" s="142"/>
      <c r="Q94" s="143"/>
      <c r="R94" s="148"/>
      <c r="S94" s="142"/>
      <c r="T94" s="142"/>
      <c r="U94" s="117"/>
    </row>
    <row r="95" spans="1:21" ht="28.5" customHeight="1" x14ac:dyDescent="0.25">
      <c r="A95" s="117"/>
      <c r="B95" s="117"/>
      <c r="C95" s="117"/>
      <c r="D95" s="117"/>
      <c r="E95" s="143"/>
      <c r="F95" s="145"/>
      <c r="G95" s="117"/>
      <c r="H95" s="117"/>
      <c r="I95" s="117"/>
      <c r="J95" s="117"/>
      <c r="K95" s="143"/>
      <c r="L95" s="145"/>
      <c r="M95" s="142"/>
      <c r="N95" s="142"/>
      <c r="O95" s="142"/>
      <c r="P95" s="142"/>
      <c r="Q95" s="143"/>
      <c r="R95" s="148"/>
      <c r="S95" s="142"/>
      <c r="T95" s="142"/>
      <c r="U95" s="117"/>
    </row>
    <row r="96" spans="1:21" ht="13.5" customHeight="1" x14ac:dyDescent="0.25">
      <c r="A96" s="117"/>
      <c r="B96" s="117"/>
      <c r="C96" s="117"/>
      <c r="D96" s="117"/>
      <c r="E96" s="143"/>
      <c r="F96" s="145"/>
      <c r="G96" s="117"/>
      <c r="H96" s="117"/>
      <c r="I96" s="117"/>
      <c r="J96" s="117"/>
      <c r="K96" s="143"/>
      <c r="L96" s="145"/>
      <c r="M96" s="142"/>
      <c r="N96" s="142"/>
      <c r="O96" s="142"/>
      <c r="P96" s="142"/>
      <c r="Q96" s="143"/>
      <c r="R96" s="148"/>
      <c r="S96" s="142"/>
      <c r="T96" s="142"/>
      <c r="U96" s="117"/>
    </row>
    <row r="97" spans="1:21" ht="13.5" customHeight="1" x14ac:dyDescent="0.25">
      <c r="A97" s="117"/>
      <c r="B97" s="117"/>
      <c r="C97" s="117"/>
      <c r="D97" s="117"/>
      <c r="E97" s="143"/>
      <c r="F97" s="145"/>
      <c r="G97" s="117"/>
      <c r="H97" s="117"/>
      <c r="I97" s="117"/>
      <c r="J97" s="117"/>
      <c r="K97" s="143"/>
      <c r="L97" s="145"/>
      <c r="M97" s="142"/>
      <c r="N97" s="142"/>
      <c r="O97" s="142"/>
      <c r="P97" s="142"/>
      <c r="Q97" s="143"/>
      <c r="R97" s="148"/>
      <c r="S97" s="142"/>
      <c r="T97" s="117"/>
      <c r="U97" s="117"/>
    </row>
    <row r="98" spans="1:21" ht="13.5" customHeight="1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</row>
    <row r="99" spans="1:21" ht="13.5" customHeight="1" x14ac:dyDescent="0.25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</row>
    <row r="100" spans="1:21" ht="13.5" customHeight="1" x14ac:dyDescent="0.25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</row>
    <row r="101" spans="1:21" ht="13.5" customHeight="1" x14ac:dyDescent="0.2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</row>
    <row r="102" spans="1:21" ht="28.5" customHeight="1" x14ac:dyDescent="0.25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</row>
    <row r="103" spans="1:21" ht="13.5" customHeight="1" x14ac:dyDescent="0.25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</row>
    <row r="104" spans="1:21" ht="13.5" customHeight="1" x14ac:dyDescent="0.25">
      <c r="S104" s="117"/>
      <c r="T104" s="117"/>
      <c r="U104" s="117"/>
    </row>
    <row r="105" spans="1:21" ht="13.5" customHeight="1" x14ac:dyDescent="0.25">
      <c r="S105" s="117"/>
      <c r="T105" s="117"/>
      <c r="U105" s="117"/>
    </row>
    <row r="106" spans="1:21" ht="13.5" customHeight="1" x14ac:dyDescent="0.25">
      <c r="S106" s="117"/>
      <c r="T106" s="117"/>
      <c r="U106" s="117"/>
    </row>
    <row r="107" spans="1:21" ht="13.5" customHeight="1" x14ac:dyDescent="0.25">
      <c r="S107" s="117"/>
      <c r="T107" s="117"/>
      <c r="U107" s="117"/>
    </row>
    <row r="108" spans="1:21" ht="13.5" customHeight="1" x14ac:dyDescent="0.25">
      <c r="S108" s="117"/>
      <c r="T108" s="117"/>
      <c r="U108" s="117"/>
    </row>
    <row r="109" spans="1:21" ht="13.5" customHeight="1" x14ac:dyDescent="0.25">
      <c r="S109" s="117"/>
      <c r="T109" s="117"/>
      <c r="U109" s="117"/>
    </row>
    <row r="110" spans="1:21" ht="13.5" customHeight="1" x14ac:dyDescent="0.25">
      <c r="S110" s="117"/>
      <c r="T110" s="117"/>
      <c r="U110" s="117"/>
    </row>
    <row r="111" spans="1:21" ht="13.5" customHeight="1" x14ac:dyDescent="0.25">
      <c r="S111" s="117"/>
      <c r="T111" s="117"/>
      <c r="U111" s="117"/>
    </row>
    <row r="112" spans="1:21" ht="13.5" customHeight="1" x14ac:dyDescent="0.25">
      <c r="S112" s="117"/>
      <c r="T112" s="117"/>
      <c r="U112" s="117"/>
    </row>
    <row r="113" spans="19:21" ht="13.5" customHeight="1" x14ac:dyDescent="0.25">
      <c r="S113" s="117"/>
      <c r="T113" s="117"/>
      <c r="U113" s="117"/>
    </row>
    <row r="114" spans="19:21" ht="13.5" customHeight="1" x14ac:dyDescent="0.25">
      <c r="S114" s="117"/>
      <c r="T114" s="117"/>
      <c r="U114" s="117"/>
    </row>
    <row r="115" spans="19:21" ht="13.5" customHeight="1" x14ac:dyDescent="0.25">
      <c r="S115" s="117"/>
      <c r="T115" s="117"/>
      <c r="U115" s="117"/>
    </row>
    <row r="116" spans="19:21" ht="13.5" customHeight="1" x14ac:dyDescent="0.25">
      <c r="S116" s="117"/>
      <c r="T116" s="117"/>
      <c r="U116" s="117"/>
    </row>
    <row r="117" spans="19:21" ht="13.5" customHeight="1" x14ac:dyDescent="0.25">
      <c r="S117" s="117"/>
      <c r="T117" s="117"/>
    </row>
    <row r="118" spans="19:21" ht="13.5" customHeight="1" x14ac:dyDescent="0.25"/>
    <row r="119" spans="19:21" ht="13.5" customHeight="1" x14ac:dyDescent="0.25"/>
    <row r="120" spans="19:21" ht="13.5" customHeight="1" x14ac:dyDescent="0.25"/>
    <row r="121" spans="19:21" ht="13.5" customHeight="1" x14ac:dyDescent="0.25"/>
    <row r="183" spans="1:2" x14ac:dyDescent="0.25">
      <c r="A183" s="823"/>
    </row>
    <row r="184" spans="1:2" ht="15.5" x14ac:dyDescent="0.35">
      <c r="A184" s="823"/>
      <c r="B184" s="230" t="str">
        <f>"      "&amp;List!$B$16&amp;": "&amp;List!$B$4</f>
        <v xml:space="preserve">      Nápověda: Výběr zásuvek a výsuvů</v>
      </c>
    </row>
    <row r="185" spans="1:2" x14ac:dyDescent="0.25">
      <c r="A185" s="823"/>
    </row>
    <row r="186" spans="1:2" x14ac:dyDescent="0.25">
      <c r="A186" s="823"/>
      <c r="B186" s="2" t="str">
        <f>List!$B$286</f>
        <v>Kliknutím na označení vyberte požadovaný výsuv</v>
      </c>
    </row>
    <row r="187" spans="1:2" x14ac:dyDescent="0.25">
      <c r="A187" s="823"/>
    </row>
    <row r="188" spans="1:2" x14ac:dyDescent="0.25">
      <c r="A188" s="823"/>
    </row>
    <row r="189" spans="1:2" x14ac:dyDescent="0.25">
      <c r="A189" s="823"/>
    </row>
    <row r="190" spans="1:2" x14ac:dyDescent="0.25">
      <c r="A190" s="823"/>
    </row>
    <row r="191" spans="1:2" x14ac:dyDescent="0.25">
      <c r="A191" s="823"/>
    </row>
    <row r="192" spans="1:2" x14ac:dyDescent="0.25">
      <c r="A192" s="823"/>
    </row>
    <row r="193" spans="1:8" x14ac:dyDescent="0.25">
      <c r="A193" s="823"/>
    </row>
    <row r="194" spans="1:8" x14ac:dyDescent="0.25">
      <c r="A194" s="823"/>
    </row>
    <row r="195" spans="1:8" x14ac:dyDescent="0.25">
      <c r="A195" s="823"/>
    </row>
    <row r="196" spans="1:8" x14ac:dyDescent="0.25">
      <c r="A196" s="823"/>
    </row>
    <row r="197" spans="1:8" x14ac:dyDescent="0.25">
      <c r="A197" s="823"/>
    </row>
    <row r="198" spans="1:8" x14ac:dyDescent="0.25">
      <c r="A198" s="823"/>
    </row>
    <row r="199" spans="1:8" x14ac:dyDescent="0.25">
      <c r="A199" s="823"/>
    </row>
    <row r="200" spans="1:8" x14ac:dyDescent="0.25">
      <c r="A200" s="823"/>
    </row>
    <row r="201" spans="1:8" x14ac:dyDescent="0.25">
      <c r="A201" s="823"/>
    </row>
    <row r="202" spans="1:8" x14ac:dyDescent="0.25">
      <c r="A202" s="823"/>
    </row>
    <row r="203" spans="1:8" x14ac:dyDescent="0.25">
      <c r="A203" s="823"/>
      <c r="F203" s="832" t="str">
        <f>List!$B$113</f>
        <v>Zpět na úvod</v>
      </c>
      <c r="G203" s="832"/>
      <c r="H203" s="832"/>
    </row>
    <row r="204" spans="1:8" x14ac:dyDescent="0.25">
      <c r="A204" s="823"/>
    </row>
    <row r="205" spans="1:8" x14ac:dyDescent="0.25">
      <c r="A205" s="823"/>
    </row>
    <row r="206" spans="1:8" x14ac:dyDescent="0.25">
      <c r="A206" s="823"/>
    </row>
    <row r="207" spans="1:8" x14ac:dyDescent="0.25">
      <c r="A207" s="823"/>
    </row>
    <row r="208" spans="1:8" x14ac:dyDescent="0.25">
      <c r="A208" s="823"/>
    </row>
    <row r="209" spans="1:1" x14ac:dyDescent="0.25">
      <c r="A209" s="823"/>
    </row>
    <row r="210" spans="1:1" x14ac:dyDescent="0.25">
      <c r="A210" s="823"/>
    </row>
    <row r="211" spans="1:1" x14ac:dyDescent="0.25">
      <c r="A211" s="823"/>
    </row>
    <row r="212" spans="1:1" x14ac:dyDescent="0.25">
      <c r="A212" s="823"/>
    </row>
    <row r="213" spans="1:1" x14ac:dyDescent="0.25">
      <c r="A213" s="823"/>
    </row>
    <row r="214" spans="1:1" x14ac:dyDescent="0.25">
      <c r="A214" s="823"/>
    </row>
    <row r="215" spans="1:1" x14ac:dyDescent="0.25">
      <c r="A215" s="823"/>
    </row>
    <row r="216" spans="1:1" x14ac:dyDescent="0.25">
      <c r="A216" s="823"/>
    </row>
    <row r="217" spans="1:1" x14ac:dyDescent="0.25">
      <c r="A217" s="823"/>
    </row>
    <row r="218" spans="1:1" x14ac:dyDescent="0.25">
      <c r="A218" s="823"/>
    </row>
    <row r="219" spans="1:1" x14ac:dyDescent="0.25">
      <c r="A219" s="823"/>
    </row>
    <row r="220" spans="1:1" x14ac:dyDescent="0.25">
      <c r="A220" s="823"/>
    </row>
    <row r="221" spans="1:1" x14ac:dyDescent="0.25">
      <c r="A221" s="823"/>
    </row>
    <row r="222" spans="1:1" x14ac:dyDescent="0.25">
      <c r="A222" s="823"/>
    </row>
    <row r="223" spans="1:1" x14ac:dyDescent="0.25">
      <c r="A223" s="823"/>
    </row>
    <row r="224" spans="1:1" x14ac:dyDescent="0.25">
      <c r="A224" s="823"/>
    </row>
  </sheetData>
  <sheetProtection algorithmName="SHA-512" hashValue="F06kgSovu7oWvT+oH27cOxIwUOOEDsFGzA4B3noFFo4RFTUA/qMMid+ELPKa1vpTj5k5pNLiqlvbjOPfNmejDw==" saltValue="IWyziIkZ24oDWPsdF6qW+g==" spinCount="100000" sheet="1" objects="1" scenarios="1"/>
  <mergeCells count="2">
    <mergeCell ref="A183:A224"/>
    <mergeCell ref="F203:H203"/>
  </mergeCells>
  <phoneticPr fontId="52" type="noConversion"/>
  <hyperlinks>
    <hyperlink ref="T3" location="Form!A1" tooltip=" " display="Form!A1" xr:uid="{00000000-0004-0000-0100-000000000000}"/>
    <hyperlink ref="T6" location="Acs!A1" tooltip=" " display="Acs!A1" xr:uid="{00000000-0004-0000-0100-000001000000}"/>
    <hyperlink ref="L3" location="'7M400P'!A1" tooltip=" " display="7M 400P" xr:uid="{00000000-0004-0000-0100-000002000000}"/>
    <hyperlink ref="L11" location="'7M40VP'!A1" tooltip=" " display="7M 40VP" xr:uid="{00000000-0004-0000-0100-000003000000}"/>
    <hyperlink ref="F3" location="'7N400P'!A1" tooltip=" " display="7N 400P" xr:uid="{00000000-0004-0000-0100-000004000000}"/>
    <hyperlink ref="R3" location="'7K400P'!A1" tooltip=" " display="7K 400P" xr:uid="{00000000-0004-0000-0100-000005000000}"/>
    <hyperlink ref="L25" location="'7C41NP'!A1" tooltip=" " display="7C 41NP" xr:uid="{00000000-0004-0000-0100-000006000000}"/>
    <hyperlink ref="R25" location="'7C41RP'!A1" tooltip=" " display="7C 31RP" xr:uid="{00000000-0004-0000-0100-000007000000}"/>
    <hyperlink ref="F82" location="'7STCGP'!A1" tooltip=" " display="7ST CGP" xr:uid="{00000000-0004-0000-0100-000008000000}"/>
    <hyperlink ref="T13" location="Menu!A200" tooltip=" " display="Menu!A200" xr:uid="{00000000-0004-0000-0100-000009000000}"/>
    <hyperlink ref="F203" location="HFww!A1" tooltip=" " display="HFww!A1" xr:uid="{00000000-0004-0000-0100-00000A000000}"/>
    <hyperlink ref="F203:H203" location="Menu!A1" tooltip=" " display="Menu!A1" xr:uid="{00000000-0004-0000-0100-00000B000000}"/>
    <hyperlink ref="T9" location="Sum!A1" tooltip=" " display="Sum!A1" xr:uid="{00000000-0004-0000-0100-00000C000000}"/>
    <hyperlink ref="T7" location="SD!A1" tooltip=" " display="SD!A1" xr:uid="{00000000-0004-0000-0100-00000D000000}"/>
    <hyperlink ref="F18" location="'7C410P'!A1" tooltip=" " display="7C 410P" xr:uid="{00000000-0004-0000-0100-00000E000000}"/>
    <hyperlink ref="F25" location="'7C41VP'!A1" tooltip=" " display="7C 41VP" xr:uid="{00000000-0004-0000-0100-00000F000000}"/>
    <hyperlink ref="T8" location="AL!A1" tooltip=" " display="AL!A1" xr:uid="{00000000-0004-0000-0100-000010000000}"/>
    <hyperlink ref="R18" location="'7F410P'!A1" tooltip=" " display="7F 410P" xr:uid="{00000000-0004-0000-0100-000011000000}"/>
    <hyperlink ref="F64" location="'7STMGP'!A1" tooltip=" " display="7ST MGP" xr:uid="{00000000-0004-0000-0100-000012000000}"/>
    <hyperlink ref="F91" location="'7STCRP'!A1" tooltip=" " display="7ST CRP" xr:uid="{00000000-0004-0000-0100-000013000000}"/>
    <hyperlink ref="F73" location="'7STMRP'!A1" tooltip=" " display="7ST MRP" xr:uid="{00000000-0004-0000-0100-000014000000}"/>
    <hyperlink ref="F56" location="'7CM52P'!A1" tooltip=" " display="7C M52P" xr:uid="{00000000-0004-0000-0100-000015000000}"/>
    <hyperlink ref="R41" location="'7M442P'!A1" tooltip=" " display="7M 442P" xr:uid="{00000000-0004-0000-0100-000016000000}"/>
    <hyperlink ref="F41" location="'7C442P'!A1" tooltip=" " display="7C 442P" xr:uid="{00000000-0004-0000-0100-000017000000}"/>
    <hyperlink ref="L18" location="'7C410F'!A1" tooltip=" " display="7C 410F" xr:uid="{00000000-0004-0000-0100-000018000000}"/>
    <hyperlink ref="F33" location="'7C41VF'!A1" tooltip=" " display="7C 41VF" xr:uid="{00000000-0004-0000-0100-000019000000}"/>
    <hyperlink ref="L33" location="'7C41NF'!A1" tooltip=" " display="7C 41NF" xr:uid="{00000000-0004-0000-0100-00001A000000}"/>
    <hyperlink ref="R33" location="'7C41RF'!A1" tooltip=" " display="7C 31RF" xr:uid="{00000000-0004-0000-0100-00001B000000}"/>
    <hyperlink ref="F48" location="'7CM42P'!A1" tooltip=" " display="7C M42P" xr:uid="{00000000-0004-0000-0100-00001C000000}"/>
    <hyperlink ref="L41" location="'7C442F'!A1" tooltip=" " display="7C 442F" xr:uid="{00000000-0004-0000-0100-00001D000000}"/>
    <hyperlink ref="L48" location="'7CM42F'!A1" tooltip=" " display="7C M42F" xr:uid="{00000000-0004-0000-0100-00001E000000}"/>
    <hyperlink ref="L56" location="'7CM52F'!A1" tooltip=" " display="7C M52F" xr:uid="{00000000-0004-0000-0100-00001F000000}"/>
    <hyperlink ref="L82" location="'7STCGF'!A1" tooltip=" " display="7ST CGF" xr:uid="{00000000-0004-0000-0100-000020000000}"/>
    <hyperlink ref="L91" location="'7STCRF'!A1" tooltip=" " display="7ST CRF" xr:uid="{00000000-0004-0000-0100-000021000000}"/>
    <hyperlink ref="L64" location="'7STMGF'!A1" tooltip=" " display="7ST MGF" xr:uid="{00000000-0004-0000-0100-000022000000}"/>
    <hyperlink ref="L73" location="'7STMRF'!A1" tooltip=" " display="7ST MRF" xr:uid="{00000000-0004-0000-0100-000023000000}"/>
  </hyperlinks>
  <pageMargins left="0.39370078740157483" right="0.39370078740157483" top="0.47244094488188981" bottom="0.59055118110236227" header="0.31496062992125984" footer="0.31496062992125984"/>
  <pageSetup paperSize="9" scale="98" orientation="landscape" verticalDpi="200" r:id="rId1"/>
  <rowBreaks count="1" manualBreakCount="1">
    <brk id="22" min="1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4">
    <tabColor theme="5" tint="0.39997558519241921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hidden="1" customWidth="1"/>
    <col min="15" max="15" width="3.816406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List!$B$55&amp;" C/M"</f>
        <v>Dřezový výsuv C/M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389" t="str">
        <f>Cen!A36</f>
        <v>Bočnice M 300mm, Orion šedá</v>
      </c>
      <c r="Q3" s="389" t="str">
        <f>Cen!B36</f>
        <v>770M3002S</v>
      </c>
      <c r="R3" s="389" t="str">
        <f>Cen!C36</f>
        <v>OG-M</v>
      </c>
      <c r="S3" s="416">
        <f>SUM(H21:H22, H27:H28, H33:H34)</f>
        <v>0</v>
      </c>
      <c r="T3" s="417">
        <f>Cen!F36</f>
        <v>588.26232000000005</v>
      </c>
      <c r="U3" s="390">
        <f t="shared" ref="U3:U5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908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389" t="str">
        <f>Cen!A41</f>
        <v>Bočnice M 350mm, Orion šedá</v>
      </c>
      <c r="Q4" s="389" t="str">
        <f>Cen!B41</f>
        <v>770M3502S</v>
      </c>
      <c r="R4" s="389" t="str">
        <f>Cen!C41</f>
        <v>OG-M</v>
      </c>
      <c r="S4" s="416">
        <f>SUM(I21:I22, I27:I28, I33:I34)</f>
        <v>0</v>
      </c>
      <c r="T4" s="417">
        <f>Cen!F41</f>
        <v>588.26232000000005</v>
      </c>
      <c r="U4" s="390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389" t="str">
        <f>Cen!A46</f>
        <v>Bočnice M 400mm, Orion šedá</v>
      </c>
      <c r="Q5" s="389" t="str">
        <f>Cen!B46</f>
        <v>770M4002S</v>
      </c>
      <c r="R5" s="389" t="str">
        <f>Cen!C46</f>
        <v>OG-M</v>
      </c>
      <c r="S5" s="416">
        <f>SUM(J21:J22, J27:J28, J33:J34)</f>
        <v>0</v>
      </c>
      <c r="T5" s="417">
        <f>Cen!F46</f>
        <v>595.32592999999997</v>
      </c>
      <c r="U5" s="390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389" t="str">
        <f>Cen!A51</f>
        <v>Bočnice M 450mm, Orion šedá</v>
      </c>
      <c r="Q6" s="389" t="str">
        <f>Cen!B51</f>
        <v>770M4502S</v>
      </c>
      <c r="R6" s="389" t="str">
        <f>Cen!C51</f>
        <v>OG-M</v>
      </c>
      <c r="S6" s="416">
        <f>SUM(K21:K22, K27:K28, K33:K34)</f>
        <v>0</v>
      </c>
      <c r="T6" s="417">
        <f>Cen!F51</f>
        <v>588.37465999999995</v>
      </c>
      <c r="U6" s="390">
        <f>S6*T6</f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389" t="str">
        <f>Cen!A56</f>
        <v>Bočnice M 500mm, Orion šedá</v>
      </c>
      <c r="Q7" s="389" t="str">
        <f>Cen!B56</f>
        <v>770M5002S</v>
      </c>
      <c r="R7" s="389" t="str">
        <f>Cen!C56</f>
        <v>OG-M</v>
      </c>
      <c r="S7" s="416">
        <f>SUM(L21:L22, L27:L28, L33:L34)</f>
        <v>0</v>
      </c>
      <c r="T7" s="417">
        <f>Cen!F56</f>
        <v>595.274</v>
      </c>
      <c r="U7" s="390">
        <f>S7*T7</f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389"/>
      <c r="Q8" s="389"/>
      <c r="R8" s="389"/>
      <c r="S8" s="416"/>
      <c r="T8" s="417"/>
      <c r="U8" s="390"/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U87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Cen!A176</f>
        <v>Bočnice C free, 450mm, Orion šedá</v>
      </c>
      <c r="Q9" s="125" t="str">
        <f>Cen!B176</f>
        <v>780C4502S</v>
      </c>
      <c r="R9" s="125" t="str">
        <f>Cen!C176</f>
        <v>OG-M</v>
      </c>
      <c r="S9" s="257">
        <f>SUM(H21:H22, H27:H28, H33:H34)</f>
        <v>0</v>
      </c>
      <c r="T9" s="261">
        <f>Cen!F176</f>
        <v>971.33302000000003</v>
      </c>
      <c r="U9" s="258">
        <f t="shared" ref="U9:U12" si="1">S9*T9</f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Cen!A181</f>
        <v>Bočnice C free, 500mm, Orion šedá</v>
      </c>
      <c r="Q10" s="125" t="str">
        <f>Cen!B181</f>
        <v>780C5002S</v>
      </c>
      <c r="R10" s="125" t="str">
        <f>Cen!C181</f>
        <v>OG-M</v>
      </c>
      <c r="S10" s="257">
        <f>SUM(I21:I22, I27:I28, I33:I34)</f>
        <v>0</v>
      </c>
      <c r="T10" s="261">
        <f>Cen!F181</f>
        <v>978.39665000000002</v>
      </c>
      <c r="U10" s="258">
        <f t="shared" si="1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Cen!A186</f>
        <v>Bočnice C free, 550mm, Orion šedá</v>
      </c>
      <c r="Q11" s="125" t="str">
        <f>Cen!B186</f>
        <v>780C5502S</v>
      </c>
      <c r="R11" s="125" t="str">
        <f>Cen!C186</f>
        <v>OG-M</v>
      </c>
      <c r="S11" s="257">
        <f>SUM(J21:J22, J27:J28, J33:J34)</f>
        <v>0</v>
      </c>
      <c r="T11" s="261">
        <f>Cen!F186</f>
        <v>1034.8882699999999</v>
      </c>
      <c r="U11" s="258">
        <f t="shared" si="1"/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5" t="str">
        <f>Cen!A191</f>
        <v>Bočnice C free, 600mm, Orion šedá</v>
      </c>
      <c r="Q12" s="125" t="str">
        <f>Cen!B191</f>
        <v>780C6002S</v>
      </c>
      <c r="R12" s="125" t="str">
        <f>Cen!C191</f>
        <v>OG-M</v>
      </c>
      <c r="S12" s="257">
        <f>SUM(K21:K22, K27:K28, K33:K34)</f>
        <v>0</v>
      </c>
      <c r="T12" s="261">
        <f>Cen!F191</f>
        <v>1123.16077</v>
      </c>
      <c r="U12" s="258">
        <f t="shared" si="1"/>
        <v>0</v>
      </c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125" t="str">
        <f>Cen!A196</f>
        <v>Bočnice C free, 650mm, Orion šedá</v>
      </c>
      <c r="Q13" s="125" t="str">
        <f>Cen!B196</f>
        <v>780C6502S</v>
      </c>
      <c r="R13" s="125" t="str">
        <f>Cen!C196</f>
        <v>OG-M</v>
      </c>
      <c r="S13" s="257">
        <f>SUM(L21:L22, L27:L28, L33:L34)</f>
        <v>0</v>
      </c>
      <c r="T13" s="261">
        <f>Cen!F196</f>
        <v>1156.3666000000001</v>
      </c>
      <c r="U13" s="258">
        <f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124"/>
      <c r="Q14" s="124"/>
      <c r="R14" s="124"/>
      <c r="S14" s="327"/>
      <c r="T14" s="393"/>
      <c r="U14" s="328"/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356" t="str">
        <f>Cen!A243</f>
        <v>Korpusové lišty BLUMOTION S, 350mm, 40kg</v>
      </c>
      <c r="Q15" s="356" t="str">
        <f>Cen!B243</f>
        <v>750.3501S</v>
      </c>
      <c r="R15" s="356" t="str">
        <f>Cen!C243</f>
        <v>ZN</v>
      </c>
      <c r="S15" s="357"/>
      <c r="T15" s="358">
        <f>Cen!F243</f>
        <v>695.93676999999991</v>
      </c>
      <c r="U15" s="358">
        <f t="shared" ref="U15:U24" si="2">S15*T15</f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356" t="str">
        <f>Cen!A244</f>
        <v>Korpusové lišty BLUMOTION S, 400mm, 40kg</v>
      </c>
      <c r="Q16" s="356" t="str">
        <f>Cen!B244</f>
        <v>750.4001S</v>
      </c>
      <c r="R16" s="356" t="str">
        <f>Cen!C244</f>
        <v>ZN</v>
      </c>
      <c r="S16" s="357"/>
      <c r="T16" s="358">
        <f>Cen!F244</f>
        <v>704.8</v>
      </c>
      <c r="U16" s="358">
        <f t="shared" si="2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SUM(H$21, H$33)</f>
        <v>0</v>
      </c>
      <c r="T17" s="256">
        <f>Cen!F245</f>
        <v>697.06186000000002</v>
      </c>
      <c r="U17" s="256">
        <f t="shared" si="2"/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SUM(H$22, H$34)</f>
        <v>0</v>
      </c>
      <c r="T18" s="256">
        <f>Cen!F246</f>
        <v>881.76589000000013</v>
      </c>
      <c r="U18" s="256">
        <f t="shared" si="2"/>
        <v>0</v>
      </c>
    </row>
    <row r="19" spans="1:21" ht="15.5" x14ac:dyDescent="0.3">
      <c r="A19" s="117"/>
      <c r="B19" s="307" t="s">
        <v>434</v>
      </c>
      <c r="C19" s="7"/>
      <c r="H19" s="285"/>
      <c r="I19" s="285"/>
      <c r="J19" s="285"/>
      <c r="K19" s="285"/>
      <c r="L19" s="285"/>
      <c r="M19" s="117"/>
      <c r="N19" s="117"/>
      <c r="O19" s="117"/>
      <c r="P19" s="336" t="str">
        <f>Cen!A247</f>
        <v>Korpusové lišty BLUMOTION S, 500mm, 40kg</v>
      </c>
      <c r="Q19" s="336" t="str">
        <f>Cen!B247</f>
        <v>750.5001S</v>
      </c>
      <c r="R19" s="336" t="str">
        <f>Cen!C247</f>
        <v>ZN</v>
      </c>
      <c r="S19" s="337">
        <f>SUM(I$21, I$33)</f>
        <v>0</v>
      </c>
      <c r="T19" s="338">
        <f>Cen!F247</f>
        <v>705.71905000000004</v>
      </c>
      <c r="U19" s="338">
        <f t="shared" si="2"/>
        <v>0</v>
      </c>
    </row>
    <row r="20" spans="1:21" ht="14" x14ac:dyDescent="0.3">
      <c r="A20" s="117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301" t="s">
        <v>525</v>
      </c>
      <c r="J20" s="300" t="s">
        <v>526</v>
      </c>
      <c r="K20" s="302" t="s">
        <v>112</v>
      </c>
      <c r="L20" s="302" t="s">
        <v>770</v>
      </c>
      <c r="M20" s="117"/>
      <c r="N20" s="117"/>
      <c r="O20" s="117"/>
      <c r="P20" s="336" t="str">
        <f>Cen!A248</f>
        <v>Korpusové lišty BLUMOTION S, 500mm, 70kg</v>
      </c>
      <c r="Q20" s="336" t="str">
        <f>Cen!B248</f>
        <v>753.5001S</v>
      </c>
      <c r="R20" s="336" t="str">
        <f>Cen!C248</f>
        <v>ZN</v>
      </c>
      <c r="S20" s="337">
        <f>SUM(I$22, I$34)</f>
        <v>0</v>
      </c>
      <c r="T20" s="338">
        <f>Cen!F248</f>
        <v>890.62918000000002</v>
      </c>
      <c r="U20" s="338">
        <f t="shared" si="2"/>
        <v>0</v>
      </c>
    </row>
    <row r="21" spans="1:21" ht="14.5" thickBot="1" x14ac:dyDescent="0.35">
      <c r="A21" s="117"/>
      <c r="B21" s="292" t="s">
        <v>909</v>
      </c>
      <c r="C21" s="293" t="s">
        <v>432</v>
      </c>
      <c r="D21" s="347"/>
      <c r="E21" s="347"/>
      <c r="F21" s="347"/>
      <c r="G21" s="347"/>
      <c r="H21" s="294"/>
      <c r="I21" s="294"/>
      <c r="J21" s="294"/>
      <c r="K21" s="295"/>
      <c r="L21" s="55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SUM(J$21, J$33)</f>
        <v>0</v>
      </c>
      <c r="T21" s="256">
        <f>Cen!F249</f>
        <v>769.83820000000003</v>
      </c>
      <c r="U21" s="256">
        <f t="shared" si="2"/>
        <v>0</v>
      </c>
    </row>
    <row r="22" spans="1:21" ht="14" x14ac:dyDescent="0.3">
      <c r="A22" s="117"/>
      <c r="B22" s="296" t="s">
        <v>909</v>
      </c>
      <c r="C22" s="306" t="s">
        <v>433</v>
      </c>
      <c r="D22" s="362"/>
      <c r="E22" s="362"/>
      <c r="F22" s="362"/>
      <c r="G22" s="362"/>
      <c r="H22" s="298"/>
      <c r="I22" s="298"/>
      <c r="J22" s="298"/>
      <c r="K22" s="299"/>
      <c r="L22" s="299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SUM(J$22, J$34)</f>
        <v>0</v>
      </c>
      <c r="T22" s="256">
        <f>Cen!F250</f>
        <v>937.94550000000004</v>
      </c>
      <c r="U22" s="256">
        <f t="shared" si="2"/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SUM(K$21, K$33)</f>
        <v>0</v>
      </c>
      <c r="T23" s="256">
        <f>Cen!F251</f>
        <v>865.24247000000003</v>
      </c>
      <c r="U23" s="256">
        <f t="shared" si="2"/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SUM(K$22, K$34)</f>
        <v>0</v>
      </c>
      <c r="T24" s="256">
        <f>Cen!F252</f>
        <v>1033.34979</v>
      </c>
      <c r="U24" s="256">
        <f t="shared" si="2"/>
        <v>0</v>
      </c>
    </row>
    <row r="25" spans="1:21" ht="15.5" x14ac:dyDescent="0.35">
      <c r="A25" s="117"/>
      <c r="B25" s="308" t="s">
        <v>228</v>
      </c>
      <c r="C25" s="304"/>
      <c r="H25" s="283"/>
      <c r="I25" s="283"/>
      <c r="J25" s="283"/>
      <c r="K25" s="283"/>
      <c r="L25" s="283"/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SUM(L$22, L$34)</f>
        <v>0</v>
      </c>
      <c r="T25" s="256">
        <f>Cen!F253</f>
        <v>1080.66551</v>
      </c>
      <c r="U25" s="256">
        <f>S25*T25</f>
        <v>0</v>
      </c>
    </row>
    <row r="26" spans="1:21" ht="15.5" x14ac:dyDescent="0.35">
      <c r="A26" s="117"/>
      <c r="B26" s="308"/>
      <c r="C26" s="315" t="str">
        <f>List!$B$118&amp;":"</f>
        <v>Jmenovitá délka:</v>
      </c>
      <c r="D26" s="303"/>
      <c r="E26" s="300"/>
      <c r="F26" s="300"/>
      <c r="G26" s="300"/>
      <c r="H26" s="300" t="s">
        <v>111</v>
      </c>
      <c r="I26" s="301" t="s">
        <v>525</v>
      </c>
      <c r="J26" s="300" t="s">
        <v>526</v>
      </c>
      <c r="K26" s="302" t="s">
        <v>112</v>
      </c>
      <c r="L26" s="302" t="s">
        <v>770</v>
      </c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.5" thickBot="1" x14ac:dyDescent="0.35">
      <c r="A27" s="117"/>
      <c r="B27" s="292" t="s">
        <v>673</v>
      </c>
      <c r="C27" s="293" t="s">
        <v>432</v>
      </c>
      <c r="D27" s="347"/>
      <c r="E27" s="347"/>
      <c r="F27" s="347"/>
      <c r="G27" s="347"/>
      <c r="H27" s="294"/>
      <c r="I27" s="294"/>
      <c r="J27" s="294"/>
      <c r="K27" s="295"/>
      <c r="L27" s="559"/>
      <c r="M27" s="117"/>
      <c r="N27" s="117"/>
      <c r="O27" s="117"/>
      <c r="P27" s="356" t="str">
        <f>Cen!A259</f>
        <v>Korpusové lišty TIP-ON, 350mm, 40kg</v>
      </c>
      <c r="Q27" s="356" t="str">
        <f>Cen!B259</f>
        <v>750.3501T</v>
      </c>
      <c r="R27" s="356" t="str">
        <f>Cen!C259</f>
        <v>ZN</v>
      </c>
      <c r="S27" s="357"/>
      <c r="T27" s="358">
        <f>Cen!F259</f>
        <v>963.84325999999999</v>
      </c>
      <c r="U27" s="358">
        <f t="shared" ref="U27:U36" si="3">S27*T27</f>
        <v>0</v>
      </c>
    </row>
    <row r="28" spans="1:21" ht="14" x14ac:dyDescent="0.3">
      <c r="A28" s="117"/>
      <c r="B28" s="291" t="s">
        <v>674</v>
      </c>
      <c r="C28" s="305" t="s">
        <v>433</v>
      </c>
      <c r="D28" s="362"/>
      <c r="E28" s="362"/>
      <c r="F28" s="362"/>
      <c r="G28" s="362"/>
      <c r="H28" s="298"/>
      <c r="I28" s="298"/>
      <c r="J28" s="298"/>
      <c r="K28" s="299"/>
      <c r="L28" s="299"/>
      <c r="M28" s="117"/>
      <c r="N28" s="117"/>
      <c r="O28" s="117"/>
      <c r="P28" s="356" t="str">
        <f>Cen!A260</f>
        <v>Korpusové lišty TIP-ON, 400mm, 40kg</v>
      </c>
      <c r="Q28" s="356" t="str">
        <f>Cen!B260</f>
        <v>750.4001T</v>
      </c>
      <c r="R28" s="356" t="str">
        <f>Cen!C260</f>
        <v>ZN</v>
      </c>
      <c r="S28" s="357"/>
      <c r="T28" s="358">
        <f>Cen!F260</f>
        <v>972.70714999999996</v>
      </c>
      <c r="U28" s="358">
        <f t="shared" si="3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283"/>
      <c r="I29" s="283"/>
      <c r="J29" s="283"/>
      <c r="K29" s="283"/>
      <c r="L29" s="283"/>
      <c r="M29" s="117"/>
      <c r="N29" s="117"/>
      <c r="O29" s="117"/>
      <c r="P29" s="205" t="str">
        <f>Cen!A261</f>
        <v>Korpusové lišty TIP-ON, 450mm, 40kg</v>
      </c>
      <c r="Q29" s="205" t="str">
        <f>Cen!B261</f>
        <v>750.4501T</v>
      </c>
      <c r="R29" s="205" t="str">
        <f>Cen!C261</f>
        <v>ZN</v>
      </c>
      <c r="S29" s="255">
        <f>H27</f>
        <v>0</v>
      </c>
      <c r="T29" s="256">
        <f>Cen!F261</f>
        <v>958.74321999999995</v>
      </c>
      <c r="U29" s="256">
        <f t="shared" si="3"/>
        <v>0</v>
      </c>
    </row>
    <row r="30" spans="1:21" ht="13" x14ac:dyDescent="0.3">
      <c r="A30" s="117"/>
      <c r="B30" s="282"/>
      <c r="C30" s="282"/>
      <c r="D30" s="117"/>
      <c r="E30" s="117"/>
      <c r="F30" s="117"/>
      <c r="G30" s="117"/>
      <c r="H30" s="142"/>
      <c r="I30" s="142"/>
      <c r="J30" s="117"/>
      <c r="K30" s="117"/>
      <c r="L30" s="117"/>
      <c r="M30" s="117"/>
      <c r="N30" s="117"/>
      <c r="O30" s="117"/>
      <c r="P30" s="205" t="str">
        <f>Cen!A262</f>
        <v>Korpusové lišty TIP-ON, 450mm, 70kg</v>
      </c>
      <c r="Q30" s="205" t="str">
        <f>Cen!B262</f>
        <v>753.4501T</v>
      </c>
      <c r="R30" s="205" t="str">
        <f>Cen!C262</f>
        <v>ZN</v>
      </c>
      <c r="S30" s="255">
        <f>H28</f>
        <v>0</v>
      </c>
      <c r="T30" s="256">
        <f>Cen!F262</f>
        <v>1142.8525999999999</v>
      </c>
      <c r="U30" s="256">
        <f t="shared" si="3"/>
        <v>0</v>
      </c>
    </row>
    <row r="31" spans="1:21" ht="16" thickBot="1" x14ac:dyDescent="0.4">
      <c r="A31" s="117"/>
      <c r="B31" s="308" t="s">
        <v>940</v>
      </c>
      <c r="C31" s="304"/>
      <c r="H31" s="283"/>
      <c r="I31" s="283"/>
      <c r="J31" s="283"/>
      <c r="K31" s="283"/>
      <c r="L31" s="283"/>
      <c r="M31" s="175"/>
      <c r="N31" s="253"/>
      <c r="O31" s="117"/>
      <c r="P31" s="205" t="str">
        <f>Cen!A263</f>
        <v>Korpusové lišty TIP-ON, 500mm, 40kg</v>
      </c>
      <c r="Q31" s="205" t="str">
        <f>Cen!B263</f>
        <v>750.5001T</v>
      </c>
      <c r="R31" s="205" t="str">
        <f>Cen!C263</f>
        <v>ZN</v>
      </c>
      <c r="S31" s="337">
        <f>I27</f>
        <v>0</v>
      </c>
      <c r="T31" s="256">
        <f>Cen!F263</f>
        <v>967.39513999999997</v>
      </c>
      <c r="U31" s="256">
        <f t="shared" si="3"/>
        <v>0</v>
      </c>
    </row>
    <row r="32" spans="1:21" ht="15.5" x14ac:dyDescent="0.35">
      <c r="A32" s="117"/>
      <c r="B32" s="308"/>
      <c r="C32" s="315" t="str">
        <f>List!$B$118&amp;":"</f>
        <v>Jmenovitá délka:</v>
      </c>
      <c r="D32" s="303"/>
      <c r="E32" s="300"/>
      <c r="F32" s="300"/>
      <c r="G32" s="300"/>
      <c r="H32" s="300" t="s">
        <v>111</v>
      </c>
      <c r="I32" s="301" t="s">
        <v>525</v>
      </c>
      <c r="J32" s="300" t="s">
        <v>526</v>
      </c>
      <c r="K32" s="302" t="s">
        <v>112</v>
      </c>
      <c r="L32" s="302" t="s">
        <v>770</v>
      </c>
      <c r="M32" s="175"/>
      <c r="N32" s="150" t="str">
        <f>" "&amp;List!$B$303</f>
        <v xml:space="preserve"> Výběr sady jednotek</v>
      </c>
      <c r="O32" s="117"/>
      <c r="P32" s="205" t="str">
        <f>Cen!A264</f>
        <v>Korpusové lišty TIP-ON, 500mm, 70kg</v>
      </c>
      <c r="Q32" s="205" t="str">
        <f>Cen!B264</f>
        <v>753.5001T</v>
      </c>
      <c r="R32" s="205" t="str">
        <f>Cen!C264</f>
        <v>ZN</v>
      </c>
      <c r="S32" s="337">
        <f>I28</f>
        <v>0</v>
      </c>
      <c r="T32" s="256">
        <f>Cen!F264</f>
        <v>1151.7105200000001</v>
      </c>
      <c r="U32" s="256">
        <f t="shared" si="3"/>
        <v>0</v>
      </c>
    </row>
    <row r="33" spans="1:21" ht="14.5" thickBot="1" x14ac:dyDescent="0.35">
      <c r="A33" s="117"/>
      <c r="B33" s="292" t="s">
        <v>941</v>
      </c>
      <c r="C33" s="293" t="s">
        <v>432</v>
      </c>
      <c r="D33" s="347"/>
      <c r="E33" s="347"/>
      <c r="F33" s="347"/>
      <c r="G33" s="347"/>
      <c r="H33" s="294"/>
      <c r="I33" s="294"/>
      <c r="J33" s="294"/>
      <c r="K33" s="295"/>
      <c r="L33" s="559"/>
      <c r="M33" s="117"/>
      <c r="N33" s="117"/>
      <c r="P33" s="205" t="str">
        <f>Cen!A265</f>
        <v>Korpusové lišty TIP-ON, 550mm, 40kg</v>
      </c>
      <c r="Q33" s="205" t="str">
        <f>Cen!B265</f>
        <v>750.5501T</v>
      </c>
      <c r="R33" s="205" t="str">
        <f>Cen!C265</f>
        <v>ZN</v>
      </c>
      <c r="S33" s="255">
        <f>J27</f>
        <v>0</v>
      </c>
      <c r="T33" s="256">
        <f>Cen!F265</f>
        <v>1037.74467</v>
      </c>
      <c r="U33" s="256">
        <f t="shared" si="3"/>
        <v>0</v>
      </c>
    </row>
    <row r="34" spans="1:21" ht="14" x14ac:dyDescent="0.3">
      <c r="B34" s="291" t="s">
        <v>942</v>
      </c>
      <c r="C34" s="305" t="s">
        <v>433</v>
      </c>
      <c r="D34" s="362"/>
      <c r="E34" s="362"/>
      <c r="F34" s="362"/>
      <c r="G34" s="362"/>
      <c r="H34" s="298"/>
      <c r="I34" s="298"/>
      <c r="J34" s="298"/>
      <c r="K34" s="299"/>
      <c r="L34" s="299"/>
      <c r="M34" s="117"/>
      <c r="N34" s="117"/>
      <c r="P34" s="205" t="str">
        <f>Cen!A266</f>
        <v>Korpusové lišty TIP-ON, 550mm, 70kg</v>
      </c>
      <c r="Q34" s="205" t="str">
        <f>Cen!B266</f>
        <v>753.5501T</v>
      </c>
      <c r="R34" s="205" t="str">
        <f>Cen!C266</f>
        <v>ZN</v>
      </c>
      <c r="S34" s="255">
        <f>J28</f>
        <v>0</v>
      </c>
      <c r="T34" s="256">
        <f>Cen!F266</f>
        <v>1199.02684</v>
      </c>
      <c r="U34" s="256">
        <f t="shared" si="3"/>
        <v>0</v>
      </c>
    </row>
    <row r="35" spans="1:21" ht="15.5" x14ac:dyDescent="0.3">
      <c r="B35" s="339"/>
      <c r="C35" s="286"/>
      <c r="D35" s="340"/>
      <c r="E35" s="341"/>
      <c r="F35" s="342"/>
      <c r="G35" s="341"/>
      <c r="H35" s="341"/>
      <c r="I35" s="286"/>
      <c r="J35" s="286"/>
      <c r="K35" s="286"/>
      <c r="L35" s="286"/>
      <c r="M35" s="117"/>
      <c r="N35" s="117"/>
      <c r="P35" s="205" t="str">
        <f>Cen!A267</f>
        <v>Korpusové lišty TIP-ON, 600mm, 40kg</v>
      </c>
      <c r="Q35" s="205" t="str">
        <f>Cen!B267</f>
        <v>750.6001T</v>
      </c>
      <c r="R35" s="205" t="str">
        <f>Cen!C267</f>
        <v>ZN</v>
      </c>
      <c r="S35" s="255">
        <f>K27</f>
        <v>0</v>
      </c>
      <c r="T35" s="256">
        <f>Cen!F267</f>
        <v>1133.14894</v>
      </c>
      <c r="U35" s="256">
        <f t="shared" si="3"/>
        <v>0</v>
      </c>
    </row>
    <row r="36" spans="1:21" ht="13" x14ac:dyDescent="0.3">
      <c r="C36" s="175"/>
      <c r="D36" s="649" t="str">
        <f>List!B312</f>
        <v>Sada jednotek TIP-ON BLUMOTION</v>
      </c>
      <c r="E36" s="175"/>
      <c r="F36" s="175"/>
      <c r="G36" s="175"/>
      <c r="H36" s="175"/>
      <c r="I36" s="723"/>
      <c r="J36" s="723"/>
      <c r="K36" s="723"/>
      <c r="L36" s="723"/>
      <c r="M36" s="117"/>
      <c r="N36" s="117"/>
      <c r="P36" s="205" t="str">
        <f>Cen!A268</f>
        <v>Korpusové lišty TIP-ON, 600mm, 70kg</v>
      </c>
      <c r="Q36" s="205" t="str">
        <f>Cen!B268</f>
        <v>753.6001T</v>
      </c>
      <c r="R36" s="205" t="str">
        <f>Cen!C268</f>
        <v>ZN</v>
      </c>
      <c r="S36" s="255">
        <f>K28</f>
        <v>0</v>
      </c>
      <c r="T36" s="256">
        <f>Cen!F268</f>
        <v>1294.4311299999999</v>
      </c>
      <c r="U36" s="256">
        <f t="shared" si="3"/>
        <v>0</v>
      </c>
    </row>
    <row r="37" spans="1:21" ht="14" x14ac:dyDescent="0.3">
      <c r="B37" s="286"/>
      <c r="C37" s="286"/>
      <c r="D37" s="300"/>
      <c r="E37" s="300"/>
      <c r="F37" s="300" t="s">
        <v>1421</v>
      </c>
      <c r="G37" s="300" t="s">
        <v>948</v>
      </c>
      <c r="H37" s="302"/>
      <c r="I37" s="286"/>
      <c r="J37" s="723"/>
      <c r="K37" s="723"/>
      <c r="L37" s="723"/>
      <c r="M37" s="117"/>
      <c r="P37" s="205" t="str">
        <f>Cen!A269</f>
        <v>Korpusové lišty TIP-ON, 650mm, 70kg</v>
      </c>
      <c r="Q37" s="205" t="str">
        <f>Cen!B269</f>
        <v>753.6501T</v>
      </c>
      <c r="R37" s="205" t="str">
        <f>Cen!C269</f>
        <v>ZN</v>
      </c>
      <c r="S37" s="255">
        <f>L28</f>
        <v>0</v>
      </c>
      <c r="T37" s="256">
        <f>Cen!F269</f>
        <v>1341.74685</v>
      </c>
      <c r="U37" s="256">
        <f>S37*T37</f>
        <v>0</v>
      </c>
    </row>
    <row r="38" spans="1:21" ht="14.5" thickBot="1" x14ac:dyDescent="0.35">
      <c r="B38" s="175"/>
      <c r="C38" s="286"/>
      <c r="D38" s="347"/>
      <c r="E38" s="347"/>
      <c r="F38" s="294"/>
      <c r="G38" s="294"/>
      <c r="H38" s="347"/>
      <c r="I38" s="652" t="str">
        <f>IF(SUM(F33:K33,H34:L34)=SUM(F38:H38)," ",P88)</f>
        <v xml:space="preserve"> </v>
      </c>
      <c r="M38" s="117"/>
      <c r="P38" s="142"/>
      <c r="Q38" s="142"/>
      <c r="R38" s="142"/>
      <c r="S38" s="148"/>
      <c r="T38" s="152"/>
      <c r="U38" s="152"/>
    </row>
    <row r="39" spans="1:21" ht="13" x14ac:dyDescent="0.3">
      <c r="B39" s="282"/>
      <c r="C39" s="282"/>
      <c r="H39" s="286"/>
      <c r="I39" s="286"/>
      <c r="J39" s="286"/>
      <c r="K39" s="286"/>
      <c r="L39" s="286"/>
      <c r="P39" s="142"/>
      <c r="Q39" s="142"/>
      <c r="R39" s="142"/>
      <c r="S39" s="148"/>
      <c r="T39" s="152"/>
      <c r="U39" s="152"/>
    </row>
    <row r="40" spans="1:21" x14ac:dyDescent="0.25">
      <c r="D40" s="725" t="str">
        <f>"       ** "&amp;List!$B$325&amp;"!"</f>
        <v xml:space="preserve">       ** Jednotky L1 nelze kombinovat s lištami se zvýšenou nosností (70 kg)!</v>
      </c>
      <c r="P40" s="142"/>
      <c r="Q40" s="142"/>
      <c r="R40" s="142"/>
      <c r="S40" s="148"/>
      <c r="T40" s="152"/>
      <c r="U40" s="152"/>
    </row>
    <row r="41" spans="1:21" x14ac:dyDescent="0.25">
      <c r="P41" s="356" t="str">
        <f>Cen!A273</f>
        <v>Korpusové lišty TIP-ON BLUMOTION, 270mm, 40kg</v>
      </c>
      <c r="Q41" s="356" t="str">
        <f>Cen!B273</f>
        <v>750.2700M</v>
      </c>
      <c r="R41" s="356" t="str">
        <f>Cen!C273</f>
        <v>ZN</v>
      </c>
      <c r="S41" s="357"/>
      <c r="T41" s="358">
        <f>Cen!F273</f>
        <v>0</v>
      </c>
      <c r="U41" s="358">
        <f>S41*T41</f>
        <v>0</v>
      </c>
    </row>
    <row r="42" spans="1:21" x14ac:dyDescent="0.25">
      <c r="D42" s="725" t="str">
        <f>"     "&amp;List!$B$313</f>
        <v xml:space="preserve">     Synchronizace bude přidána automaticky. </v>
      </c>
      <c r="P42" s="356" t="str">
        <f>Cen!A274</f>
        <v>Korpusové lišty TIP-ON BLUMOTION, 300mm, 40kg</v>
      </c>
      <c r="Q42" s="356" t="str">
        <f>Cen!B274</f>
        <v>750.3001M</v>
      </c>
      <c r="R42" s="356" t="str">
        <f>Cen!C274</f>
        <v>ZN</v>
      </c>
      <c r="S42" s="357"/>
      <c r="T42" s="358">
        <f>Cen!F274</f>
        <v>695.93676999999991</v>
      </c>
      <c r="U42" s="358">
        <f t="shared" ref="U42:U59" si="4">S42*T42</f>
        <v>0</v>
      </c>
    </row>
    <row r="43" spans="1:21" x14ac:dyDescent="0.25">
      <c r="D43" s="725" t="str">
        <f>"     "&amp;List!$B$314</f>
        <v xml:space="preserve">     Pozor! Pro každý výsuv je započítána jedna hřídel. Počet hřídelí upravte v objednávce!</v>
      </c>
      <c r="P43" s="356" t="str">
        <f>Cen!A275</f>
        <v>Korpusové lišty TIP-ON BLUMOTION, 350mm, 40kg</v>
      </c>
      <c r="Q43" s="356" t="str">
        <f>Cen!B275</f>
        <v>750.3501M</v>
      </c>
      <c r="R43" s="356" t="str">
        <f>Cen!C275</f>
        <v>ZN</v>
      </c>
      <c r="S43" s="357"/>
      <c r="T43" s="358">
        <f>Cen!F275</f>
        <v>695.93676999999991</v>
      </c>
      <c r="U43" s="358">
        <f t="shared" si="4"/>
        <v>0</v>
      </c>
    </row>
    <row r="44" spans="1:21" x14ac:dyDescent="0.25">
      <c r="P44" s="356" t="str">
        <f>Cen!A276</f>
        <v>Korpusové lišty TIP-ON BLUMOTION, 400mm, 40kg</v>
      </c>
      <c r="Q44" s="356" t="str">
        <f>Cen!B276</f>
        <v>750.4001M</v>
      </c>
      <c r="R44" s="356" t="str">
        <f>Cen!C276</f>
        <v>ZN</v>
      </c>
      <c r="S44" s="357"/>
      <c r="T44" s="358">
        <f>Cen!F276</f>
        <v>0</v>
      </c>
      <c r="U44" s="358">
        <f t="shared" ref="U44" si="5">S44*T44</f>
        <v>0</v>
      </c>
    </row>
    <row r="45" spans="1:21" x14ac:dyDescent="0.25">
      <c r="P45" s="120" t="str">
        <f>Cen!A277</f>
        <v>Korpusové lišty TIP-ON BLUMOTION, 450mm, 40kg</v>
      </c>
      <c r="Q45" s="120" t="str">
        <f>Cen!B277</f>
        <v>750.4501M</v>
      </c>
      <c r="R45" s="120" t="str">
        <f>Cen!C277</f>
        <v>ZN</v>
      </c>
      <c r="S45" s="121"/>
      <c r="T45" s="116">
        <f>Cen!F277</f>
        <v>697.06186000000002</v>
      </c>
      <c r="U45" s="116">
        <f t="shared" si="4"/>
        <v>0</v>
      </c>
    </row>
    <row r="46" spans="1:21" ht="14.5" x14ac:dyDescent="0.35">
      <c r="A46"/>
      <c r="B46" s="117" t="str">
        <f>"        "&amp;List!$B$172</f>
        <v xml:space="preserve">        Boční zásuvné prvky se načtou automaticky</v>
      </c>
      <c r="P46" s="120" t="str">
        <f>Cen!A278</f>
        <v>Korpusové lišty TIP-ON BLUMOTION, 450mm, 70kg</v>
      </c>
      <c r="Q46" s="120" t="str">
        <f>Cen!B278</f>
        <v>753.4501M</v>
      </c>
      <c r="R46" s="120" t="str">
        <f>Cen!C278</f>
        <v>ZN</v>
      </c>
      <c r="S46" s="121"/>
      <c r="T46" s="116">
        <f>Cen!F278</f>
        <v>881.76589000000013</v>
      </c>
      <c r="U46" s="116">
        <f t="shared" si="4"/>
        <v>0</v>
      </c>
    </row>
    <row r="47" spans="1:21" ht="13" x14ac:dyDescent="0.3">
      <c r="B47" s="117" t="str">
        <f>"        "&amp;List!$B$176</f>
        <v xml:space="preserve">        Máte-li zásuvné prvky vlastní, upravte počty v objednávce</v>
      </c>
      <c r="P47" s="684" t="str">
        <f>Cen!A279</f>
        <v>Korpusové lišty TIP-ON BLUMOTION, 500mm, 40kg</v>
      </c>
      <c r="Q47" s="684" t="str">
        <f>Cen!B279</f>
        <v>750.5001M</v>
      </c>
      <c r="R47" s="684" t="str">
        <f>Cen!C279</f>
        <v>ZN</v>
      </c>
      <c r="S47" s="685"/>
      <c r="T47" s="686">
        <f>Cen!F279</f>
        <v>705.71905000000004</v>
      </c>
      <c r="U47" s="686">
        <f t="shared" si="4"/>
        <v>0</v>
      </c>
    </row>
    <row r="48" spans="1:21" ht="13" x14ac:dyDescent="0.3">
      <c r="P48" s="684" t="str">
        <f>Cen!A280</f>
        <v>Korpusové lišty TIP-ON BLUMOTION, 500mm, 70kg</v>
      </c>
      <c r="Q48" s="684" t="str">
        <f>Cen!B280</f>
        <v>753.5001M</v>
      </c>
      <c r="R48" s="684" t="str">
        <f>Cen!C280</f>
        <v>ZN</v>
      </c>
      <c r="S48" s="685"/>
      <c r="T48" s="686">
        <f>Cen!F280</f>
        <v>890.62918000000002</v>
      </c>
      <c r="U48" s="686">
        <f t="shared" si="4"/>
        <v>0</v>
      </c>
    </row>
    <row r="49" spans="16:21" x14ac:dyDescent="0.25">
      <c r="P49" s="120" t="str">
        <f>Cen!A281</f>
        <v>Korpusové lišty TIP-ON BLUMOTION, 550mm, 40kg</v>
      </c>
      <c r="Q49" s="120" t="str">
        <f>Cen!B281</f>
        <v>750.5501M</v>
      </c>
      <c r="R49" s="120" t="str">
        <f>Cen!C281</f>
        <v>ZN</v>
      </c>
      <c r="S49" s="121"/>
      <c r="T49" s="116">
        <f>Cen!F281</f>
        <v>0</v>
      </c>
      <c r="U49" s="116">
        <f t="shared" si="4"/>
        <v>0</v>
      </c>
    </row>
    <row r="50" spans="16:21" x14ac:dyDescent="0.25">
      <c r="P50" s="120" t="str">
        <f>Cen!A282</f>
        <v>Korpusové lišty TIP-ON BLUMOTION, 550mm, 70kg</v>
      </c>
      <c r="Q50" s="120" t="str">
        <f>Cen!B282</f>
        <v>753.5501M</v>
      </c>
      <c r="R50" s="120" t="str">
        <f>Cen!C282</f>
        <v>ZN</v>
      </c>
      <c r="S50" s="121"/>
      <c r="T50" s="116">
        <f>Cen!F282</f>
        <v>0</v>
      </c>
      <c r="U50" s="116">
        <f t="shared" si="4"/>
        <v>0</v>
      </c>
    </row>
    <row r="51" spans="16:21" x14ac:dyDescent="0.25">
      <c r="P51" s="120" t="str">
        <f>Cen!A283</f>
        <v>Korpusové lišty TIP-ON BLUMOTION, 600mm, 40kg</v>
      </c>
      <c r="Q51" s="120" t="str">
        <f>Cen!B283</f>
        <v>750.6001M</v>
      </c>
      <c r="R51" s="120" t="str">
        <f>Cen!C283</f>
        <v>ZN</v>
      </c>
      <c r="S51" s="121"/>
      <c r="T51" s="116">
        <f>Cen!F283</f>
        <v>865.24247000000003</v>
      </c>
      <c r="U51" s="116">
        <f t="shared" si="4"/>
        <v>0</v>
      </c>
    </row>
    <row r="52" spans="16:21" x14ac:dyDescent="0.25">
      <c r="P52" s="120" t="str">
        <f>Cen!A284</f>
        <v>Korpusové lišty TIP-ON BLUMOTION, 600mm, 70kg</v>
      </c>
      <c r="Q52" s="120" t="str">
        <f>Cen!B284</f>
        <v>753.6001M</v>
      </c>
      <c r="R52" s="120" t="str">
        <f>Cen!C284</f>
        <v>ZN</v>
      </c>
      <c r="S52" s="121"/>
      <c r="T52" s="116">
        <f>Cen!F284</f>
        <v>0</v>
      </c>
      <c r="U52" s="116">
        <f t="shared" si="4"/>
        <v>0</v>
      </c>
    </row>
    <row r="53" spans="16:21" x14ac:dyDescent="0.25">
      <c r="P53" s="120" t="str">
        <f>Cen!A285</f>
        <v>Korpusové lišty TIP-ON BLUMOTION, 650mm, 70kg</v>
      </c>
      <c r="Q53" s="120" t="str">
        <f>Cen!B285</f>
        <v>753.6501M</v>
      </c>
      <c r="R53" s="120" t="str">
        <f>Cen!C285</f>
        <v>ZN</v>
      </c>
      <c r="S53" s="121"/>
      <c r="T53" s="116">
        <f>Cen!F285</f>
        <v>1080.66551</v>
      </c>
      <c r="U53" s="116">
        <f t="shared" si="4"/>
        <v>0</v>
      </c>
    </row>
    <row r="54" spans="16:21" x14ac:dyDescent="0.25">
      <c r="P54" s="120"/>
      <c r="Q54" s="120"/>
      <c r="R54" s="120"/>
      <c r="S54" s="121"/>
      <c r="T54" s="116"/>
      <c r="U54" s="116"/>
    </row>
    <row r="55" spans="16:21" x14ac:dyDescent="0.25">
      <c r="P55" s="120"/>
      <c r="Q55" s="120"/>
      <c r="R55" s="120"/>
      <c r="S55" s="121"/>
      <c r="T55" s="116"/>
      <c r="U55" s="116"/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/>
      <c r="T56" s="116">
        <f>Cen!F288</f>
        <v>478.94060000000007</v>
      </c>
      <c r="U56" s="116">
        <f t="shared" si="4"/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/>
      <c r="T57" s="116">
        <f>Cen!F289</f>
        <v>467.80245000000002</v>
      </c>
      <c r="U57" s="116">
        <f t="shared" si="4"/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/>
      <c r="T58" s="116">
        <f>Cen!F290</f>
        <v>467.80245000000002</v>
      </c>
      <c r="U58" s="116">
        <f t="shared" si="4"/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/>
      <c r="T59" s="116">
        <f>Cen!F291</f>
        <v>467.80245000000002</v>
      </c>
      <c r="U59" s="116">
        <f t="shared" si="4"/>
        <v>0</v>
      </c>
    </row>
    <row r="60" spans="16:21" x14ac:dyDescent="0.25">
      <c r="P60" s="120" t="str">
        <f>Cen!A292</f>
        <v>Sada jednotek TOB, dřezový výsuv, L1</v>
      </c>
      <c r="Q60" s="120" t="str">
        <f>Cen!B292</f>
        <v>T60L9340 </v>
      </c>
      <c r="R60" s="120" t="str">
        <f>Cen!C292</f>
        <v>ZN</v>
      </c>
      <c r="S60" s="121">
        <f>F38</f>
        <v>0</v>
      </c>
      <c r="T60" s="116">
        <f>Cen!F292</f>
        <v>786.64774</v>
      </c>
      <c r="U60" s="116">
        <f t="shared" ref="U60:U61" si="6">S60*T60</f>
        <v>0</v>
      </c>
    </row>
    <row r="61" spans="16:21" x14ac:dyDescent="0.25">
      <c r="P61" s="120" t="str">
        <f>Cen!A293</f>
        <v>Sada jednotek TOB, dřezový výsuv, L3</v>
      </c>
      <c r="Q61" s="120" t="str">
        <f>Cen!B293</f>
        <v>T60L9540</v>
      </c>
      <c r="R61" s="120" t="str">
        <f>Cen!C293</f>
        <v>ZN</v>
      </c>
      <c r="S61" s="121">
        <f>G38</f>
        <v>0</v>
      </c>
      <c r="T61" s="116">
        <f>Cen!F293</f>
        <v>786.64774</v>
      </c>
      <c r="U61" s="116">
        <f t="shared" si="6"/>
        <v>0</v>
      </c>
    </row>
    <row r="62" spans="16:21" x14ac:dyDescent="0.25">
      <c r="P62" s="142"/>
      <c r="Q62" s="142"/>
      <c r="R62" s="142"/>
      <c r="S62" s="148"/>
      <c r="T62" s="152"/>
      <c r="U62" s="152"/>
    </row>
    <row r="63" spans="16:21" x14ac:dyDescent="0.25">
      <c r="P63" s="120" t="str">
        <f>Cen!A306</f>
        <v>TIP-ON BLM synchronizační adaptér</v>
      </c>
      <c r="Q63" s="120" t="str">
        <f>Cen!B306</f>
        <v>T60.000D</v>
      </c>
      <c r="R63" s="120" t="str">
        <f>Cen!C306</f>
        <v>R736</v>
      </c>
      <c r="S63" s="121"/>
      <c r="T63" s="116">
        <f>Cen!$F306</f>
        <v>6.7107799999999997</v>
      </c>
      <c r="U63" s="116">
        <f>S63*T63</f>
        <v>0</v>
      </c>
    </row>
    <row r="64" spans="16:21" x14ac:dyDescent="0.25">
      <c r="P64" s="120" t="str">
        <f>Cen!A307</f>
        <v>TIP-ON BLM hřídel synchronizace, ke zkrácení</v>
      </c>
      <c r="Q64" s="120" t="str">
        <f>Cen!B307</f>
        <v>T60L1125W</v>
      </c>
      <c r="R64" s="120" t="str">
        <f>Cen!C307</f>
        <v>S</v>
      </c>
      <c r="S64" s="121">
        <f>SUM($S$55:$S$59)</f>
        <v>0</v>
      </c>
      <c r="T64" s="116">
        <f>Cen!$F307</f>
        <v>110.51743999999999</v>
      </c>
      <c r="U64" s="116">
        <f>S64*T64</f>
        <v>0</v>
      </c>
    </row>
    <row r="65" spans="16:21" x14ac:dyDescent="0.25">
      <c r="P65" s="142"/>
      <c r="Q65" s="142"/>
      <c r="R65" s="142"/>
      <c r="S65" s="148"/>
      <c r="T65" s="152"/>
      <c r="U65" s="152"/>
    </row>
    <row r="66" spans="16:21" x14ac:dyDescent="0.25">
      <c r="P66" s="120" t="str">
        <f>Cen!A319</f>
        <v>Držáky zadní stěny M, Orion šedá</v>
      </c>
      <c r="Q66" s="120" t="str">
        <f>Cen!B319</f>
        <v>ZB7M000S</v>
      </c>
      <c r="R66" s="120" t="str">
        <f>Cen!C319</f>
        <v>OG-M</v>
      </c>
      <c r="S66" s="121">
        <f>SUM($S$3:$S$7)</f>
        <v>0</v>
      </c>
      <c r="T66" s="116">
        <f>Cen!$F319</f>
        <v>35.345579999999998</v>
      </c>
      <c r="U66" s="116">
        <f>S66*T66</f>
        <v>0</v>
      </c>
    </row>
    <row r="67" spans="16:21" x14ac:dyDescent="0.25">
      <c r="P67" s="120" t="str">
        <f>Cen!A329</f>
        <v>Držáky zadní stěny C, Orion šedá</v>
      </c>
      <c r="Q67" s="120" t="str">
        <f>Cen!B329</f>
        <v>ZB7C000S</v>
      </c>
      <c r="R67" s="120" t="str">
        <f>Cen!C329</f>
        <v>OG-M</v>
      </c>
      <c r="S67" s="121">
        <f>SUM($S$9:$S$13)</f>
        <v>0</v>
      </c>
      <c r="T67" s="116">
        <f>Cen!$F329</f>
        <v>47.092230000000001</v>
      </c>
      <c r="U67" s="116">
        <f>S67*T67</f>
        <v>0</v>
      </c>
    </row>
    <row r="68" spans="16:21" x14ac:dyDescent="0.25">
      <c r="P68" s="120" t="str">
        <f>Cen!A347</f>
        <v>Čelní kování M, na vruty</v>
      </c>
      <c r="Q68" s="120" t="str">
        <f>Cen!B347</f>
        <v>ZF7M7002</v>
      </c>
      <c r="R68" s="120" t="str">
        <f>Cen!C347</f>
        <v>BL</v>
      </c>
      <c r="S68" s="121">
        <f>SUM($S$3:$S$7)*2</f>
        <v>0</v>
      </c>
      <c r="T68" s="116">
        <f>Cen!F347</f>
        <v>7.6647100000000004</v>
      </c>
      <c r="U68" s="116">
        <f>S68*T68</f>
        <v>0</v>
      </c>
    </row>
    <row r="69" spans="16:21" x14ac:dyDescent="0.25">
      <c r="P69" s="120" t="str">
        <f>Cen!A353</f>
        <v>Čelní kování C, na vruty</v>
      </c>
      <c r="Q69" s="120" t="str">
        <f>Cen!B353</f>
        <v>ZF7C7002</v>
      </c>
      <c r="R69" s="120" t="str">
        <f>Cen!C353</f>
        <v>BL</v>
      </c>
      <c r="S69" s="121">
        <f>SUM($S$9:$S$13)*2</f>
        <v>0</v>
      </c>
      <c r="T69" s="116">
        <f>Cen!F353</f>
        <v>18.390879999999999</v>
      </c>
      <c r="U69" s="116">
        <f>S69*T69</f>
        <v>0</v>
      </c>
    </row>
    <row r="70" spans="16:21" x14ac:dyDescent="0.25">
      <c r="P70" s="117"/>
      <c r="Q70" s="117"/>
    </row>
    <row r="71" spans="16:21" x14ac:dyDescent="0.25">
      <c r="P71" s="117"/>
      <c r="Q71" s="117"/>
    </row>
    <row r="72" spans="16:21" x14ac:dyDescent="0.25">
      <c r="P72" s="117"/>
      <c r="Q72" s="117"/>
    </row>
    <row r="73" spans="16:21" x14ac:dyDescent="0.25">
      <c r="P73" s="117"/>
      <c r="Q73" s="117"/>
    </row>
    <row r="74" spans="16:21" x14ac:dyDescent="0.25">
      <c r="P74" s="117"/>
      <c r="Q74" s="117"/>
    </row>
    <row r="75" spans="16:21" x14ac:dyDescent="0.25">
      <c r="P75" s="117"/>
      <c r="Q75" s="117"/>
    </row>
    <row r="76" spans="16:21" x14ac:dyDescent="0.25">
      <c r="P76" s="117"/>
      <c r="Q76" s="117"/>
    </row>
    <row r="77" spans="16:21" x14ac:dyDescent="0.25">
      <c r="P77" s="117"/>
      <c r="Q77" s="117"/>
    </row>
    <row r="78" spans="16:21" x14ac:dyDescent="0.25">
      <c r="P78" s="117"/>
      <c r="Q78" s="117"/>
    </row>
    <row r="79" spans="16:21" x14ac:dyDescent="0.25">
      <c r="P79" s="616" t="str">
        <f>Cen!A232</f>
        <v>Boční zásuvné prvky, sklo, pro 350 mm</v>
      </c>
      <c r="Q79" s="616" t="str">
        <f>Cen!B232</f>
        <v>ZE7S238G</v>
      </c>
      <c r="R79" s="616" t="str">
        <f>Cen!C232</f>
        <v>KLA</v>
      </c>
      <c r="S79" s="617"/>
      <c r="T79" s="618">
        <f>Cen!F232</f>
        <v>625.33465999999999</v>
      </c>
      <c r="U79" s="619">
        <f>S79*T79</f>
        <v>0</v>
      </c>
    </row>
    <row r="80" spans="16:21" x14ac:dyDescent="0.25">
      <c r="P80" s="620" t="str">
        <f>Cen!A233</f>
        <v>Boční zásuvné prvky, sklo, pro 400 mm</v>
      </c>
      <c r="Q80" s="620" t="str">
        <f>Cen!B233</f>
        <v>ZE7S288G</v>
      </c>
      <c r="R80" s="620" t="str">
        <f>Cen!C233</f>
        <v>KLA</v>
      </c>
      <c r="S80" s="621"/>
      <c r="T80" s="622">
        <f>Cen!F233</f>
        <v>660.74360999999999</v>
      </c>
      <c r="U80" s="623">
        <f t="shared" ref="U80:U85" si="7">S80*T80</f>
        <v>0</v>
      </c>
    </row>
    <row r="81" spans="3:21" x14ac:dyDescent="0.25">
      <c r="P81" s="125" t="str">
        <f>Cen!A234</f>
        <v>Boční zásuvné prvky, sklo, pro 450 mm</v>
      </c>
      <c r="Q81" s="125" t="str">
        <f>Cen!B234</f>
        <v>ZE7S338G</v>
      </c>
      <c r="R81" s="125" t="str">
        <f>Cen!C234</f>
        <v>KLA</v>
      </c>
      <c r="S81" s="257">
        <f>S9</f>
        <v>0</v>
      </c>
      <c r="T81" s="261">
        <f>Cen!F234</f>
        <v>696.15254000000004</v>
      </c>
      <c r="U81" s="258">
        <f t="shared" si="7"/>
        <v>0</v>
      </c>
    </row>
    <row r="82" spans="3:21" x14ac:dyDescent="0.25">
      <c r="P82" s="125" t="str">
        <f>Cen!A235</f>
        <v>Boční zásuvné prvky, sklo, pro 500 mm</v>
      </c>
      <c r="Q82" s="125" t="str">
        <f>Cen!B235</f>
        <v>ZE7S388G</v>
      </c>
      <c r="R82" s="125" t="str">
        <f>Cen!C235</f>
        <v>KLA</v>
      </c>
      <c r="S82" s="257">
        <f>S10</f>
        <v>0</v>
      </c>
      <c r="T82" s="261">
        <f>Cen!F235</f>
        <v>731.56149000000005</v>
      </c>
      <c r="U82" s="258">
        <f t="shared" si="7"/>
        <v>0</v>
      </c>
    </row>
    <row r="83" spans="3:21" x14ac:dyDescent="0.25">
      <c r="P83" s="125" t="str">
        <f>Cen!A236</f>
        <v>Boční zásuvné prvky, sklo, pro 550 mm</v>
      </c>
      <c r="Q83" s="125" t="str">
        <f>Cen!B236</f>
        <v>ZE7S438G</v>
      </c>
      <c r="R83" s="125" t="str">
        <f>Cen!C236</f>
        <v>KLA</v>
      </c>
      <c r="S83" s="257">
        <f>S11</f>
        <v>0</v>
      </c>
      <c r="T83" s="261">
        <f>Cen!F236</f>
        <v>802.35667000000001</v>
      </c>
      <c r="U83" s="258">
        <f t="shared" si="7"/>
        <v>0</v>
      </c>
    </row>
    <row r="84" spans="3:21" ht="13" x14ac:dyDescent="0.3">
      <c r="C84" s="282"/>
      <c r="G84" s="286"/>
      <c r="I84" s="283"/>
      <c r="J84" s="283"/>
      <c r="K84" s="283"/>
      <c r="L84" s="283"/>
      <c r="P84" s="125" t="str">
        <f>Cen!A237</f>
        <v>Boční zásuvné prvky, sklo, pro 600 mm</v>
      </c>
      <c r="Q84" s="125" t="str">
        <f>Cen!B237</f>
        <v>ZE7S488G</v>
      </c>
      <c r="R84" s="125" t="str">
        <f>Cen!C237</f>
        <v>KLA</v>
      </c>
      <c r="S84" s="257">
        <f>S12</f>
        <v>0</v>
      </c>
      <c r="T84" s="261">
        <f>Cen!F237</f>
        <v>873.15183000000002</v>
      </c>
      <c r="U84" s="258">
        <f t="shared" si="7"/>
        <v>0</v>
      </c>
    </row>
    <row r="85" spans="3:21" ht="13" thickBot="1" x14ac:dyDescent="0.3">
      <c r="P85" s="595" t="str">
        <f>Cen!A238</f>
        <v>Boční zásuvné prvky, sklo, pro 650 mm</v>
      </c>
      <c r="Q85" s="595" t="str">
        <f>Cen!B238</f>
        <v>ZE7S538G</v>
      </c>
      <c r="R85" s="595" t="str">
        <f>Cen!C238</f>
        <v>KLA</v>
      </c>
      <c r="S85" s="596">
        <f>S13</f>
        <v>0</v>
      </c>
      <c r="T85" s="597">
        <f>Cen!F238</f>
        <v>943.94700999999998</v>
      </c>
      <c r="U85" s="598">
        <f t="shared" si="7"/>
        <v>0</v>
      </c>
    </row>
    <row r="86" spans="3:21" x14ac:dyDescent="0.25">
      <c r="P86" s="117" t="str">
        <f>List!$B$316&amp;"!"</f>
        <v>S0 a S1 pouze pro jmenovitou délku 270 a 300 mm!</v>
      </c>
      <c r="Q86" s="117"/>
    </row>
    <row r="87" spans="3:21" x14ac:dyDescent="0.25">
      <c r="P87" s="117" t="str">
        <f>List!$B$317&amp;"!"</f>
        <v>Pro výsuvy délky 270 a 300 mm vyberte jednotky S0 nebo S1!</v>
      </c>
      <c r="Q87" s="117"/>
      <c r="S87" s="74" t="str">
        <f>List!$B$97</f>
        <v>cena kování</v>
      </c>
      <c r="U87" s="346">
        <f>SUM(U3:U85)</f>
        <v>0</v>
      </c>
    </row>
    <row r="88" spans="3:21" x14ac:dyDescent="0.25">
      <c r="P88" s="117" t="str">
        <f>List!$B$318&amp;"!"</f>
        <v>Počet jednotek L neodpovídá počtu korpusových lišt!</v>
      </c>
    </row>
    <row r="89" spans="3:21" x14ac:dyDescent="0.25">
      <c r="P89" s="117" t="str">
        <f>List!$B$319&amp;"!"</f>
        <v>Počet jednotek S neodpovídá počtu korpusových lišt!</v>
      </c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3.75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/>
      <c r="E107" s="838"/>
      <c r="F107" s="839"/>
      <c r="G107" s="801"/>
      <c r="H107" s="877"/>
      <c r="I107" s="878"/>
      <c r="J107" s="807"/>
      <c r="K107" s="800"/>
      <c r="L107" s="80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801"/>
      <c r="H108" s="877"/>
      <c r="I108" s="878"/>
      <c r="J108" s="807"/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1419</v>
      </c>
      <c r="E109" s="838"/>
      <c r="F109" s="839"/>
      <c r="G109" s="801" t="s">
        <v>1421</v>
      </c>
      <c r="H109" s="873" t="s">
        <v>1420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801" t="s">
        <v>948</v>
      </c>
      <c r="H110" s="873" t="s">
        <v>1378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801"/>
      <c r="H111" s="877"/>
      <c r="I111" s="878"/>
      <c r="J111" s="698"/>
      <c r="K111" s="884"/>
      <c r="L111" s="884"/>
    </row>
    <row r="112" spans="1:14" ht="19.5" customHeight="1" x14ac:dyDescent="0.25">
      <c r="A112" s="823"/>
      <c r="B112" s="835"/>
      <c r="C112" s="836"/>
      <c r="D112" s="879"/>
      <c r="E112" s="880"/>
      <c r="F112" s="880"/>
      <c r="G112" s="881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882"/>
      <c r="E113" s="851"/>
      <c r="F113" s="851"/>
      <c r="G113" s="883"/>
      <c r="H113" s="851"/>
      <c r="I113" s="851"/>
      <c r="J113" s="851"/>
      <c r="K113" s="851"/>
      <c r="L113" s="851"/>
    </row>
    <row r="114" spans="1:12" ht="13" customHeight="1" x14ac:dyDescent="0.25">
      <c r="A114" s="823"/>
    </row>
    <row r="115" spans="1:12" ht="13" customHeight="1" x14ac:dyDescent="0.25">
      <c r="A115" s="823"/>
      <c r="E115" s="725" t="str">
        <f>"       ** "&amp;List!$B$325&amp;"!"</f>
        <v xml:space="preserve">       ** Jednotky L1 nelze kombinovat s lištami se zvýšenou nosností (70 kg)!</v>
      </c>
    </row>
    <row r="116" spans="1:12" ht="19.5" customHeight="1" x14ac:dyDescent="0.25">
      <c r="A116" s="823"/>
    </row>
    <row r="117" spans="1:12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8Ci06JEw0IZ/m3Rb8AmBKFmMx2FnrtT9MXp964+wPS6sNwA6l28BupAUadXx0Zzxnttb6fCY7xW/5Jo1g8rgxA==" saltValue="fb5yI/pRcmGgnfXd1fAxJw==" spinCount="100000" sheet="1" objects="1" scenarios="1"/>
  <mergeCells count="20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  <mergeCell ref="D112:G113"/>
  </mergeCells>
  <hyperlinks>
    <hyperlink ref="N3" location="Form!A1" tooltip=" " display="Form!A1" xr:uid="{00000000-0004-0000-1300-000000000000}"/>
    <hyperlink ref="N4" location="Menu!A1" tooltip=" " display="Menu!A1" xr:uid="{00000000-0004-0000-1300-000001000000}"/>
    <hyperlink ref="N7" location="Acs!A1" tooltip=" " display="Acs!A1" xr:uid="{00000000-0004-0000-1300-000002000000}"/>
    <hyperlink ref="N8" location="SD!A1" tooltip=" " display="SD!A1" xr:uid="{00000000-0004-0000-1300-000003000000}"/>
    <hyperlink ref="N10" location="Sum!A1" tooltip=" " display="Sum!A1" xr:uid="{00000000-0004-0000-1300-000004000000}"/>
    <hyperlink ref="N11" location="Ord!A1" tooltip=" " display="Ord!A1" xr:uid="{00000000-0004-0000-1300-000005000000}"/>
    <hyperlink ref="N9" location="AL!A1" tooltip=" " display="AL!A1" xr:uid="{00000000-0004-0000-1300-000006000000}"/>
    <hyperlink ref="N32" location="'7CM42F'!A100" tooltip=" " display="'7CM42F'!A100" xr:uid="{00000000-0004-0000-1300-000007000000}"/>
    <hyperlink ref="N112" location="'7CM42F'!A1" tooltip=" " display="'7CM42F'!A1" xr:uid="{00000000-0004-0000-13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76">
    <tabColor theme="0" tint="-0.249977111117893"/>
  </sheetPr>
  <dimension ref="A1:V52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5" width="10.542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1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List!$B$52&amp;" "&amp;List!$B$63</f>
        <v>Čelní výsuv pro úzké korpusy</v>
      </c>
      <c r="L2" s="117"/>
      <c r="M2" s="2" t="str">
        <f>List!$B$11&amp;":"</f>
        <v>Zpět na:</v>
      </c>
      <c r="N2" s="117"/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1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17"/>
      <c r="M3" s="149" t="str">
        <f>" "&amp;List!$B$13</f>
        <v xml:space="preserve"> Úvod</v>
      </c>
      <c r="N3" s="117"/>
      <c r="O3" s="117"/>
      <c r="P3" s="389" t="str">
        <f>Cen!A51</f>
        <v>Bočnice M 450mm, Orion šedá</v>
      </c>
      <c r="Q3" s="389" t="str">
        <f>Cen!B51</f>
        <v>770M4502S</v>
      </c>
      <c r="R3" s="389" t="str">
        <f>Cen!C51</f>
        <v>OG-M</v>
      </c>
      <c r="S3" s="257">
        <f>SUM(IF($F$23="m",$F$21,0),IF($F$24="m",$F$21,0))</f>
        <v>0</v>
      </c>
      <c r="T3" s="413">
        <f>Cen!F51</f>
        <v>588.37465999999995</v>
      </c>
      <c r="U3" s="390">
        <f t="shared" ref="U3:U15" si="0">S3*T3</f>
        <v>0</v>
      </c>
    </row>
    <row r="4" spans="1:21" x14ac:dyDescent="0.25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713</v>
      </c>
      <c r="K4" s="120"/>
      <c r="L4" s="117"/>
      <c r="M4" s="150" t="str">
        <f>" "&amp;List!$B$4</f>
        <v xml:space="preserve"> Výběr zásuvek a výsuvů</v>
      </c>
      <c r="N4" s="117"/>
      <c r="O4" s="117"/>
      <c r="P4" s="389" t="str">
        <f>Cen!A56</f>
        <v>Bočnice M 500mm, Orion šedá</v>
      </c>
      <c r="Q4" s="389" t="str">
        <f>Cen!B56</f>
        <v>770M5002S</v>
      </c>
      <c r="R4" s="389" t="str">
        <f>Cen!C56</f>
        <v>OG-M</v>
      </c>
      <c r="S4" s="257">
        <f>SUM(IF($G$23="m",$G$21,0),IF($G$24="m",$G$21,0))</f>
        <v>0</v>
      </c>
      <c r="T4" s="413">
        <f>Cen!F56</f>
        <v>595.274</v>
      </c>
      <c r="U4" s="390">
        <f t="shared" si="0"/>
        <v>0</v>
      </c>
    </row>
    <row r="5" spans="1:21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17"/>
      <c r="N5" s="117"/>
      <c r="O5" s="117"/>
      <c r="P5" s="389" t="str">
        <f>Cen!A61</f>
        <v>Bočnice M 550mm, Orion šedá</v>
      </c>
      <c r="Q5" s="389" t="str">
        <f>Cen!B61</f>
        <v>770M5502S</v>
      </c>
      <c r="R5" s="389" t="str">
        <f>Cen!C61</f>
        <v>OG-M</v>
      </c>
      <c r="S5" s="257">
        <f>SUM(IF($H$23="m",$H$21,0),IF($H$24="m",$H$21,0))</f>
        <v>0</v>
      </c>
      <c r="T5" s="413">
        <f>Cen!F61</f>
        <v>665.94478000000004</v>
      </c>
      <c r="U5" s="390">
        <f t="shared" si="0"/>
        <v>0</v>
      </c>
    </row>
    <row r="6" spans="1:21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17"/>
      <c r="M6" s="2" t="str">
        <f>List!$B$12&amp;":"</f>
        <v>Pokračovat na:</v>
      </c>
      <c r="N6" s="117"/>
      <c r="O6" s="117"/>
      <c r="P6" s="389" t="str">
        <f>Cen!A66</f>
        <v>Bočnice M 600mm, Orion šedá</v>
      </c>
      <c r="Q6" s="389" t="str">
        <f>Cen!B66</f>
        <v>770M6002S</v>
      </c>
      <c r="R6" s="389" t="str">
        <f>Cen!C66</f>
        <v>OG-M</v>
      </c>
      <c r="S6" s="257">
        <f>SUM(IF($I$23="m",$I$21,0),IF($I$24="m",$I$21,0))</f>
        <v>0</v>
      </c>
      <c r="T6" s="413">
        <f>Cen!F66</f>
        <v>754.21731</v>
      </c>
      <c r="U6" s="390">
        <f t="shared" si="0"/>
        <v>0</v>
      </c>
    </row>
    <row r="7" spans="1:21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17"/>
      <c r="M7" s="149" t="str">
        <f>" "&amp;List!$B$5</f>
        <v xml:space="preserve"> Výběr doplňků</v>
      </c>
      <c r="N7" s="117"/>
      <c r="O7" s="117"/>
      <c r="P7" s="391" t="str">
        <f>Cen!A71</f>
        <v>Bočnice M 650mm, Orion šedá</v>
      </c>
      <c r="Q7" s="391" t="str">
        <f>Cen!B71</f>
        <v>770M6502S</v>
      </c>
      <c r="R7" s="391" t="str">
        <f>Cen!C71</f>
        <v>OG-M</v>
      </c>
      <c r="S7" s="259">
        <f>SUM(IF($J$23="m",$J$21,0),IF($J$24="m",$J$21,0))</f>
        <v>0</v>
      </c>
      <c r="T7" s="560">
        <f>Cen!F71</f>
        <v>787.42313999999999</v>
      </c>
      <c r="U7" s="392">
        <f>S7*T7</f>
        <v>0</v>
      </c>
    </row>
    <row r="8" spans="1:21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17"/>
      <c r="M8" s="149" t="str">
        <f>" "&amp;List!$B$6</f>
        <v xml:space="preserve"> Výběr SERVO-DRIVE</v>
      </c>
      <c r="N8" s="117"/>
      <c r="O8" s="117"/>
      <c r="P8" s="389" t="str">
        <f>Cen!A91</f>
        <v>Bočnice K 450mm, Orion šedá</v>
      </c>
      <c r="Q8" s="389" t="str">
        <f>Cen!B91</f>
        <v>770K4502S</v>
      </c>
      <c r="R8" s="389" t="str">
        <f>Cen!C91</f>
        <v>OG-M</v>
      </c>
      <c r="S8" s="257">
        <f>SUM(IF($F$23="k",$F$21,0),IF($F$24="k",$F$21,0))</f>
        <v>0</v>
      </c>
      <c r="T8" s="413">
        <f>Cen!F91</f>
        <v>751.87792000000002</v>
      </c>
      <c r="U8" s="390">
        <f t="shared" si="0"/>
        <v>0</v>
      </c>
    </row>
    <row r="9" spans="1:21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$U$44</f>
        <v>0</v>
      </c>
      <c r="L9" s="117"/>
      <c r="M9" s="242" t="str">
        <f>" "&amp;List!$B$7</f>
        <v xml:space="preserve"> Výběr AMBIA-LINE</v>
      </c>
      <c r="N9" s="117"/>
      <c r="O9" s="117"/>
      <c r="P9" s="389" t="str">
        <f>Cen!A96</f>
        <v>Bočnice K 500mm, Orion šedá</v>
      </c>
      <c r="Q9" s="389" t="str">
        <f>Cen!B96</f>
        <v>770K5002S</v>
      </c>
      <c r="R9" s="389" t="str">
        <f>Cen!C96</f>
        <v>OG-M</v>
      </c>
      <c r="S9" s="257">
        <f>SUM(IF($G$23="k",$G$21,0),IF($G$24="k",$G$21,0))</f>
        <v>0</v>
      </c>
      <c r="T9" s="413">
        <f>Cen!F96</f>
        <v>762.18404999999996</v>
      </c>
      <c r="U9" s="390">
        <f t="shared" si="0"/>
        <v>0</v>
      </c>
    </row>
    <row r="10" spans="1:21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117"/>
      <c r="P10" s="389" t="str">
        <f>Cen!A101</f>
        <v>Bočnice K 550mm, Orion šedá</v>
      </c>
      <c r="Q10" s="389" t="str">
        <f>Cen!B101</f>
        <v>770K5502S</v>
      </c>
      <c r="R10" s="389" t="str">
        <f>Cen!C101</f>
        <v>OG-M</v>
      </c>
      <c r="S10" s="257">
        <f>SUM(IF($H$23="k",$H$21,0),IF($H$24="k",$H$21,0))</f>
        <v>0</v>
      </c>
      <c r="T10" s="413">
        <f>Cen!F101</f>
        <v>844.68757000000005</v>
      </c>
      <c r="U10" s="390">
        <f t="shared" si="0"/>
        <v>0</v>
      </c>
    </row>
    <row r="11" spans="1:21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17"/>
      <c r="P11" s="391"/>
      <c r="Q11" s="391"/>
      <c r="R11" s="391"/>
      <c r="S11" s="259"/>
      <c r="T11" s="391"/>
      <c r="U11" s="392"/>
    </row>
    <row r="12" spans="1:21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117"/>
      <c r="M12" s="117"/>
      <c r="N12" s="117"/>
      <c r="O12" s="117"/>
      <c r="P12" s="124" t="str">
        <f>Cen!A131</f>
        <v>Bočnice C pure, 450mm, Orion šedá</v>
      </c>
      <c r="Q12" s="124" t="str">
        <f>Cen!B131</f>
        <v>770C4502S</v>
      </c>
      <c r="R12" s="124" t="str">
        <f>Cen!C131</f>
        <v>OG-M</v>
      </c>
      <c r="S12" s="257">
        <f>SUM(IF($F$23="c",$F$21,0),IF($F$24="c",$F$21,0))</f>
        <v>0</v>
      </c>
      <c r="T12" s="393">
        <f>Cen!F131</f>
        <v>921.30178999999998</v>
      </c>
      <c r="U12" s="328">
        <f t="shared" si="0"/>
        <v>0</v>
      </c>
    </row>
    <row r="13" spans="1:21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17"/>
      <c r="P13" s="125" t="str">
        <f>Cen!A136</f>
        <v>Bočnice C pure, 500mm, Orion šedá</v>
      </c>
      <c r="Q13" s="125" t="str">
        <f>Cen!B136</f>
        <v>770C5002S</v>
      </c>
      <c r="R13" s="125" t="str">
        <f>Cen!C136</f>
        <v>OG-M</v>
      </c>
      <c r="S13" s="257">
        <f>SUM(IF($G$23="c",$G$21,0),IF($G$24="c",$G$21,0))</f>
        <v>0</v>
      </c>
      <c r="T13" s="261">
        <f>Cen!F136</f>
        <v>932.34378000000004</v>
      </c>
      <c r="U13" s="258">
        <f t="shared" si="0"/>
        <v>0</v>
      </c>
    </row>
    <row r="14" spans="1:21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117"/>
      <c r="M14" s="117"/>
      <c r="N14" s="117"/>
      <c r="O14" s="117"/>
      <c r="P14" s="125" t="str">
        <f>Cen!A141</f>
        <v>Bočnice C pure, 550mm, Orion šedá</v>
      </c>
      <c r="Q14" s="125" t="str">
        <f>Cen!B141</f>
        <v>770C5502S</v>
      </c>
      <c r="R14" s="125" t="str">
        <f>Cen!C141</f>
        <v>OG-M</v>
      </c>
      <c r="S14" s="257">
        <f>SUM(IF($H$23="c",$H$21,0),IF($H$24="c",$H$21,0))</f>
        <v>0</v>
      </c>
      <c r="T14" s="261">
        <f>Cen!F141</f>
        <v>1011.04004</v>
      </c>
      <c r="U14" s="258">
        <f t="shared" si="0"/>
        <v>0</v>
      </c>
    </row>
    <row r="15" spans="1:21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117"/>
      <c r="M15" s="117"/>
      <c r="N15" s="117"/>
      <c r="O15" s="117"/>
      <c r="P15" s="125" t="str">
        <f>Cen!A146</f>
        <v>Bočnice C pure, 600mm, Orion šedá</v>
      </c>
      <c r="Q15" s="125" t="str">
        <f>Cen!B146</f>
        <v>770C6002S</v>
      </c>
      <c r="R15" s="125" t="str">
        <f>Cen!C146</f>
        <v>OG-M</v>
      </c>
      <c r="S15" s="257">
        <f>SUM(IF($I$23="c",$I$21,0),IF($I$24="c",$I$21,0))</f>
        <v>0</v>
      </c>
      <c r="T15" s="261">
        <f>Cen!F146</f>
        <v>1127.97047</v>
      </c>
      <c r="U15" s="258">
        <f t="shared" si="0"/>
        <v>0</v>
      </c>
    </row>
    <row r="16" spans="1:21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17"/>
      <c r="M16" s="117"/>
      <c r="N16" s="117"/>
      <c r="O16" s="117"/>
      <c r="P16" s="202" t="str">
        <f>Cen!A151</f>
        <v>Bočnice C pure, 650mm, Orion šedá</v>
      </c>
      <c r="Q16" s="202" t="str">
        <f>Cen!B151</f>
        <v>770C6502S</v>
      </c>
      <c r="R16" s="202" t="str">
        <f>Cen!C151</f>
        <v>OG-M</v>
      </c>
      <c r="S16" s="259">
        <f>SUM(IF($J$23="c",$J$21,0),IF($J$24="c",$J$21,0))</f>
        <v>0</v>
      </c>
      <c r="T16" s="262">
        <f>Cen!F151</f>
        <v>1167.5130999999999</v>
      </c>
      <c r="U16" s="260">
        <f>S16*T16</f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117"/>
      <c r="M17" s="117"/>
      <c r="N17" s="117"/>
      <c r="O17" s="117"/>
      <c r="P17" s="408" t="str">
        <f>Cen!A206</f>
        <v>Bočnice F 450mm, Orion šedá</v>
      </c>
      <c r="Q17" s="408" t="str">
        <f>Cen!B206</f>
        <v>770F4502S</v>
      </c>
      <c r="R17" s="408" t="str">
        <f>Cen!C206</f>
        <v>OG-M</v>
      </c>
      <c r="S17" s="353">
        <f>SUM(IF($F$23="f",$F$21,0),IF($F$24="f",$F$21,0))</f>
        <v>0</v>
      </c>
      <c r="T17" s="411">
        <f>Cen!F206</f>
        <v>1572.79675</v>
      </c>
      <c r="U17" s="409">
        <f>S17*T17</f>
        <v>0</v>
      </c>
    </row>
    <row r="18" spans="1:21" ht="15.5" x14ac:dyDescent="0.25">
      <c r="A18" s="117"/>
      <c r="C18" s="117"/>
      <c r="D18" s="117"/>
      <c r="E18" s="117"/>
      <c r="F18" s="117"/>
      <c r="G18" s="467" t="str">
        <f>IF(AND(Form!$O$2=3,OR($F$23="k",$G$23="k",$H$23="k")),List!$B$190&amp;"!"," ")</f>
        <v xml:space="preserve"> </v>
      </c>
      <c r="H18" s="285"/>
      <c r="I18" s="285"/>
      <c r="J18" s="285"/>
      <c r="K18" s="285"/>
      <c r="L18" s="117"/>
      <c r="M18" s="117"/>
      <c r="N18" s="117"/>
      <c r="O18" s="117"/>
      <c r="P18" s="352" t="str">
        <f>Cen!A211</f>
        <v>Bočnice F 500mm, Orion šedá</v>
      </c>
      <c r="Q18" s="352" t="str">
        <f>Cen!B211</f>
        <v>770F5002S</v>
      </c>
      <c r="R18" s="352" t="str">
        <f>Cen!C211</f>
        <v>OG-M</v>
      </c>
      <c r="S18" s="353">
        <f>SUM(IF($G$23="F",$G$21,0),IF($G$24="f",$G$21,0))</f>
        <v>0</v>
      </c>
      <c r="T18" s="412">
        <f>Cen!F211</f>
        <v>1586.5378700000001</v>
      </c>
      <c r="U18" s="355">
        <f>S18*T18</f>
        <v>0</v>
      </c>
    </row>
    <row r="19" spans="1:21" ht="15.5" x14ac:dyDescent="0.25">
      <c r="A19" s="117"/>
      <c r="B19" s="307" t="s">
        <v>434</v>
      </c>
      <c r="C19" s="7"/>
      <c r="H19" s="285"/>
      <c r="I19" s="285"/>
      <c r="J19" s="285"/>
      <c r="K19" s="285"/>
      <c r="L19" s="117"/>
      <c r="M19" s="117"/>
      <c r="N19" s="117"/>
      <c r="O19" s="117"/>
      <c r="P19" s="352" t="str">
        <f>Cen!A216</f>
        <v>Bočnice F 550mm, Orion šedá</v>
      </c>
      <c r="Q19" s="352" t="str">
        <f>Cen!B216</f>
        <v>770F5502S</v>
      </c>
      <c r="R19" s="352" t="str">
        <f>Cen!C216</f>
        <v>OG-M</v>
      </c>
      <c r="S19" s="353">
        <f>SUM(IF($H$23="f",$H$21,0),IF($H$24="f",$H$21,0))</f>
        <v>0</v>
      </c>
      <c r="T19" s="412">
        <f>Cen!F216</f>
        <v>1648.36157</v>
      </c>
      <c r="U19" s="355">
        <f>S19*T19</f>
        <v>0</v>
      </c>
    </row>
    <row r="20" spans="1:21" ht="14" x14ac:dyDescent="0.3">
      <c r="A20" s="117"/>
      <c r="B20" s="6"/>
      <c r="C20" s="315" t="str">
        <f>List!$B$118&amp;":"</f>
        <v>Jmenovitá délka:</v>
      </c>
      <c r="D20" s="303"/>
      <c r="E20" s="300"/>
      <c r="F20" s="300" t="s">
        <v>111</v>
      </c>
      <c r="G20" s="301" t="s">
        <v>525</v>
      </c>
      <c r="H20" s="300" t="s">
        <v>526</v>
      </c>
      <c r="I20" s="302" t="s">
        <v>112</v>
      </c>
      <c r="J20" s="302" t="s">
        <v>770</v>
      </c>
      <c r="K20" s="285"/>
      <c r="L20" s="117"/>
      <c r="M20" s="117"/>
      <c r="N20" s="117"/>
      <c r="O20" s="117"/>
      <c r="P20" s="352" t="str">
        <f>Cen!A221</f>
        <v>Bočnice F 600mm, Orion šedá</v>
      </c>
      <c r="Q20" s="352" t="str">
        <f>Cen!B221</f>
        <v>770F6002S</v>
      </c>
      <c r="R20" s="352" t="str">
        <f>Cen!C221</f>
        <v>OG-M</v>
      </c>
      <c r="S20" s="410">
        <f>SUM(IF($I$23="f",$I$21,0),IF($I$24="f",$I$21,0))</f>
        <v>0</v>
      </c>
      <c r="T20" s="412">
        <f>Cen!F221</f>
        <v>1792.6206400000001</v>
      </c>
      <c r="U20" s="355">
        <f>S20*T20</f>
        <v>0</v>
      </c>
    </row>
    <row r="21" spans="1:21" ht="15" thickBot="1" x14ac:dyDescent="0.4">
      <c r="A21" s="117"/>
      <c r="B21" s="400"/>
      <c r="C21" s="315" t="str">
        <f>List!$B$102&amp;":"</f>
        <v>Počet skříní:</v>
      </c>
      <c r="D21" s="401"/>
      <c r="E21" s="402"/>
      <c r="F21" s="294"/>
      <c r="G21" s="294"/>
      <c r="H21" s="294"/>
      <c r="I21" s="295"/>
      <c r="J21" s="295"/>
      <c r="K21"/>
      <c r="L21" s="117"/>
      <c r="M21" s="117"/>
      <c r="N21" s="117"/>
      <c r="O21" s="117"/>
      <c r="P21" s="120"/>
      <c r="Q21" s="120"/>
      <c r="R21" s="120"/>
      <c r="S21" s="121"/>
      <c r="T21" s="115"/>
      <c r="U21" s="116"/>
    </row>
    <row r="22" spans="1:21" ht="14.5" x14ac:dyDescent="0.35">
      <c r="A22" s="117"/>
      <c r="B22"/>
      <c r="C22"/>
      <c r="D22"/>
      <c r="E22"/>
      <c r="F22" s="394"/>
      <c r="G22" s="395"/>
      <c r="H22" s="395"/>
      <c r="I22" s="396"/>
      <c r="J22" s="396"/>
      <c r="K22"/>
      <c r="L22" s="117"/>
      <c r="M22" s="117"/>
      <c r="N22" s="117"/>
      <c r="O22" s="117"/>
      <c r="P22" s="356" t="str">
        <f>Cen!A241</f>
        <v>Korpusové lišty BLUMOTION S, 270mm, 40kg</v>
      </c>
      <c r="Q22" s="356" t="str">
        <f>Cen!B241</f>
        <v>750.2701S</v>
      </c>
      <c r="R22" s="356" t="str">
        <f>Cen!C241</f>
        <v>ZN</v>
      </c>
      <c r="S22" s="357">
        <f>D23</f>
        <v>0</v>
      </c>
      <c r="T22" s="358">
        <f>Cen!F241</f>
        <v>695.93676999999991</v>
      </c>
      <c r="U22" s="358">
        <f t="shared" ref="U22:U33" si="1">S22*T22</f>
        <v>0</v>
      </c>
    </row>
    <row r="23" spans="1:21" ht="15" thickBot="1" x14ac:dyDescent="0.4">
      <c r="A23" s="117"/>
      <c r="B23" s="385" t="str">
        <f>"       "&amp;List!$B$130</f>
        <v xml:space="preserve">       Bočnice nahoře</v>
      </c>
      <c r="C23" s="293"/>
      <c r="D23" s="347"/>
      <c r="E23" s="347"/>
      <c r="F23" s="472" t="s">
        <v>171</v>
      </c>
      <c r="G23" s="473" t="s">
        <v>171</v>
      </c>
      <c r="H23" s="473" t="s">
        <v>171</v>
      </c>
      <c r="I23" s="474" t="s">
        <v>171</v>
      </c>
      <c r="J23" s="474" t="s">
        <v>171</v>
      </c>
      <c r="K23" t="str">
        <f>IF(I23="k"," "&amp;List!$B$183," ")</f>
        <v xml:space="preserve"> </v>
      </c>
      <c r="L23" s="117"/>
      <c r="M23" s="117"/>
      <c r="N23" s="117"/>
      <c r="O23" s="117"/>
      <c r="P23" s="356" t="str">
        <f>Cen!A242</f>
        <v>Korpusové lišty BLUMOTION S, 300mm, 40kg</v>
      </c>
      <c r="Q23" s="356" t="str">
        <f>Cen!B242</f>
        <v>750.3001S</v>
      </c>
      <c r="R23" s="356" t="str">
        <f>Cen!C242</f>
        <v>ZN</v>
      </c>
      <c r="S23" s="357">
        <f>E23</f>
        <v>0</v>
      </c>
      <c r="T23" s="358">
        <f>Cen!F242</f>
        <v>695.93676999999991</v>
      </c>
      <c r="U23" s="358">
        <f t="shared" si="1"/>
        <v>0</v>
      </c>
    </row>
    <row r="24" spans="1:21" ht="15" thickBot="1" x14ac:dyDescent="0.4">
      <c r="A24" s="117"/>
      <c r="B24" s="386" t="str">
        <f>"       "&amp;List!$B$131</f>
        <v xml:space="preserve">       Bočnice dole</v>
      </c>
      <c r="C24" s="387"/>
      <c r="D24" s="297"/>
      <c r="E24" s="297"/>
      <c r="F24" s="469" t="s">
        <v>406</v>
      </c>
      <c r="G24" s="470" t="s">
        <v>406</v>
      </c>
      <c r="H24" s="470" t="s">
        <v>406</v>
      </c>
      <c r="I24" s="471" t="s">
        <v>406</v>
      </c>
      <c r="J24" s="471" t="s">
        <v>406</v>
      </c>
      <c r="K24" t="str">
        <f>IF(I24="k"," "&amp;List!$B$183," ")</f>
        <v xml:space="preserve"> </v>
      </c>
      <c r="L24" s="117"/>
      <c r="M24" s="117"/>
      <c r="N24" s="117"/>
      <c r="O24" s="117"/>
      <c r="P24" s="356" t="str">
        <f>Cen!A243</f>
        <v>Korpusové lišty BLUMOTION S, 350mm, 40kg</v>
      </c>
      <c r="Q24" s="356" t="str">
        <f>Cen!B243</f>
        <v>750.3501S</v>
      </c>
      <c r="R24" s="356" t="str">
        <f>Cen!C243</f>
        <v>ZN</v>
      </c>
      <c r="S24" s="357"/>
      <c r="T24" s="358">
        <f>Cen!F243</f>
        <v>695.93676999999991</v>
      </c>
      <c r="U24" s="358">
        <f t="shared" si="1"/>
        <v>0</v>
      </c>
    </row>
    <row r="25" spans="1:21" ht="6.75" customHeight="1" x14ac:dyDescent="0.35">
      <c r="A25" s="117"/>
      <c r="B25" s="388"/>
      <c r="C25" s="388"/>
      <c r="F25" s="397"/>
      <c r="G25" s="398"/>
      <c r="H25" s="398"/>
      <c r="I25" s="399"/>
      <c r="J25" s="399"/>
      <c r="K25"/>
      <c r="L25" s="117"/>
      <c r="M25" s="117"/>
      <c r="N25" s="117"/>
      <c r="O25" s="117"/>
      <c r="P25" s="356" t="str">
        <f>Cen!A244</f>
        <v>Korpusové lišty BLUMOTION S, 400mm, 40kg</v>
      </c>
      <c r="Q25" s="356" t="str">
        <f>Cen!B244</f>
        <v>750.4001S</v>
      </c>
      <c r="R25" s="356" t="str">
        <f>Cen!C244</f>
        <v>ZN</v>
      </c>
      <c r="S25" s="357"/>
      <c r="T25" s="358">
        <f>Cen!F244</f>
        <v>704.8</v>
      </c>
      <c r="U25" s="358">
        <f t="shared" si="1"/>
        <v>0</v>
      </c>
    </row>
    <row r="26" spans="1:21" ht="13" x14ac:dyDescent="0.3">
      <c r="A26" s="117"/>
      <c r="B26" s="282"/>
      <c r="C26" s="282"/>
      <c r="E26" s="475" t="str">
        <f>List!$B$130&amp;" - "&amp;List!$B$179&amp;": "</f>
        <v xml:space="preserve">Bočnice nahoře - možnosti: </v>
      </c>
      <c r="F26" s="599" t="str">
        <f>$R$48</f>
        <v>M,K,C</v>
      </c>
      <c r="G26" s="599" t="str">
        <f>$R$48</f>
        <v>M,K,C</v>
      </c>
      <c r="H26" s="599" t="str">
        <f>$R$48</f>
        <v>M,K,C</v>
      </c>
      <c r="I26" s="599" t="str">
        <f>$S$48</f>
        <v>M,C</v>
      </c>
      <c r="J26" s="599"/>
      <c r="K26" s="285"/>
      <c r="L26" s="117"/>
      <c r="M26" s="117"/>
      <c r="N26" s="117"/>
      <c r="O26" s="117"/>
      <c r="P26" s="205" t="str">
        <f>Cen!A245</f>
        <v>Korpusové lišty BLUMOTION S, 450mm, 40kg</v>
      </c>
      <c r="Q26" s="205" t="str">
        <f>Cen!B245</f>
        <v>750.4501S</v>
      </c>
      <c r="R26" s="205" t="str">
        <f>Cen!C245</f>
        <v>ZN</v>
      </c>
      <c r="S26" s="255">
        <f>F21</f>
        <v>0</v>
      </c>
      <c r="T26" s="256">
        <f>Cen!F245</f>
        <v>697.06186000000002</v>
      </c>
      <c r="U26" s="256">
        <f t="shared" si="1"/>
        <v>0</v>
      </c>
    </row>
    <row r="27" spans="1:21" ht="12.75" customHeight="1" x14ac:dyDescent="0.35">
      <c r="A27" s="117"/>
      <c r="B27" s="350"/>
      <c r="C27" s="254"/>
      <c r="D27" s="286"/>
      <c r="E27" s="286"/>
      <c r="F27" s="286"/>
      <c r="G27" s="286"/>
      <c r="H27" s="283"/>
      <c r="I27" s="283"/>
      <c r="J27" s="283"/>
      <c r="K27" s="283"/>
      <c r="L27" s="117"/>
      <c r="M27" s="117"/>
      <c r="N27" s="117"/>
      <c r="O27" s="117"/>
      <c r="P27" s="356" t="str">
        <f>Cen!A246</f>
        <v>Korpusové lišty BLUMOTION S, 450mm, 70kg</v>
      </c>
      <c r="Q27" s="356" t="str">
        <f>Cen!B246</f>
        <v>753.4501S</v>
      </c>
      <c r="R27" s="356" t="str">
        <f>Cen!C246</f>
        <v>ZN</v>
      </c>
      <c r="S27" s="357"/>
      <c r="T27" s="358">
        <f>Cen!F246</f>
        <v>881.76589000000013</v>
      </c>
      <c r="U27" s="358">
        <f t="shared" si="1"/>
        <v>0</v>
      </c>
    </row>
    <row r="28" spans="1:21" ht="15.5" x14ac:dyDescent="0.35">
      <c r="A28" s="117"/>
      <c r="B28" s="383"/>
      <c r="C28" s="340"/>
      <c r="D28" s="341"/>
      <c r="E28" s="341"/>
      <c r="F28" s="415" t="str">
        <f>IF(F21&gt;0,IF(OR(F23="m",F23="k",F23="c")," ",List!$B$188)," ")</f>
        <v xml:space="preserve"> </v>
      </c>
      <c r="G28" s="341"/>
      <c r="H28" s="414" t="str">
        <f>IF(H21&gt;0,IF(OR(H23="m",H23="k",H23="c")," ",List!$B$188)," ")</f>
        <v xml:space="preserve"> </v>
      </c>
      <c r="I28" s="290"/>
      <c r="J28" s="341"/>
      <c r="K28" s="341"/>
      <c r="L28" s="117"/>
      <c r="M28" s="117"/>
      <c r="N28" s="117"/>
      <c r="O28" s="117"/>
      <c r="P28" s="205" t="str">
        <f>Cen!A247</f>
        <v>Korpusové lišty BLUMOTION S, 500mm, 40kg</v>
      </c>
      <c r="Q28" s="205" t="str">
        <f>Cen!B247</f>
        <v>750.5001S</v>
      </c>
      <c r="R28" s="205" t="str">
        <f>Cen!C247</f>
        <v>ZN</v>
      </c>
      <c r="S28" s="255">
        <f>G21</f>
        <v>0</v>
      </c>
      <c r="T28" s="256">
        <f>Cen!F247</f>
        <v>705.71905000000004</v>
      </c>
      <c r="U28" s="256">
        <f t="shared" si="1"/>
        <v>0</v>
      </c>
    </row>
    <row r="29" spans="1:21" ht="15.5" x14ac:dyDescent="0.35">
      <c r="A29" s="117"/>
      <c r="B29" s="403"/>
      <c r="C29" s="341"/>
      <c r="D29" s="384"/>
      <c r="E29" s="384"/>
      <c r="F29" s="384"/>
      <c r="G29" s="415" t="str">
        <f>IF(G21&gt;0,IF(OR(G23="m",G23="k",G23="c")," ",List!$B$188)," ")</f>
        <v xml:space="preserve"> </v>
      </c>
      <c r="H29" s="290"/>
      <c r="I29" s="414" t="str">
        <f>IF(I21&gt;0,IF(OR(I23="m",I23="k",I23="c")," ",List!$B$188)," ")</f>
        <v xml:space="preserve"> </v>
      </c>
      <c r="J29" s="290"/>
      <c r="K29" s="290"/>
      <c r="L29" s="117"/>
      <c r="M29" s="117"/>
      <c r="N29" s="117"/>
      <c r="O29" s="117"/>
      <c r="P29" s="356" t="str">
        <f>Cen!A248</f>
        <v>Korpusové lišty BLUMOTION S, 500mm, 70kg</v>
      </c>
      <c r="Q29" s="356" t="str">
        <f>Cen!B248</f>
        <v>753.5001S</v>
      </c>
      <c r="R29" s="356" t="str">
        <f>Cen!C248</f>
        <v>ZN</v>
      </c>
      <c r="S29" s="357"/>
      <c r="T29" s="358">
        <f>Cen!F248</f>
        <v>890.62918000000002</v>
      </c>
      <c r="U29" s="358">
        <f t="shared" si="1"/>
        <v>0</v>
      </c>
    </row>
    <row r="30" spans="1:21" ht="14" x14ac:dyDescent="0.3">
      <c r="A30" s="117"/>
      <c r="B30" s="310"/>
      <c r="D30" s="351"/>
      <c r="E30" s="351"/>
      <c r="F30" s="351"/>
      <c r="G30" s="351"/>
      <c r="H30" s="290"/>
      <c r="I30" s="290"/>
      <c r="J30" s="290"/>
      <c r="K30" s="290"/>
      <c r="L30" s="117"/>
      <c r="M30" s="117"/>
      <c r="N30" s="117"/>
      <c r="O30" s="117"/>
      <c r="P30" s="205" t="str">
        <f>Cen!A249</f>
        <v>Korpusové lišty BLUMOTION S, 550mm, 40kg</v>
      </c>
      <c r="Q30" s="205" t="str">
        <f>Cen!B249</f>
        <v>750.5501S</v>
      </c>
      <c r="R30" s="205" t="str">
        <f>Cen!C249</f>
        <v>ZN</v>
      </c>
      <c r="S30" s="255">
        <f>H21</f>
        <v>0</v>
      </c>
      <c r="T30" s="256">
        <f>Cen!F249</f>
        <v>769.83820000000003</v>
      </c>
      <c r="U30" s="256">
        <f t="shared" si="1"/>
        <v>0</v>
      </c>
    </row>
    <row r="31" spans="1:21" ht="13" x14ac:dyDescent="0.3">
      <c r="A31" s="117"/>
      <c r="B31" s="289"/>
      <c r="C31" s="289"/>
      <c r="D31" s="175"/>
      <c r="E31" s="175"/>
      <c r="F31" s="175"/>
      <c r="G31" s="175"/>
      <c r="H31" s="283"/>
      <c r="I31" s="283"/>
      <c r="J31" s="283"/>
      <c r="K31" s="283"/>
      <c r="L31" s="117"/>
      <c r="M31" s="117"/>
      <c r="N31" s="117"/>
      <c r="O31" s="117"/>
      <c r="P31" s="356" t="str">
        <f>Cen!A250</f>
        <v>Korpusové lišty BLUMOTION S, 550mm, 70kg</v>
      </c>
      <c r="Q31" s="356" t="str">
        <f>Cen!B250</f>
        <v>753.5501S</v>
      </c>
      <c r="R31" s="356" t="str">
        <f>Cen!C250</f>
        <v>ZN</v>
      </c>
      <c r="S31" s="357"/>
      <c r="T31" s="358">
        <f>Cen!F250</f>
        <v>937.94550000000004</v>
      </c>
      <c r="U31" s="358">
        <f t="shared" si="1"/>
        <v>0</v>
      </c>
    </row>
    <row r="32" spans="1:21" ht="14" x14ac:dyDescent="0.3">
      <c r="A32" s="117"/>
      <c r="B32" s="282"/>
      <c r="C32" s="476" t="str">
        <f>"* "&amp;List!$B$189</f>
        <v>* Výšku bočnic pro horní zásuvku lze změnit</v>
      </c>
      <c r="D32" s="117"/>
      <c r="E32" s="117"/>
      <c r="F32" s="117"/>
      <c r="G32" s="117"/>
      <c r="H32" s="142"/>
      <c r="I32" s="142"/>
      <c r="J32" s="117"/>
      <c r="K32" s="117"/>
      <c r="L32" s="117"/>
      <c r="M32" s="117"/>
      <c r="N32" s="117"/>
      <c r="O32" s="117"/>
      <c r="P32" s="205" t="str">
        <f>Cen!A251</f>
        <v>Korpusové lišty BLUMOTION S, 600mm, 40kg</v>
      </c>
      <c r="Q32" s="205" t="str">
        <f>Cen!B251</f>
        <v>750.6001S</v>
      </c>
      <c r="R32" s="205" t="str">
        <f>Cen!C251</f>
        <v>ZN</v>
      </c>
      <c r="S32" s="255">
        <f>I21</f>
        <v>0</v>
      </c>
      <c r="T32" s="256">
        <f>Cen!F251</f>
        <v>865.24247000000003</v>
      </c>
      <c r="U32" s="256">
        <f t="shared" si="1"/>
        <v>0</v>
      </c>
    </row>
    <row r="33" spans="1:21" ht="13" x14ac:dyDescent="0.3">
      <c r="A33" s="117"/>
      <c r="B33" s="282"/>
      <c r="C33" s="282"/>
      <c r="H33" s="284"/>
      <c r="I33" s="284"/>
      <c r="J33" s="284"/>
      <c r="K33" s="284"/>
      <c r="L33" s="117"/>
      <c r="P33" s="356" t="str">
        <f>Cen!A252</f>
        <v>Korpusové lišty BLUMOTION S, 600mm, 70kg</v>
      </c>
      <c r="Q33" s="356" t="str">
        <f>Cen!B252</f>
        <v>753.6001S</v>
      </c>
      <c r="R33" s="356" t="str">
        <f>Cen!C252</f>
        <v>ZN</v>
      </c>
      <c r="S33" s="357"/>
      <c r="T33" s="358">
        <f>Cen!F252</f>
        <v>1033.34979</v>
      </c>
      <c r="U33" s="358">
        <f t="shared" si="1"/>
        <v>0</v>
      </c>
    </row>
    <row r="34" spans="1:21" ht="13" x14ac:dyDescent="0.3">
      <c r="A34" s="117"/>
      <c r="B34" s="282"/>
      <c r="C34" s="282"/>
      <c r="H34" s="284"/>
      <c r="I34" s="284"/>
      <c r="J34" s="284"/>
      <c r="K34" s="284"/>
      <c r="L34" s="117"/>
      <c r="P34" s="205" t="str">
        <f>Cen!A253</f>
        <v>Korpusové lišty BLUMOTION S, 650mm, 70kg</v>
      </c>
      <c r="Q34" s="205" t="str">
        <f>Cen!B253</f>
        <v>753.6501S</v>
      </c>
      <c r="R34" s="205" t="str">
        <f>Cen!C253</f>
        <v>ZN</v>
      </c>
      <c r="S34" s="255">
        <f>J21</f>
        <v>0</v>
      </c>
      <c r="T34" s="256">
        <f>Cen!F253</f>
        <v>1080.66551</v>
      </c>
      <c r="U34" s="256">
        <f>S34*T34</f>
        <v>0</v>
      </c>
    </row>
    <row r="35" spans="1:21" ht="13" x14ac:dyDescent="0.3">
      <c r="B35" s="282"/>
      <c r="C35" s="282"/>
      <c r="H35" s="285"/>
      <c r="I35" s="285"/>
      <c r="J35" s="285"/>
      <c r="K35" s="285"/>
      <c r="P35" s="120"/>
      <c r="Q35" s="120"/>
      <c r="R35" s="120"/>
      <c r="S35" s="121"/>
      <c r="T35" s="116"/>
      <c r="U35" s="116"/>
    </row>
    <row r="36" spans="1:21" ht="12.75" customHeight="1" x14ac:dyDescent="0.35">
      <c r="B36" s="316"/>
      <c r="C36" s="282"/>
      <c r="H36" s="283"/>
      <c r="I36" s="283"/>
      <c r="J36" s="283"/>
      <c r="K36" s="283"/>
      <c r="P36" s="124" t="str">
        <f>Cen!A319</f>
        <v>Držáky zadní stěny M, Orion šedá</v>
      </c>
      <c r="Q36" s="124" t="str">
        <f>Cen!B319</f>
        <v>ZB7M000S</v>
      </c>
      <c r="R36" s="124" t="str">
        <f>Cen!C319</f>
        <v>OG-M</v>
      </c>
      <c r="S36" s="257">
        <f>SUM(S3:S6)</f>
        <v>0</v>
      </c>
      <c r="T36" s="124">
        <f>Cen!F319</f>
        <v>35.345579999999998</v>
      </c>
      <c r="U36" s="328">
        <f t="shared" ref="U36:U42" si="2">S36*T36</f>
        <v>0</v>
      </c>
    </row>
    <row r="37" spans="1:21" ht="13.5" customHeight="1" x14ac:dyDescent="0.3">
      <c r="B37" s="339"/>
      <c r="C37" s="286"/>
      <c r="D37" s="340"/>
      <c r="E37" s="341"/>
      <c r="F37" s="342"/>
      <c r="G37" s="341"/>
      <c r="H37" s="341"/>
      <c r="I37" s="286"/>
      <c r="J37" s="286"/>
      <c r="K37" s="286"/>
      <c r="P37" s="125" t="str">
        <f>Cen!A324</f>
        <v>Držáky zadní stěny K, Orion šedá</v>
      </c>
      <c r="Q37" s="125" t="str">
        <f>Cen!B324</f>
        <v>ZB7K000S</v>
      </c>
      <c r="R37" s="125" t="str">
        <f>Cen!C324</f>
        <v>OG-M</v>
      </c>
      <c r="S37" s="257">
        <f>SUM(S8:S11)</f>
        <v>0</v>
      </c>
      <c r="T37" s="125">
        <f>Cen!F324</f>
        <v>43.05771</v>
      </c>
      <c r="U37" s="258">
        <f t="shared" si="2"/>
        <v>0</v>
      </c>
    </row>
    <row r="38" spans="1:21" ht="14" x14ac:dyDescent="0.3">
      <c r="B38" s="343"/>
      <c r="C38" s="286"/>
      <c r="D38" s="344"/>
      <c r="E38" s="290"/>
      <c r="F38" s="290"/>
      <c r="G38" s="290"/>
      <c r="H38" s="290"/>
      <c r="I38" s="284"/>
      <c r="J38" s="284"/>
      <c r="K38" s="284"/>
      <c r="P38" s="125" t="str">
        <f>Cen!A329</f>
        <v>Držáky zadní stěny C, Orion šedá</v>
      </c>
      <c r="Q38" s="125" t="str">
        <f>Cen!B329</f>
        <v>ZB7C000S</v>
      </c>
      <c r="R38" s="125" t="str">
        <f>Cen!C329</f>
        <v>OG-M</v>
      </c>
      <c r="S38" s="257">
        <f>SUM(S12:S15)</f>
        <v>0</v>
      </c>
      <c r="T38" s="125">
        <f>Cen!F329</f>
        <v>47.092230000000001</v>
      </c>
      <c r="U38" s="258">
        <f t="shared" si="2"/>
        <v>0</v>
      </c>
    </row>
    <row r="39" spans="1:21" ht="14" x14ac:dyDescent="0.3">
      <c r="B39" s="343"/>
      <c r="C39" s="286"/>
      <c r="D39" s="344"/>
      <c r="E39" s="290"/>
      <c r="F39" s="290"/>
      <c r="G39" s="290"/>
      <c r="H39" s="290"/>
      <c r="I39" s="284"/>
      <c r="J39" s="284"/>
      <c r="K39" s="284"/>
      <c r="P39" s="453" t="str">
        <f>Cen!A334</f>
        <v>Držáky zadní stěny F, Orion šedá</v>
      </c>
      <c r="Q39" s="453" t="str">
        <f>Cen!B334</f>
        <v>ZB7F000S</v>
      </c>
      <c r="R39" s="453" t="str">
        <f>Cen!C334</f>
        <v>OG-M</v>
      </c>
      <c r="S39" s="454">
        <f>SUM(S17:S20)</f>
        <v>0</v>
      </c>
      <c r="T39" s="453">
        <f>Cen!F334</f>
        <v>100.76446</v>
      </c>
      <c r="U39" s="455">
        <f t="shared" si="2"/>
        <v>0</v>
      </c>
    </row>
    <row r="40" spans="1:21" ht="14" x14ac:dyDescent="0.3">
      <c r="B40" s="310"/>
      <c r="C40" s="311"/>
      <c r="D40" s="290"/>
      <c r="E40" s="290"/>
      <c r="F40" s="290"/>
      <c r="G40" s="290"/>
      <c r="I40" s="285"/>
      <c r="J40" s="285"/>
      <c r="K40" s="285"/>
      <c r="P40" s="124" t="str">
        <f>Cen!A347</f>
        <v>Čelní kování M, na vruty</v>
      </c>
      <c r="Q40" s="124" t="str">
        <f>Cen!B347</f>
        <v>ZF7M7002</v>
      </c>
      <c r="R40" s="124" t="str">
        <f>Cen!C347</f>
        <v>BL</v>
      </c>
      <c r="S40" s="327">
        <f>SUM(S3:S6,S17:S20)*2</f>
        <v>0</v>
      </c>
      <c r="T40" s="124">
        <f>Cen!F347</f>
        <v>7.6647100000000004</v>
      </c>
      <c r="U40" s="328">
        <f t="shared" si="2"/>
        <v>0</v>
      </c>
    </row>
    <row r="41" spans="1:21" ht="13" x14ac:dyDescent="0.3">
      <c r="B41" s="282"/>
      <c r="C41" s="282"/>
      <c r="H41" s="283"/>
      <c r="I41" s="283"/>
      <c r="J41" s="283"/>
      <c r="K41" s="283"/>
      <c r="P41" s="125" t="str">
        <f>Cen!A350</f>
        <v>Čelní kování K, na vruty</v>
      </c>
      <c r="Q41" s="125" t="str">
        <f>Cen!B350</f>
        <v>ZF7K7002</v>
      </c>
      <c r="R41" s="125" t="str">
        <f>Cen!C350</f>
        <v>BL</v>
      </c>
      <c r="S41" s="257">
        <f>SUM(S8:S11)*2</f>
        <v>0</v>
      </c>
      <c r="T41" s="125">
        <f>Cen!F350</f>
        <v>15.18336</v>
      </c>
      <c r="U41" s="258">
        <f t="shared" si="2"/>
        <v>0</v>
      </c>
    </row>
    <row r="42" spans="1:21" ht="13" x14ac:dyDescent="0.3">
      <c r="B42" s="282"/>
      <c r="C42" s="282"/>
      <c r="H42" s="286"/>
      <c r="I42" s="286"/>
      <c r="J42" s="286"/>
      <c r="K42" s="286"/>
      <c r="P42" s="202" t="str">
        <f>Cen!A353</f>
        <v>Čelní kování C, na vruty</v>
      </c>
      <c r="Q42" s="202" t="str">
        <f>Cen!B353</f>
        <v>ZF7C7002</v>
      </c>
      <c r="R42" s="202" t="str">
        <f>Cen!C353</f>
        <v>BL</v>
      </c>
      <c r="S42" s="259">
        <f>SUM(S12:S15,S17:S20)*2</f>
        <v>0</v>
      </c>
      <c r="T42" s="202">
        <f>Cen!F353</f>
        <v>18.390879999999999</v>
      </c>
      <c r="U42" s="260">
        <f t="shared" si="2"/>
        <v>0</v>
      </c>
    </row>
    <row r="43" spans="1:21" x14ac:dyDescent="0.25">
      <c r="P43" s="117"/>
      <c r="Q43" s="117"/>
    </row>
    <row r="44" spans="1:21" x14ac:dyDescent="0.25">
      <c r="P44" s="117"/>
      <c r="Q44" s="117"/>
      <c r="S44" s="74" t="str">
        <f>List!$B$97</f>
        <v>cena kování</v>
      </c>
      <c r="U44" s="346">
        <f>SUM(U3:U43)</f>
        <v>0</v>
      </c>
    </row>
    <row r="45" spans="1:21" x14ac:dyDescent="0.25">
      <c r="P45" s="117"/>
      <c r="Q45" s="117"/>
    </row>
    <row r="46" spans="1:21" x14ac:dyDescent="0.25">
      <c r="P46" s="117"/>
      <c r="Q46" s="117"/>
    </row>
    <row r="47" spans="1:21" x14ac:dyDescent="0.25">
      <c r="P47" s="117"/>
      <c r="Q47" s="117"/>
    </row>
    <row r="48" spans="1:21" x14ac:dyDescent="0.25">
      <c r="P48" s="117"/>
      <c r="Q48" s="117"/>
      <c r="R48" s="2" t="s">
        <v>712</v>
      </c>
      <c r="S48" s="2" t="s">
        <v>713</v>
      </c>
    </row>
    <row r="49" spans="16:17" x14ac:dyDescent="0.25">
      <c r="P49" s="117"/>
      <c r="Q49" s="117"/>
    </row>
    <row r="50" spans="16:17" x14ac:dyDescent="0.25">
      <c r="P50" s="117"/>
      <c r="Q50" s="117"/>
    </row>
    <row r="51" spans="16:17" x14ac:dyDescent="0.25">
      <c r="P51" s="117"/>
      <c r="Q51" s="117"/>
    </row>
    <row r="52" spans="16:17" x14ac:dyDescent="0.25">
      <c r="P52" s="117"/>
      <c r="Q52" s="117"/>
    </row>
  </sheetData>
  <sheetProtection algorithmName="SHA-512" hashValue="tXtCaDCzQhqKfUreBQ+4ZwpAY/thb+l+UvFdk7AOlr1jRED20Z1P/n03L0LUzwikgBdnE4DDFTPyBGfScP+i9w==" saltValue="HaF8Fe0ZcUjH72Rfum6Axg==" spinCount="100000" sheet="1" objects="1" scenarios="1"/>
  <phoneticPr fontId="52" type="noConversion"/>
  <hyperlinks>
    <hyperlink ref="M3" location="Form!A1" tooltip=" " display="Form!A1" xr:uid="{00000000-0004-0000-1400-000000000000}"/>
    <hyperlink ref="M4" location="Menu!A1" tooltip=" " display="Menu!A1" xr:uid="{00000000-0004-0000-1400-000001000000}"/>
    <hyperlink ref="M7" location="Acs!A1" tooltip=" " display="Acs!A1" xr:uid="{00000000-0004-0000-1400-000002000000}"/>
    <hyperlink ref="M8" location="SD!A1" tooltip=" " display="SD!A1" xr:uid="{00000000-0004-0000-1400-000003000000}"/>
    <hyperlink ref="M10" location="Sum!A1" tooltip=" " display="Sum!A1" xr:uid="{00000000-0004-0000-1400-000004000000}"/>
    <hyperlink ref="M11" location="Ord!A1" tooltip=" " display="Ord!A1" xr:uid="{00000000-0004-0000-1400-000005000000}"/>
    <hyperlink ref="M9" location="AL!A1" tooltip=" " display="AL!A1" xr:uid="{00000000-0004-0000-14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5">
    <tabColor theme="5" tint="0.39997558519241921"/>
  </sheetPr>
  <dimension ref="A1:V6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5" width="10.542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1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List!$B$52&amp;" "&amp;List!$B$63</f>
        <v>Čelní výsuv pro úzké korpusy</v>
      </c>
      <c r="L2" s="117"/>
      <c r="M2" s="2" t="str">
        <f>List!$B$11&amp;":"</f>
        <v>Zpět na:</v>
      </c>
      <c r="N2" s="117"/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1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17"/>
      <c r="M3" s="149" t="str">
        <f>" "&amp;List!$B$13</f>
        <v xml:space="preserve"> Úvod</v>
      </c>
      <c r="N3" s="117"/>
      <c r="O3" s="117"/>
      <c r="P3" s="389" t="str">
        <f>Cen!A51</f>
        <v>Bočnice M 450mm, Orion šedá</v>
      </c>
      <c r="Q3" s="389" t="str">
        <f>Cen!B51</f>
        <v>770M4502S</v>
      </c>
      <c r="R3" s="389" t="str">
        <f>Cen!C51</f>
        <v>OG-M</v>
      </c>
      <c r="S3" s="257">
        <f>SUM(IF($F$23="m",$F$21,0),IF($F$24="m",$F$21,0))</f>
        <v>0</v>
      </c>
      <c r="T3" s="389">
        <f>Cen!F51</f>
        <v>588.37465999999995</v>
      </c>
      <c r="U3" s="390">
        <f t="shared" ref="U3:U15" si="0">S3*T3</f>
        <v>0</v>
      </c>
    </row>
    <row r="4" spans="1:21" x14ac:dyDescent="0.25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713</v>
      </c>
      <c r="K4" s="120"/>
      <c r="L4" s="117"/>
      <c r="M4" s="150" t="str">
        <f>" "&amp;List!$B$4</f>
        <v xml:space="preserve"> Výběr zásuvek a výsuvů</v>
      </c>
      <c r="N4" s="117"/>
      <c r="O4" s="117"/>
      <c r="P4" s="389" t="str">
        <f>Cen!A56</f>
        <v>Bočnice M 500mm, Orion šedá</v>
      </c>
      <c r="Q4" s="389" t="str">
        <f>Cen!B56</f>
        <v>770M5002S</v>
      </c>
      <c r="R4" s="389" t="str">
        <f>Cen!C56</f>
        <v>OG-M</v>
      </c>
      <c r="S4" s="257">
        <f>SUM(IF($G$23="m",$G$21,0),IF($G$24="m",$G$21,0))</f>
        <v>0</v>
      </c>
      <c r="T4" s="389">
        <f>Cen!F56</f>
        <v>595.274</v>
      </c>
      <c r="U4" s="390">
        <f t="shared" si="0"/>
        <v>0</v>
      </c>
    </row>
    <row r="5" spans="1:21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17"/>
      <c r="N5" s="117"/>
      <c r="O5" s="117"/>
      <c r="P5" s="389" t="str">
        <f>Cen!A61</f>
        <v>Bočnice M 550mm, Orion šedá</v>
      </c>
      <c r="Q5" s="389" t="str">
        <f>Cen!B61</f>
        <v>770M5502S</v>
      </c>
      <c r="R5" s="389" t="str">
        <f>Cen!C61</f>
        <v>OG-M</v>
      </c>
      <c r="S5" s="257">
        <f>SUM(IF($H$23="m",$H$21,0),IF($H$24="m",$H$21,0))</f>
        <v>0</v>
      </c>
      <c r="T5" s="389">
        <f>Cen!F61</f>
        <v>665.94478000000004</v>
      </c>
      <c r="U5" s="390">
        <f t="shared" si="0"/>
        <v>0</v>
      </c>
    </row>
    <row r="6" spans="1:21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17"/>
      <c r="M6" s="2" t="str">
        <f>List!$B$12&amp;":"</f>
        <v>Pokračovat na:</v>
      </c>
      <c r="N6" s="117"/>
      <c r="O6" s="117"/>
      <c r="P6" s="389" t="str">
        <f>Cen!A66</f>
        <v>Bočnice M 600mm, Orion šedá</v>
      </c>
      <c r="Q6" s="389" t="str">
        <f>Cen!B66</f>
        <v>770M6002S</v>
      </c>
      <c r="R6" s="389" t="str">
        <f>Cen!C66</f>
        <v>OG-M</v>
      </c>
      <c r="S6" s="257">
        <f>SUM(IF($I$23="m",$I$21,0),IF($I$24="m",$I$21,0))</f>
        <v>0</v>
      </c>
      <c r="T6" s="389">
        <f>Cen!F66</f>
        <v>754.21731</v>
      </c>
      <c r="U6" s="390">
        <f t="shared" si="0"/>
        <v>0</v>
      </c>
    </row>
    <row r="7" spans="1:21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17"/>
      <c r="M7" s="149" t="str">
        <f>" "&amp;List!$B$5</f>
        <v xml:space="preserve"> Výběr doplňků</v>
      </c>
      <c r="N7" s="117"/>
      <c r="O7" s="117"/>
      <c r="P7" s="391" t="str">
        <f>Cen!A71</f>
        <v>Bočnice M 650mm, Orion šedá</v>
      </c>
      <c r="Q7" s="391" t="str">
        <f>Cen!B71</f>
        <v>770M6502S</v>
      </c>
      <c r="R7" s="391" t="str">
        <f>Cen!C71</f>
        <v>OG-M</v>
      </c>
      <c r="S7" s="259">
        <f>SUM(IF($J$23="m",$J$21,0),IF($J$24="m",$J$21,0))</f>
        <v>0</v>
      </c>
      <c r="T7" s="560">
        <f>Cen!F71</f>
        <v>787.42313999999999</v>
      </c>
      <c r="U7" s="392">
        <f>S7*T7</f>
        <v>0</v>
      </c>
    </row>
    <row r="8" spans="1:21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17"/>
      <c r="M8" s="149" t="str">
        <f>" "&amp;List!$B$6</f>
        <v xml:space="preserve"> Výběr SERVO-DRIVE</v>
      </c>
      <c r="N8" s="117"/>
      <c r="O8" s="117"/>
      <c r="P8" s="389" t="str">
        <f>Cen!A91</f>
        <v>Bočnice K 450mm, Orion šedá</v>
      </c>
      <c r="Q8" s="389" t="str">
        <f>Cen!B91</f>
        <v>770K4502S</v>
      </c>
      <c r="R8" s="389" t="str">
        <f>Cen!C91</f>
        <v>OG-M</v>
      </c>
      <c r="S8" s="257">
        <f>SUM(IF($F$23="k",$F$21,0),IF($F$24="k",$F$21,0))</f>
        <v>0</v>
      </c>
      <c r="T8" s="413">
        <f>Cen!F91</f>
        <v>751.87792000000002</v>
      </c>
      <c r="U8" s="390">
        <f t="shared" si="0"/>
        <v>0</v>
      </c>
    </row>
    <row r="9" spans="1:21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$U$55</f>
        <v>0</v>
      </c>
      <c r="L9" s="117"/>
      <c r="M9" s="242" t="str">
        <f>" "&amp;List!$B$7</f>
        <v xml:space="preserve"> Výběr AMBIA-LINE</v>
      </c>
      <c r="N9" s="117"/>
      <c r="O9" s="117"/>
      <c r="P9" s="389" t="str">
        <f>Cen!A96</f>
        <v>Bočnice K 500mm, Orion šedá</v>
      </c>
      <c r="Q9" s="389" t="str">
        <f>Cen!B96</f>
        <v>770K5002S</v>
      </c>
      <c r="R9" s="389" t="str">
        <f>Cen!C96</f>
        <v>OG-M</v>
      </c>
      <c r="S9" s="257">
        <f>SUM(IF($G$23="k",$G$21,0),IF($G$24="k",$G$21,0))</f>
        <v>0</v>
      </c>
      <c r="T9" s="413">
        <f>Cen!F96</f>
        <v>762.18404999999996</v>
      </c>
      <c r="U9" s="390">
        <f t="shared" si="0"/>
        <v>0</v>
      </c>
    </row>
    <row r="10" spans="1:21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117"/>
      <c r="P10" s="389" t="str">
        <f>Cen!A101</f>
        <v>Bočnice K 550mm, Orion šedá</v>
      </c>
      <c r="Q10" s="389" t="str">
        <f>Cen!B101</f>
        <v>770K5502S</v>
      </c>
      <c r="R10" s="389" t="str">
        <f>Cen!C101</f>
        <v>OG-M</v>
      </c>
      <c r="S10" s="257">
        <f>SUM(IF($H$23="k",$H$21,0),IF($H$24="k",$H$21,0))</f>
        <v>0</v>
      </c>
      <c r="T10" s="413">
        <f>Cen!F101</f>
        <v>844.68757000000005</v>
      </c>
      <c r="U10" s="390">
        <f t="shared" si="0"/>
        <v>0</v>
      </c>
    </row>
    <row r="11" spans="1:21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17"/>
      <c r="P11" s="391"/>
      <c r="Q11" s="391"/>
      <c r="R11" s="391"/>
      <c r="S11" s="259"/>
      <c r="T11" s="391"/>
      <c r="U11" s="392"/>
    </row>
    <row r="12" spans="1:21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117"/>
      <c r="M12" s="117"/>
      <c r="N12" s="117"/>
      <c r="O12" s="117"/>
      <c r="P12" s="124" t="str">
        <f>Cen!A176</f>
        <v>Bočnice C free, 450mm, Orion šedá</v>
      </c>
      <c r="Q12" s="124" t="str">
        <f>Cen!B176</f>
        <v>780C4502S</v>
      </c>
      <c r="R12" s="124" t="str">
        <f>Cen!C176</f>
        <v>OG-M</v>
      </c>
      <c r="S12" s="257">
        <f>SUM(IF($F$23="c",$F$21,0),IF($F$24="c",$F$21,0))</f>
        <v>0</v>
      </c>
      <c r="T12" s="393">
        <f>Cen!F176</f>
        <v>971.33302000000003</v>
      </c>
      <c r="U12" s="328">
        <f t="shared" si="0"/>
        <v>0</v>
      </c>
    </row>
    <row r="13" spans="1:21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17"/>
      <c r="P13" s="125" t="str">
        <f>Cen!A181</f>
        <v>Bočnice C free, 500mm, Orion šedá</v>
      </c>
      <c r="Q13" s="125" t="str">
        <f>Cen!B181</f>
        <v>780C5002S</v>
      </c>
      <c r="R13" s="125" t="str">
        <f>Cen!C181</f>
        <v>OG-M</v>
      </c>
      <c r="S13" s="257">
        <f>SUM(IF($G$23="c",$G$21,0),IF($G$24="c",$G$21,0))</f>
        <v>0</v>
      </c>
      <c r="T13" s="261">
        <f>Cen!F181</f>
        <v>978.39665000000002</v>
      </c>
      <c r="U13" s="258">
        <f t="shared" si="0"/>
        <v>0</v>
      </c>
    </row>
    <row r="14" spans="1:21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117"/>
      <c r="M14" s="117"/>
      <c r="N14" s="117"/>
      <c r="O14" s="117"/>
      <c r="P14" s="125" t="str">
        <f>Cen!A186</f>
        <v>Bočnice C free, 550mm, Orion šedá</v>
      </c>
      <c r="Q14" s="125" t="str">
        <f>Cen!B186</f>
        <v>780C5502S</v>
      </c>
      <c r="R14" s="125" t="str">
        <f>Cen!C186</f>
        <v>OG-M</v>
      </c>
      <c r="S14" s="257">
        <f>SUM(IF($H$23="c",$H$21,0),IF($H$24="c",$H$21,0))</f>
        <v>0</v>
      </c>
      <c r="T14" s="261">
        <f>Cen!F186</f>
        <v>1034.8882699999999</v>
      </c>
      <c r="U14" s="258">
        <f t="shared" si="0"/>
        <v>0</v>
      </c>
    </row>
    <row r="15" spans="1:21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117"/>
      <c r="M15" s="117"/>
      <c r="N15" s="117"/>
      <c r="O15" s="117"/>
      <c r="P15" s="125" t="str">
        <f>Cen!A191</f>
        <v>Bočnice C free, 600mm, Orion šedá</v>
      </c>
      <c r="Q15" s="125" t="str">
        <f>Cen!B191</f>
        <v>780C6002S</v>
      </c>
      <c r="R15" s="125" t="str">
        <f>Cen!C191</f>
        <v>OG-M</v>
      </c>
      <c r="S15" s="257">
        <f>SUM(IF($I$23="c",$I$21,0),IF($I$24="c",$I$21,0))</f>
        <v>0</v>
      </c>
      <c r="T15" s="261">
        <f>Cen!F191</f>
        <v>1123.16077</v>
      </c>
      <c r="U15" s="258">
        <f t="shared" si="0"/>
        <v>0</v>
      </c>
    </row>
    <row r="16" spans="1:21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17"/>
      <c r="M16" s="117"/>
      <c r="N16" s="117"/>
      <c r="O16" s="117"/>
      <c r="P16" s="202" t="str">
        <f>Cen!A196</f>
        <v>Bočnice C free, 650mm, Orion šedá</v>
      </c>
      <c r="Q16" s="202" t="str">
        <f>Cen!B196</f>
        <v>780C6502S</v>
      </c>
      <c r="R16" s="202" t="str">
        <f>Cen!C196</f>
        <v>OG-M</v>
      </c>
      <c r="S16" s="259">
        <f>SUM(IF($J$23="c",$J$21,0),IF($J$24="c",$J$21,0))</f>
        <v>0</v>
      </c>
      <c r="T16" s="262">
        <f>Cen!F196</f>
        <v>1156.3666000000001</v>
      </c>
      <c r="U16" s="260">
        <f>S16*T16</f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117"/>
      <c r="M17" s="117"/>
      <c r="N17" s="117"/>
      <c r="O17" s="117"/>
      <c r="P17" s="408" t="str">
        <f>Cen!A206</f>
        <v>Bočnice F 450mm, Orion šedá</v>
      </c>
      <c r="Q17" s="408" t="str">
        <f>Cen!B206</f>
        <v>770F4502S</v>
      </c>
      <c r="R17" s="408" t="str">
        <f>Cen!C206</f>
        <v>OG-M</v>
      </c>
      <c r="S17" s="353">
        <f>SUM(IF($F$23="f",$F$21,0),IF($F$24="f",$F$21,0))</f>
        <v>0</v>
      </c>
      <c r="T17" s="411">
        <f>Cen!F206</f>
        <v>1572.79675</v>
      </c>
      <c r="U17" s="409">
        <f>S17*T17</f>
        <v>0</v>
      </c>
    </row>
    <row r="18" spans="1:21" ht="15.5" x14ac:dyDescent="0.25">
      <c r="A18" s="117"/>
      <c r="C18" s="117"/>
      <c r="D18" s="117"/>
      <c r="E18" s="117"/>
      <c r="F18" s="117"/>
      <c r="G18" s="467" t="str">
        <f>IF(AND(Form!$O$2=3,OR($F$23="k",$G$23="k",$H$23="k")),List!$B$190&amp;"!"," ")</f>
        <v xml:space="preserve"> </v>
      </c>
      <c r="H18" s="285"/>
      <c r="I18" s="285"/>
      <c r="J18" s="285"/>
      <c r="K18" s="285"/>
      <c r="L18" s="117"/>
      <c r="M18" s="117"/>
      <c r="N18" s="117"/>
      <c r="O18" s="117"/>
      <c r="P18" s="352" t="str">
        <f>Cen!A211</f>
        <v>Bočnice F 500mm, Orion šedá</v>
      </c>
      <c r="Q18" s="352" t="str">
        <f>Cen!B211</f>
        <v>770F5002S</v>
      </c>
      <c r="R18" s="352" t="str">
        <f>Cen!C211</f>
        <v>OG-M</v>
      </c>
      <c r="S18" s="353">
        <f>SUM(IF($G$23="F",$G$21,0),IF($G$24="f",$G$21,0))</f>
        <v>0</v>
      </c>
      <c r="T18" s="412">
        <f>Cen!F211</f>
        <v>1586.5378700000001</v>
      </c>
      <c r="U18" s="355">
        <f>S18*T18</f>
        <v>0</v>
      </c>
    </row>
    <row r="19" spans="1:21" ht="15.5" x14ac:dyDescent="0.25">
      <c r="A19" s="117"/>
      <c r="B19" s="307" t="s">
        <v>434</v>
      </c>
      <c r="C19" s="7"/>
      <c r="H19" s="285"/>
      <c r="I19" s="285"/>
      <c r="J19" s="285"/>
      <c r="K19" s="285"/>
      <c r="L19" s="117"/>
      <c r="M19" s="117"/>
      <c r="N19" s="117"/>
      <c r="O19" s="117"/>
      <c r="P19" s="352" t="str">
        <f>Cen!A216</f>
        <v>Bočnice F 550mm, Orion šedá</v>
      </c>
      <c r="Q19" s="352" t="str">
        <f>Cen!B216</f>
        <v>770F5502S</v>
      </c>
      <c r="R19" s="352" t="str">
        <f>Cen!C216</f>
        <v>OG-M</v>
      </c>
      <c r="S19" s="353">
        <f>SUM(IF($H$23="f",$H$21,0),IF($H$24="f",$H$21,0))</f>
        <v>0</v>
      </c>
      <c r="T19" s="412">
        <f>Cen!F216</f>
        <v>1648.36157</v>
      </c>
      <c r="U19" s="355">
        <f>S19*T19</f>
        <v>0</v>
      </c>
    </row>
    <row r="20" spans="1:21" ht="14" x14ac:dyDescent="0.3">
      <c r="A20" s="117"/>
      <c r="B20" s="6"/>
      <c r="C20" s="315" t="str">
        <f>List!$B$118&amp;":"</f>
        <v>Jmenovitá délka:</v>
      </c>
      <c r="D20" s="303"/>
      <c r="E20" s="300"/>
      <c r="F20" s="300" t="s">
        <v>111</v>
      </c>
      <c r="G20" s="301" t="s">
        <v>525</v>
      </c>
      <c r="H20" s="300" t="s">
        <v>526</v>
      </c>
      <c r="I20" s="302" t="s">
        <v>112</v>
      </c>
      <c r="J20" s="302" t="s">
        <v>770</v>
      </c>
      <c r="K20" s="285"/>
      <c r="L20" s="117"/>
      <c r="M20" s="117"/>
      <c r="N20" s="117"/>
      <c r="O20" s="117"/>
      <c r="P20" s="352" t="str">
        <f>Cen!A221</f>
        <v>Bočnice F 600mm, Orion šedá</v>
      </c>
      <c r="Q20" s="352" t="str">
        <f>Cen!B221</f>
        <v>770F6002S</v>
      </c>
      <c r="R20" s="352" t="str">
        <f>Cen!C221</f>
        <v>OG-M</v>
      </c>
      <c r="S20" s="410">
        <f>SUM(IF($I$23="f",$I$21,0),IF($I$24="f",$I$21,0))</f>
        <v>0</v>
      </c>
      <c r="T20" s="412">
        <f>Cen!F221</f>
        <v>1792.6206400000001</v>
      </c>
      <c r="U20" s="355">
        <f>S20*T20</f>
        <v>0</v>
      </c>
    </row>
    <row r="21" spans="1:21" ht="15" thickBot="1" x14ac:dyDescent="0.4">
      <c r="A21" s="117"/>
      <c r="B21" s="400"/>
      <c r="C21" s="315" t="str">
        <f>List!$B$102&amp;":"</f>
        <v>Počet skříní:</v>
      </c>
      <c r="D21" s="402"/>
      <c r="E21" s="402"/>
      <c r="F21" s="294"/>
      <c r="G21" s="294"/>
      <c r="H21" s="294"/>
      <c r="I21" s="295"/>
      <c r="J21" s="295"/>
      <c r="K21"/>
      <c r="L21" s="117"/>
      <c r="M21" s="117"/>
      <c r="N21" s="117"/>
      <c r="O21" s="117"/>
      <c r="P21" s="120"/>
      <c r="Q21" s="120"/>
      <c r="R21" s="120"/>
      <c r="S21" s="121"/>
      <c r="T21" s="115"/>
      <c r="U21" s="116"/>
    </row>
    <row r="22" spans="1:21" ht="14.5" x14ac:dyDescent="0.35">
      <c r="A22" s="117"/>
      <c r="B22"/>
      <c r="C22"/>
      <c r="D22"/>
      <c r="E22"/>
      <c r="F22" s="394"/>
      <c r="G22" s="395"/>
      <c r="H22" s="395"/>
      <c r="I22" s="396"/>
      <c r="J22" s="396"/>
      <c r="K22"/>
      <c r="L22" s="117"/>
      <c r="M22" s="117"/>
      <c r="N22" s="117"/>
      <c r="O22" s="117"/>
      <c r="P22" s="356" t="str">
        <f>Cen!A241</f>
        <v>Korpusové lišty BLUMOTION S, 270mm, 40kg</v>
      </c>
      <c r="Q22" s="356" t="str">
        <f>Cen!B241</f>
        <v>750.2701S</v>
      </c>
      <c r="R22" s="356" t="str">
        <f>Cen!C241</f>
        <v>ZN</v>
      </c>
      <c r="S22" s="357">
        <f>D23</f>
        <v>0</v>
      </c>
      <c r="T22" s="358">
        <f>Cen!F241</f>
        <v>695.93676999999991</v>
      </c>
      <c r="U22" s="358">
        <f t="shared" ref="U22:U33" si="1">S22*T22</f>
        <v>0</v>
      </c>
    </row>
    <row r="23" spans="1:21" ht="15" thickBot="1" x14ac:dyDescent="0.4">
      <c r="A23" s="117"/>
      <c r="B23" s="385" t="str">
        <f>"       "&amp;List!$B$130</f>
        <v xml:space="preserve">       Bočnice nahoře</v>
      </c>
      <c r="C23" s="293"/>
      <c r="D23" s="347"/>
      <c r="E23" s="347"/>
      <c r="F23" s="472" t="s">
        <v>171</v>
      </c>
      <c r="G23" s="473" t="s">
        <v>171</v>
      </c>
      <c r="H23" s="473" t="s">
        <v>171</v>
      </c>
      <c r="I23" s="474" t="s">
        <v>171</v>
      </c>
      <c r="J23" s="474" t="s">
        <v>171</v>
      </c>
      <c r="K23" t="str">
        <f>IF(I23="k"," "&amp;List!$B$183," ")</f>
        <v xml:space="preserve"> </v>
      </c>
      <c r="L23" s="117"/>
      <c r="M23" s="117"/>
      <c r="N23" s="117"/>
      <c r="O23" s="117"/>
      <c r="P23" s="356" t="str">
        <f>Cen!A242</f>
        <v>Korpusové lišty BLUMOTION S, 300mm, 40kg</v>
      </c>
      <c r="Q23" s="356" t="str">
        <f>Cen!B242</f>
        <v>750.3001S</v>
      </c>
      <c r="R23" s="356" t="str">
        <f>Cen!C242</f>
        <v>ZN</v>
      </c>
      <c r="S23" s="357">
        <f>E23</f>
        <v>0</v>
      </c>
      <c r="T23" s="358">
        <f>Cen!F242</f>
        <v>695.93676999999991</v>
      </c>
      <c r="U23" s="358">
        <f t="shared" si="1"/>
        <v>0</v>
      </c>
    </row>
    <row r="24" spans="1:21" ht="15" thickBot="1" x14ac:dyDescent="0.4">
      <c r="A24" s="117"/>
      <c r="B24" s="386" t="str">
        <f>"       "&amp;List!$B$131</f>
        <v xml:space="preserve">       Bočnice dole</v>
      </c>
      <c r="C24" s="387"/>
      <c r="D24" s="297"/>
      <c r="E24" s="297"/>
      <c r="F24" s="469" t="s">
        <v>406</v>
      </c>
      <c r="G24" s="470" t="s">
        <v>406</v>
      </c>
      <c r="H24" s="470" t="s">
        <v>406</v>
      </c>
      <c r="I24" s="471" t="s">
        <v>406</v>
      </c>
      <c r="J24" s="471" t="s">
        <v>406</v>
      </c>
      <c r="K24" t="str">
        <f>IF(I24="k"," "&amp;List!$B$183," ")</f>
        <v xml:space="preserve"> </v>
      </c>
      <c r="L24" s="117"/>
      <c r="M24" s="117"/>
      <c r="N24" s="117"/>
      <c r="O24" s="117"/>
      <c r="P24" s="356" t="str">
        <f>Cen!A243</f>
        <v>Korpusové lišty BLUMOTION S, 350mm, 40kg</v>
      </c>
      <c r="Q24" s="356" t="str">
        <f>Cen!B243</f>
        <v>750.3501S</v>
      </c>
      <c r="R24" s="356" t="str">
        <f>Cen!C243</f>
        <v>ZN</v>
      </c>
      <c r="S24" s="357"/>
      <c r="T24" s="358">
        <f>Cen!F243</f>
        <v>695.93676999999991</v>
      </c>
      <c r="U24" s="358">
        <f t="shared" si="1"/>
        <v>0</v>
      </c>
    </row>
    <row r="25" spans="1:21" ht="6.75" customHeight="1" x14ac:dyDescent="0.35">
      <c r="A25" s="117"/>
      <c r="B25" s="388"/>
      <c r="C25" s="388"/>
      <c r="F25" s="397"/>
      <c r="G25" s="398"/>
      <c r="H25" s="398"/>
      <c r="I25" s="399"/>
      <c r="J25" s="399"/>
      <c r="K25"/>
      <c r="L25" s="117"/>
      <c r="M25" s="117"/>
      <c r="N25" s="117"/>
      <c r="O25" s="117"/>
      <c r="P25" s="356" t="str">
        <f>Cen!A244</f>
        <v>Korpusové lišty BLUMOTION S, 400mm, 40kg</v>
      </c>
      <c r="Q25" s="356" t="str">
        <f>Cen!B244</f>
        <v>750.4001S</v>
      </c>
      <c r="R25" s="356" t="str">
        <f>Cen!C244</f>
        <v>ZN</v>
      </c>
      <c r="S25" s="357"/>
      <c r="T25" s="358">
        <f>Cen!F244</f>
        <v>704.8</v>
      </c>
      <c r="U25" s="358">
        <f t="shared" si="1"/>
        <v>0</v>
      </c>
    </row>
    <row r="26" spans="1:21" ht="13" x14ac:dyDescent="0.3">
      <c r="A26" s="117"/>
      <c r="B26" s="282"/>
      <c r="C26" s="282"/>
      <c r="E26" s="475" t="str">
        <f>List!$B$130&amp;" - "&amp;List!$B$179&amp;": "</f>
        <v xml:space="preserve">Bočnice nahoře - možnosti: </v>
      </c>
      <c r="F26" s="599" t="str">
        <f>$R$57</f>
        <v>M,K,C</v>
      </c>
      <c r="G26" s="599" t="str">
        <f>$R$57</f>
        <v>M,K,C</v>
      </c>
      <c r="H26" s="599" t="str">
        <f>$R$57</f>
        <v>M,K,C</v>
      </c>
      <c r="I26" s="599" t="str">
        <f>$S$57</f>
        <v>M,C</v>
      </c>
      <c r="J26" s="599"/>
      <c r="K26" s="285"/>
      <c r="L26" s="117"/>
      <c r="M26" s="117"/>
      <c r="N26" s="117"/>
      <c r="O26" s="117"/>
      <c r="P26" s="205" t="str">
        <f>Cen!A245</f>
        <v>Korpusové lišty BLUMOTION S, 450mm, 40kg</v>
      </c>
      <c r="Q26" s="205" t="str">
        <f>Cen!B245</f>
        <v>750.4501S</v>
      </c>
      <c r="R26" s="205" t="str">
        <f>Cen!C245</f>
        <v>ZN</v>
      </c>
      <c r="S26" s="255">
        <f>F21</f>
        <v>0</v>
      </c>
      <c r="T26" s="256">
        <f>Cen!F245</f>
        <v>697.06186000000002</v>
      </c>
      <c r="U26" s="256">
        <f t="shared" si="1"/>
        <v>0</v>
      </c>
    </row>
    <row r="27" spans="1:21" ht="12.75" customHeight="1" x14ac:dyDescent="0.35">
      <c r="A27" s="117"/>
      <c r="B27" s="350"/>
      <c r="C27" s="254"/>
      <c r="D27" s="286"/>
      <c r="E27" s="286"/>
      <c r="F27" s="286"/>
      <c r="G27" s="286"/>
      <c r="H27" s="283"/>
      <c r="I27" s="283"/>
      <c r="J27" s="283"/>
      <c r="K27" s="283"/>
      <c r="L27" s="117"/>
      <c r="M27" s="117"/>
      <c r="N27" s="117"/>
      <c r="O27" s="117"/>
      <c r="P27" s="356" t="str">
        <f>Cen!A246</f>
        <v>Korpusové lišty BLUMOTION S, 450mm, 70kg</v>
      </c>
      <c r="Q27" s="356" t="str">
        <f>Cen!B246</f>
        <v>753.4501S</v>
      </c>
      <c r="R27" s="356" t="str">
        <f>Cen!C246</f>
        <v>ZN</v>
      </c>
      <c r="S27" s="357"/>
      <c r="T27" s="358">
        <f>Cen!F246</f>
        <v>881.76589000000013</v>
      </c>
      <c r="U27" s="358">
        <f t="shared" si="1"/>
        <v>0</v>
      </c>
    </row>
    <row r="28" spans="1:21" ht="14" x14ac:dyDescent="0.3">
      <c r="A28" s="117"/>
      <c r="B28" s="117" t="str">
        <f>"        "&amp;List!$B$172</f>
        <v xml:space="preserve">        Boční zásuvné prvky se načtou automaticky</v>
      </c>
      <c r="C28" s="340"/>
      <c r="D28" s="341"/>
      <c r="E28" s="341"/>
      <c r="F28" s="415" t="str">
        <f>IF(F21&gt;0,IF(OR(F23="m",F23="k",F23="c")," ",List!$B$188)," ")</f>
        <v xml:space="preserve"> </v>
      </c>
      <c r="G28" s="341"/>
      <c r="H28" s="414" t="str">
        <f>IF(H21&gt;0,IF(OR(H23="m",H23="k",H23="c")," ",List!$B$188)," ")</f>
        <v xml:space="preserve"> </v>
      </c>
      <c r="I28" s="290"/>
      <c r="J28" s="341"/>
      <c r="K28" s="341"/>
      <c r="L28" s="117"/>
      <c r="M28" s="117"/>
      <c r="N28" s="117"/>
      <c r="O28" s="117"/>
      <c r="P28" s="205" t="str">
        <f>Cen!A247</f>
        <v>Korpusové lišty BLUMOTION S, 500mm, 40kg</v>
      </c>
      <c r="Q28" s="205" t="str">
        <f>Cen!B247</f>
        <v>750.5001S</v>
      </c>
      <c r="R28" s="205" t="str">
        <f>Cen!C247</f>
        <v>ZN</v>
      </c>
      <c r="S28" s="255">
        <f>G21</f>
        <v>0</v>
      </c>
      <c r="T28" s="256">
        <f>Cen!F247</f>
        <v>705.71905000000004</v>
      </c>
      <c r="U28" s="256">
        <f t="shared" si="1"/>
        <v>0</v>
      </c>
    </row>
    <row r="29" spans="1:21" ht="14" x14ac:dyDescent="0.3">
      <c r="A29" s="117"/>
      <c r="B29" s="117" t="str">
        <f>"        "&amp;List!$B$176</f>
        <v xml:space="preserve">        Máte-li zásuvné prvky vlastní, upravte počty v objednávce</v>
      </c>
      <c r="C29" s="341"/>
      <c r="D29" s="384"/>
      <c r="E29" s="384"/>
      <c r="F29" s="384"/>
      <c r="G29" s="415" t="str">
        <f>IF(G21&gt;0,IF(OR(G23="m",G23="k",G23="c")," ",List!$B$188)," ")</f>
        <v xml:space="preserve"> </v>
      </c>
      <c r="H29" s="290"/>
      <c r="I29" s="414" t="str">
        <f>IF(I21&gt;0,IF(OR(I23="m",I23="k",I23="c")," ",List!$B$188)," ")</f>
        <v xml:space="preserve"> </v>
      </c>
      <c r="J29" s="290"/>
      <c r="K29" s="290"/>
      <c r="L29" s="117"/>
      <c r="M29" s="117"/>
      <c r="N29" s="117"/>
      <c r="O29" s="117"/>
      <c r="P29" s="356" t="str">
        <f>Cen!A248</f>
        <v>Korpusové lišty BLUMOTION S, 500mm, 70kg</v>
      </c>
      <c r="Q29" s="356" t="str">
        <f>Cen!B248</f>
        <v>753.5001S</v>
      </c>
      <c r="R29" s="356" t="str">
        <f>Cen!C248</f>
        <v>ZN</v>
      </c>
      <c r="S29" s="357"/>
      <c r="T29" s="358">
        <f>Cen!F248</f>
        <v>890.62918000000002</v>
      </c>
      <c r="U29" s="358">
        <f t="shared" si="1"/>
        <v>0</v>
      </c>
    </row>
    <row r="30" spans="1:21" ht="14" x14ac:dyDescent="0.3">
      <c r="A30" s="117"/>
      <c r="B30" s="310"/>
      <c r="D30" s="351"/>
      <c r="E30" s="351"/>
      <c r="F30" s="351"/>
      <c r="G30" s="351"/>
      <c r="H30" s="290"/>
      <c r="I30" s="290"/>
      <c r="J30" s="290"/>
      <c r="K30" s="290"/>
      <c r="L30" s="117"/>
      <c r="M30" s="117"/>
      <c r="N30" s="117"/>
      <c r="O30" s="117"/>
      <c r="P30" s="205" t="str">
        <f>Cen!A249</f>
        <v>Korpusové lišty BLUMOTION S, 550mm, 40kg</v>
      </c>
      <c r="Q30" s="205" t="str">
        <f>Cen!B249</f>
        <v>750.5501S</v>
      </c>
      <c r="R30" s="205" t="str">
        <f>Cen!C249</f>
        <v>ZN</v>
      </c>
      <c r="S30" s="255">
        <f>H21</f>
        <v>0</v>
      </c>
      <c r="T30" s="256">
        <f>Cen!F249</f>
        <v>769.83820000000003</v>
      </c>
      <c r="U30" s="256">
        <f t="shared" si="1"/>
        <v>0</v>
      </c>
    </row>
    <row r="31" spans="1:21" ht="13" x14ac:dyDescent="0.3">
      <c r="A31" s="117"/>
      <c r="B31" s="289"/>
      <c r="C31" s="289"/>
      <c r="D31" s="175"/>
      <c r="E31" s="175"/>
      <c r="F31" s="175"/>
      <c r="G31" s="175"/>
      <c r="H31" s="283"/>
      <c r="I31" s="283"/>
      <c r="J31" s="283"/>
      <c r="K31" s="283"/>
      <c r="L31" s="117"/>
      <c r="M31" s="117"/>
      <c r="N31" s="117"/>
      <c r="O31" s="117"/>
      <c r="P31" s="356" t="str">
        <f>Cen!A250</f>
        <v>Korpusové lišty BLUMOTION S, 550mm, 70kg</v>
      </c>
      <c r="Q31" s="356" t="str">
        <f>Cen!B250</f>
        <v>753.5501S</v>
      </c>
      <c r="R31" s="356" t="str">
        <f>Cen!C250</f>
        <v>ZN</v>
      </c>
      <c r="S31" s="357"/>
      <c r="T31" s="358">
        <f>Cen!F250</f>
        <v>937.94550000000004</v>
      </c>
      <c r="U31" s="358">
        <f t="shared" si="1"/>
        <v>0</v>
      </c>
    </row>
    <row r="32" spans="1:21" ht="14" x14ac:dyDescent="0.3">
      <c r="A32" s="117"/>
      <c r="B32" s="282"/>
      <c r="C32" s="476" t="str">
        <f>"* "&amp;List!$B$189</f>
        <v>* Výšku bočnic pro horní zásuvku lze změnit</v>
      </c>
      <c r="D32" s="117"/>
      <c r="E32" s="117"/>
      <c r="F32" s="117"/>
      <c r="G32" s="117"/>
      <c r="H32" s="142"/>
      <c r="I32" s="142"/>
      <c r="J32" s="117"/>
      <c r="K32" s="117"/>
      <c r="L32" s="117"/>
      <c r="M32" s="117"/>
      <c r="N32" s="117"/>
      <c r="O32" s="117"/>
      <c r="P32" s="205" t="str">
        <f>Cen!A251</f>
        <v>Korpusové lišty BLUMOTION S, 600mm, 40kg</v>
      </c>
      <c r="Q32" s="205" t="str">
        <f>Cen!B251</f>
        <v>750.6001S</v>
      </c>
      <c r="R32" s="205" t="str">
        <f>Cen!C251</f>
        <v>ZN</v>
      </c>
      <c r="S32" s="255">
        <f>I21</f>
        <v>0</v>
      </c>
      <c r="T32" s="256">
        <f>Cen!F251</f>
        <v>865.24247000000003</v>
      </c>
      <c r="U32" s="256">
        <f t="shared" si="1"/>
        <v>0</v>
      </c>
    </row>
    <row r="33" spans="1:21" ht="13" x14ac:dyDescent="0.3">
      <c r="A33" s="117"/>
      <c r="B33" s="282"/>
      <c r="C33" s="282"/>
      <c r="H33" s="284"/>
      <c r="I33" s="284"/>
      <c r="J33" s="284"/>
      <c r="K33" s="284"/>
      <c r="L33" s="117"/>
      <c r="P33" s="356" t="str">
        <f>Cen!A252</f>
        <v>Korpusové lišty BLUMOTION S, 600mm, 70kg</v>
      </c>
      <c r="Q33" s="356" t="str">
        <f>Cen!B252</f>
        <v>753.6001S</v>
      </c>
      <c r="R33" s="356" t="str">
        <f>Cen!C252</f>
        <v>ZN</v>
      </c>
      <c r="S33" s="357"/>
      <c r="T33" s="358">
        <f>Cen!F252</f>
        <v>1033.34979</v>
      </c>
      <c r="U33" s="358">
        <f t="shared" si="1"/>
        <v>0</v>
      </c>
    </row>
    <row r="34" spans="1:21" ht="13" x14ac:dyDescent="0.3">
      <c r="A34" s="117"/>
      <c r="B34" s="282"/>
      <c r="C34" s="282"/>
      <c r="H34" s="284"/>
      <c r="I34" s="284"/>
      <c r="J34" s="284"/>
      <c r="K34" s="284"/>
      <c r="L34" s="117"/>
      <c r="P34" s="205" t="str">
        <f>Cen!A253</f>
        <v>Korpusové lišty BLUMOTION S, 650mm, 70kg</v>
      </c>
      <c r="Q34" s="205" t="str">
        <f>Cen!B253</f>
        <v>753.6501S</v>
      </c>
      <c r="R34" s="205" t="str">
        <f>Cen!C253</f>
        <v>ZN</v>
      </c>
      <c r="S34" s="255">
        <f>J21</f>
        <v>0</v>
      </c>
      <c r="T34" s="256">
        <f>Cen!F253</f>
        <v>1080.66551</v>
      </c>
      <c r="U34" s="256">
        <f>S34*T34</f>
        <v>0</v>
      </c>
    </row>
    <row r="35" spans="1:21" ht="13" x14ac:dyDescent="0.3">
      <c r="B35" s="282"/>
      <c r="C35" s="282"/>
      <c r="H35" s="285"/>
      <c r="I35" s="285"/>
      <c r="J35" s="285"/>
      <c r="K35" s="285"/>
      <c r="P35" s="120"/>
      <c r="Q35" s="120"/>
      <c r="R35" s="120"/>
      <c r="S35" s="121"/>
      <c r="T35" s="116"/>
      <c r="U35" s="116"/>
    </row>
    <row r="36" spans="1:21" ht="12.75" customHeight="1" x14ac:dyDescent="0.35">
      <c r="B36" s="316"/>
      <c r="C36" s="282"/>
      <c r="H36" s="283"/>
      <c r="I36" s="283"/>
      <c r="J36" s="283"/>
      <c r="K36" s="283"/>
      <c r="P36" s="124" t="str">
        <f>Cen!A319</f>
        <v>Držáky zadní stěny M, Orion šedá</v>
      </c>
      <c r="Q36" s="124" t="str">
        <f>Cen!B319</f>
        <v>ZB7M000S</v>
      </c>
      <c r="R36" s="124" t="str">
        <f>Cen!C319</f>
        <v>OG-M</v>
      </c>
      <c r="S36" s="257">
        <f>SUM(S3:S6)</f>
        <v>0</v>
      </c>
      <c r="T36" s="124">
        <f>Cen!F319</f>
        <v>35.345579999999998</v>
      </c>
      <c r="U36" s="328">
        <f t="shared" ref="U36:U42" si="2">S36*T36</f>
        <v>0</v>
      </c>
    </row>
    <row r="37" spans="1:21" ht="13.5" customHeight="1" x14ac:dyDescent="0.3">
      <c r="B37" s="339"/>
      <c r="C37" s="286"/>
      <c r="D37" s="340"/>
      <c r="E37" s="341"/>
      <c r="F37" s="342"/>
      <c r="G37" s="341"/>
      <c r="H37" s="341"/>
      <c r="I37" s="286"/>
      <c r="J37" s="286"/>
      <c r="K37" s="286"/>
      <c r="P37" s="125" t="str">
        <f>Cen!A324</f>
        <v>Držáky zadní stěny K, Orion šedá</v>
      </c>
      <c r="Q37" s="125" t="str">
        <f>Cen!B324</f>
        <v>ZB7K000S</v>
      </c>
      <c r="R37" s="125" t="str">
        <f>Cen!C324</f>
        <v>OG-M</v>
      </c>
      <c r="S37" s="257">
        <f>SUM(S8:S11)</f>
        <v>0</v>
      </c>
      <c r="T37" s="125">
        <f>Cen!F324</f>
        <v>43.05771</v>
      </c>
      <c r="U37" s="258">
        <f t="shared" si="2"/>
        <v>0</v>
      </c>
    </row>
    <row r="38" spans="1:21" ht="14" x14ac:dyDescent="0.3">
      <c r="B38" s="343"/>
      <c r="C38" s="286"/>
      <c r="D38" s="344"/>
      <c r="E38" s="290"/>
      <c r="F38" s="290"/>
      <c r="G38" s="290"/>
      <c r="H38" s="290"/>
      <c r="I38" s="284"/>
      <c r="J38" s="284"/>
      <c r="K38" s="284"/>
      <c r="P38" s="125" t="str">
        <f>Cen!A329</f>
        <v>Držáky zadní stěny C, Orion šedá</v>
      </c>
      <c r="Q38" s="125" t="str">
        <f>Cen!B329</f>
        <v>ZB7C000S</v>
      </c>
      <c r="R38" s="125" t="str">
        <f>Cen!C329</f>
        <v>OG-M</v>
      </c>
      <c r="S38" s="257">
        <f>SUM(S12:S15)</f>
        <v>0</v>
      </c>
      <c r="T38" s="125">
        <f>Cen!F329</f>
        <v>47.092230000000001</v>
      </c>
      <c r="U38" s="258">
        <f t="shared" si="2"/>
        <v>0</v>
      </c>
    </row>
    <row r="39" spans="1:21" ht="14" x14ac:dyDescent="0.3">
      <c r="B39" s="343"/>
      <c r="C39" s="286"/>
      <c r="D39" s="344"/>
      <c r="E39" s="290"/>
      <c r="F39" s="290"/>
      <c r="G39" s="290"/>
      <c r="H39" s="290"/>
      <c r="I39" s="284"/>
      <c r="J39" s="284"/>
      <c r="K39" s="284"/>
      <c r="P39" s="453" t="str">
        <f>Cen!A334</f>
        <v>Držáky zadní stěny F, Orion šedá</v>
      </c>
      <c r="Q39" s="453" t="str">
        <f>Cen!B334</f>
        <v>ZB7F000S</v>
      </c>
      <c r="R39" s="453" t="str">
        <f>Cen!C334</f>
        <v>OG-M</v>
      </c>
      <c r="S39" s="454">
        <f>SUM(S17:S20)</f>
        <v>0</v>
      </c>
      <c r="T39" s="453">
        <f>Cen!F334</f>
        <v>100.76446</v>
      </c>
      <c r="U39" s="455">
        <f t="shared" si="2"/>
        <v>0</v>
      </c>
    </row>
    <row r="40" spans="1:21" ht="14" x14ac:dyDescent="0.3">
      <c r="B40" s="310"/>
      <c r="C40" s="311"/>
      <c r="D40" s="290"/>
      <c r="E40" s="290"/>
      <c r="F40" s="290"/>
      <c r="G40" s="290"/>
      <c r="I40" s="285"/>
      <c r="J40" s="285"/>
      <c r="K40" s="285"/>
      <c r="P40" s="124" t="str">
        <f>Cen!A347</f>
        <v>Čelní kování M, na vruty</v>
      </c>
      <c r="Q40" s="124" t="str">
        <f>Cen!B347</f>
        <v>ZF7M7002</v>
      </c>
      <c r="R40" s="124" t="str">
        <f>Cen!C347</f>
        <v>BL</v>
      </c>
      <c r="S40" s="327">
        <f>SUM(S3:S6,S17:S20)*2</f>
        <v>0</v>
      </c>
      <c r="T40" s="124">
        <f>Cen!F347</f>
        <v>7.6647100000000004</v>
      </c>
      <c r="U40" s="328">
        <f t="shared" si="2"/>
        <v>0</v>
      </c>
    </row>
    <row r="41" spans="1:21" ht="13" x14ac:dyDescent="0.3">
      <c r="B41" s="282"/>
      <c r="C41" s="282"/>
      <c r="H41" s="283"/>
      <c r="I41" s="283"/>
      <c r="J41" s="283"/>
      <c r="K41" s="283"/>
      <c r="P41" s="125" t="str">
        <f>Cen!A350</f>
        <v>Čelní kování K, na vruty</v>
      </c>
      <c r="Q41" s="125" t="str">
        <f>Cen!B350</f>
        <v>ZF7K7002</v>
      </c>
      <c r="R41" s="125" t="str">
        <f>Cen!C350</f>
        <v>BL</v>
      </c>
      <c r="S41" s="257">
        <f>SUM(S8:S11)*2</f>
        <v>0</v>
      </c>
      <c r="T41" s="125">
        <f>Cen!F350</f>
        <v>15.18336</v>
      </c>
      <c r="U41" s="258">
        <f t="shared" si="2"/>
        <v>0</v>
      </c>
    </row>
    <row r="42" spans="1:21" ht="13" x14ac:dyDescent="0.3">
      <c r="B42" s="282"/>
      <c r="C42" s="282"/>
      <c r="H42" s="286"/>
      <c r="I42" s="286"/>
      <c r="J42" s="286"/>
      <c r="K42" s="286"/>
      <c r="P42" s="202" t="str">
        <f>Cen!A353</f>
        <v>Čelní kování C, na vruty</v>
      </c>
      <c r="Q42" s="202" t="str">
        <f>Cen!B353</f>
        <v>ZF7C7002</v>
      </c>
      <c r="R42" s="202" t="str">
        <f>Cen!C353</f>
        <v>BL</v>
      </c>
      <c r="S42" s="259">
        <f>SUM(S12:S15,S17:S20)*2</f>
        <v>0</v>
      </c>
      <c r="T42" s="202">
        <f>Cen!F353</f>
        <v>18.390879999999999</v>
      </c>
      <c r="U42" s="260">
        <f t="shared" si="2"/>
        <v>0</v>
      </c>
    </row>
    <row r="43" spans="1:21" x14ac:dyDescent="0.25">
      <c r="P43" s="117"/>
      <c r="Q43" s="117"/>
    </row>
    <row r="44" spans="1:21" x14ac:dyDescent="0.25">
      <c r="P44" s="117"/>
      <c r="Q44" s="117"/>
    </row>
    <row r="45" spans="1:21" x14ac:dyDescent="0.25">
      <c r="P45" s="117"/>
      <c r="Q45" s="117"/>
    </row>
    <row r="46" spans="1:21" x14ac:dyDescent="0.25">
      <c r="Q46" s="117"/>
      <c r="R46" s="117"/>
    </row>
    <row r="47" spans="1:21" x14ac:dyDescent="0.25">
      <c r="P47" s="608" t="str">
        <f>Cen!A232</f>
        <v>Boční zásuvné prvky, sklo, pro 350 mm</v>
      </c>
      <c r="Q47" s="608" t="str">
        <f>Cen!B232</f>
        <v>ZE7S238G</v>
      </c>
      <c r="R47" s="608" t="str">
        <f>Cen!C232</f>
        <v>KLA</v>
      </c>
      <c r="S47" s="609"/>
      <c r="T47" s="610">
        <f>Cen!F232</f>
        <v>625.33465999999999</v>
      </c>
      <c r="U47" s="611">
        <f>S47*T47</f>
        <v>0</v>
      </c>
    </row>
    <row r="48" spans="1:21" x14ac:dyDescent="0.25">
      <c r="P48" s="612" t="str">
        <f>Cen!A233</f>
        <v>Boční zásuvné prvky, sklo, pro 400 mm</v>
      </c>
      <c r="Q48" s="612" t="str">
        <f>Cen!B233</f>
        <v>ZE7S288G</v>
      </c>
      <c r="R48" s="612" t="str">
        <f>Cen!C233</f>
        <v>KLA</v>
      </c>
      <c r="S48" s="613"/>
      <c r="T48" s="614">
        <f>Cen!F233</f>
        <v>660.74360999999999</v>
      </c>
      <c r="U48" s="615">
        <f t="shared" ref="U48:U53" si="3">S48*T48</f>
        <v>0</v>
      </c>
    </row>
    <row r="49" spans="16:21" x14ac:dyDescent="0.25">
      <c r="P49" s="125" t="str">
        <f>Cen!A234</f>
        <v>Boční zásuvné prvky, sklo, pro 450 mm</v>
      </c>
      <c r="Q49" s="125" t="str">
        <f>Cen!B234</f>
        <v>ZE7S338G</v>
      </c>
      <c r="R49" s="125" t="str">
        <f>Cen!C234</f>
        <v>KLA</v>
      </c>
      <c r="S49" s="257">
        <f>S12</f>
        <v>0</v>
      </c>
      <c r="T49" s="261">
        <f>Cen!F234</f>
        <v>696.15254000000004</v>
      </c>
      <c r="U49" s="258">
        <f t="shared" si="3"/>
        <v>0</v>
      </c>
    </row>
    <row r="50" spans="16:21" x14ac:dyDescent="0.25">
      <c r="P50" s="125" t="str">
        <f>Cen!A235</f>
        <v>Boční zásuvné prvky, sklo, pro 500 mm</v>
      </c>
      <c r="Q50" s="125" t="str">
        <f>Cen!B235</f>
        <v>ZE7S388G</v>
      </c>
      <c r="R50" s="125" t="str">
        <f>Cen!C235</f>
        <v>KLA</v>
      </c>
      <c r="S50" s="257">
        <f>S13</f>
        <v>0</v>
      </c>
      <c r="T50" s="261">
        <f>Cen!F235</f>
        <v>731.56149000000005</v>
      </c>
      <c r="U50" s="258">
        <f t="shared" si="3"/>
        <v>0</v>
      </c>
    </row>
    <row r="51" spans="16:21" x14ac:dyDescent="0.25">
      <c r="P51" s="125" t="str">
        <f>Cen!A236</f>
        <v>Boční zásuvné prvky, sklo, pro 550 mm</v>
      </c>
      <c r="Q51" s="125" t="str">
        <f>Cen!B236</f>
        <v>ZE7S438G</v>
      </c>
      <c r="R51" s="125" t="str">
        <f>Cen!C236</f>
        <v>KLA</v>
      </c>
      <c r="S51" s="257">
        <f>S14</f>
        <v>0</v>
      </c>
      <c r="T51" s="261">
        <f>Cen!F236</f>
        <v>802.35667000000001</v>
      </c>
      <c r="U51" s="258">
        <f t="shared" si="3"/>
        <v>0</v>
      </c>
    </row>
    <row r="52" spans="16:21" x14ac:dyDescent="0.25">
      <c r="P52" s="125" t="str">
        <f>Cen!A237</f>
        <v>Boční zásuvné prvky, sklo, pro 600 mm</v>
      </c>
      <c r="Q52" s="125" t="str">
        <f>Cen!B237</f>
        <v>ZE7S488G</v>
      </c>
      <c r="R52" s="125" t="str">
        <f>Cen!C237</f>
        <v>KLA</v>
      </c>
      <c r="S52" s="257">
        <f>S15</f>
        <v>0</v>
      </c>
      <c r="T52" s="261">
        <f>Cen!F237</f>
        <v>873.15183000000002</v>
      </c>
      <c r="U52" s="258">
        <f t="shared" si="3"/>
        <v>0</v>
      </c>
    </row>
    <row r="53" spans="16:21" ht="13" thickBot="1" x14ac:dyDescent="0.3">
      <c r="P53" s="595" t="str">
        <f>Cen!A238</f>
        <v>Boční zásuvné prvky, sklo, pro 650 mm</v>
      </c>
      <c r="Q53" s="595" t="str">
        <f>Cen!B238</f>
        <v>ZE7S538G</v>
      </c>
      <c r="R53" s="595" t="str">
        <f>Cen!C238</f>
        <v>KLA</v>
      </c>
      <c r="S53" s="596">
        <f>S16</f>
        <v>0</v>
      </c>
      <c r="T53" s="597">
        <f>Cen!F238</f>
        <v>943.94700999999998</v>
      </c>
      <c r="U53" s="598">
        <f t="shared" si="3"/>
        <v>0</v>
      </c>
    </row>
    <row r="54" spans="16:21" x14ac:dyDescent="0.25">
      <c r="P54" s="117"/>
      <c r="Q54" s="117"/>
    </row>
    <row r="55" spans="16:21" x14ac:dyDescent="0.25">
      <c r="P55" s="117"/>
      <c r="Q55" s="117"/>
      <c r="S55" s="74" t="str">
        <f>List!$B$97</f>
        <v>cena kování</v>
      </c>
      <c r="U55" s="346">
        <f>SUM(U3:U53)</f>
        <v>0</v>
      </c>
    </row>
    <row r="56" spans="16:21" x14ac:dyDescent="0.25">
      <c r="P56" s="117"/>
      <c r="Q56" s="117"/>
    </row>
    <row r="57" spans="16:21" x14ac:dyDescent="0.25">
      <c r="P57" s="117"/>
      <c r="Q57" s="117"/>
      <c r="R57" s="2" t="s">
        <v>712</v>
      </c>
      <c r="S57" s="2" t="s">
        <v>713</v>
      </c>
    </row>
    <row r="58" spans="16:21" x14ac:dyDescent="0.25">
      <c r="P58" s="117"/>
      <c r="Q58" s="117"/>
    </row>
    <row r="59" spans="16:21" x14ac:dyDescent="0.25">
      <c r="P59" s="117"/>
      <c r="Q59" s="117"/>
    </row>
    <row r="60" spans="16:21" x14ac:dyDescent="0.25">
      <c r="P60" s="117"/>
      <c r="Q60" s="117"/>
    </row>
  </sheetData>
  <sheetProtection algorithmName="SHA-512" hashValue="t/yCh2iexhW5NAM2g3PTJN7MaV5YsWA3OrfCYD4Z9FX4SkSkroEQLAQ+gYnRJ6TqrK2i0T/qkHifbclPnUok+A==" saltValue="PU71Wtj3Gmzuq67LQ7Cb2Q==" spinCount="100000" sheet="1" objects="1" scenarios="1"/>
  <hyperlinks>
    <hyperlink ref="M3" location="Form!A1" tooltip=" " display="Form!A1" xr:uid="{00000000-0004-0000-1500-000000000000}"/>
    <hyperlink ref="M4" location="Menu!A1" tooltip=" " display="Menu!A1" xr:uid="{00000000-0004-0000-1500-000001000000}"/>
    <hyperlink ref="M7" location="Acs!A1" tooltip=" " display="Acs!A1" xr:uid="{00000000-0004-0000-1500-000002000000}"/>
    <hyperlink ref="M8" location="SD!A1" tooltip=" " display="SD!A1" xr:uid="{00000000-0004-0000-1500-000003000000}"/>
    <hyperlink ref="M10" location="Sum!A1" tooltip=" " display="Sum!A1" xr:uid="{00000000-0004-0000-1500-000004000000}"/>
    <hyperlink ref="M11" location="Ord!A1" tooltip=" " display="Ord!A1" xr:uid="{00000000-0004-0000-1500-000005000000}"/>
    <hyperlink ref="M9" location="AL!A1" tooltip=" " display="AL!A1" xr:uid="{00000000-0004-0000-15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0">
    <tabColor theme="2" tint="-0.499984740745262"/>
  </sheetPr>
  <dimension ref="A1:Y308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41.36328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773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5xC"</f>
        <v>SPACE-TOWER, sestava 5xC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774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List!$B$69&amp;" / "&amp;List!$B$70&amp;" "&amp;List!$B$67&amp;"*** "</f>
        <v xml:space="preserve">vysoký / nízký přední zásuvný prvek*** </v>
      </c>
      <c r="M3" s="117"/>
      <c r="N3" s="149" t="str">
        <f>" "&amp;List!$B$13</f>
        <v xml:space="preserve"> Úvod</v>
      </c>
      <c r="O3" s="117"/>
      <c r="P3" s="367" t="str">
        <f>Cen!A111</f>
        <v>Bočnice C pure, 270mm, Orion šedá</v>
      </c>
      <c r="Q3" s="367" t="str">
        <f>Cen!B111</f>
        <v>770C2702S</v>
      </c>
      <c r="R3" s="367" t="str">
        <f>Cen!C111</f>
        <v>OG-M</v>
      </c>
      <c r="S3" s="368"/>
      <c r="T3" s="369">
        <f>Cen!F111</f>
        <v>920.62116000000003</v>
      </c>
      <c r="U3" s="775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406</v>
      </c>
      <c r="L4" s="120"/>
      <c r="M4" s="117"/>
      <c r="N4" s="150" t="str">
        <f>" "&amp;List!$B$4</f>
        <v xml:space="preserve"> Výběr zásuvek a výsuvů</v>
      </c>
      <c r="O4" s="117"/>
      <c r="P4" s="367" t="str">
        <f>Cen!A116</f>
        <v>Bočnice C pure, 300mm, Orion šedá</v>
      </c>
      <c r="Q4" s="367" t="str">
        <f>Cen!B116</f>
        <v>770C3002S</v>
      </c>
      <c r="R4" s="367" t="str">
        <f>Cen!C116</f>
        <v>OG-M</v>
      </c>
      <c r="S4" s="368"/>
      <c r="T4" s="369">
        <f>Cen!F116</f>
        <v>920.62116000000003</v>
      </c>
      <c r="U4" s="775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67" t="str">
        <f>Cen!A121</f>
        <v>Bočnice C pure, 350mm, Orion šedá</v>
      </c>
      <c r="Q5" s="367" t="str">
        <f>Cen!B121</f>
        <v>770C3502S</v>
      </c>
      <c r="R5" s="367" t="str">
        <f>Cen!C121</f>
        <v>OG-M</v>
      </c>
      <c r="S5" s="368"/>
      <c r="T5" s="369">
        <f>Cen!F121</f>
        <v>920.62116000000003</v>
      </c>
      <c r="U5" s="775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771</v>
      </c>
      <c r="L6" s="120"/>
      <c r="M6" s="117"/>
      <c r="N6" s="2" t="str">
        <f>List!$B$12&amp;":"</f>
        <v>Pokračovat na:</v>
      </c>
      <c r="O6" s="117"/>
      <c r="P6" s="367" t="str">
        <f>Cen!A126</f>
        <v>Bočnice C pure, 400mm, Orion šedá</v>
      </c>
      <c r="Q6" s="367" t="str">
        <f>Cen!B126</f>
        <v>770C4002S</v>
      </c>
      <c r="R6" s="367" t="str">
        <f>Cen!C126</f>
        <v>OG-M</v>
      </c>
      <c r="S6" s="368"/>
      <c r="T6" s="369">
        <f>Cen!F126</f>
        <v>931.92665999999997</v>
      </c>
      <c r="U6" s="775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 t="str">
        <f>List!$B$36&amp;":"</f>
        <v>sklo:</v>
      </c>
      <c r="J7" s="120"/>
      <c r="K7" s="119" t="str">
        <f>Form!$P$9</f>
        <v>čiré</v>
      </c>
      <c r="L7" s="120"/>
      <c r="M7" s="117"/>
      <c r="N7" s="149" t="str">
        <f>" "&amp;List!$B$5</f>
        <v xml:space="preserve"> Výběr doplňků</v>
      </c>
      <c r="O7" s="117"/>
      <c r="P7" s="389" t="str">
        <f>Cen!A131</f>
        <v>Bočnice C pure, 450mm, Orion šedá</v>
      </c>
      <c r="Q7" s="389" t="str">
        <f>Cen!B131</f>
        <v>770C4502S</v>
      </c>
      <c r="R7" s="389" t="str">
        <f>Cen!C131</f>
        <v>OG-M</v>
      </c>
      <c r="S7" s="416">
        <f>SUM(D26, J26, D34, J34)*5</f>
        <v>0</v>
      </c>
      <c r="T7" s="417">
        <f>Cen!F131</f>
        <v>921.30178999999998</v>
      </c>
      <c r="U7" s="776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Form!$S$14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416">
        <f>SUM(E26, K26, E34, K34)*5</f>
        <v>0</v>
      </c>
      <c r="T8" s="261">
        <f>Cen!F136</f>
        <v>932.34378000000004</v>
      </c>
      <c r="U8" s="776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416">
        <f>SUM(F26, L26, F34, L34)*5</f>
        <v>0</v>
      </c>
      <c r="T9" s="261">
        <f>Cen!F141</f>
        <v>1011.04004</v>
      </c>
      <c r="U9" s="776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52" t="str">
        <f>Cen!A146</f>
        <v>Bočnice C pure, 600mm, Orion šedá</v>
      </c>
      <c r="Q10" s="352" t="str">
        <f>Cen!B146</f>
        <v>770C6002S</v>
      </c>
      <c r="R10" s="352" t="str">
        <f>Cen!C146</f>
        <v>OG-M</v>
      </c>
      <c r="S10" s="353"/>
      <c r="T10" s="354">
        <f>Cen!F146</f>
        <v>1127.97047</v>
      </c>
      <c r="U10" s="777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772"/>
    </row>
    <row r="12" spans="1:25" x14ac:dyDescent="0.25">
      <c r="A12" s="117"/>
      <c r="B12" s="117"/>
      <c r="C12" s="117"/>
      <c r="D12" s="117"/>
      <c r="E12" s="117"/>
      <c r="F12" s="117"/>
      <c r="G12" s="175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778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778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778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List!$C$66&amp;":   LW - 80"</f>
        <v>Přední zásuvné prvky:   LW - 80</v>
      </c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778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5" customHeight="1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781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781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780"/>
    </row>
    <row r="25" spans="1:21" ht="14.5" x14ac:dyDescent="0.35">
      <c r="A25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/>
      <c r="N25"/>
      <c r="O25" s="117"/>
      <c r="P25" s="356" t="str">
        <f>Cen!A257</f>
        <v>Korpusové lišty TIP-ON, 270mm, 40kg</v>
      </c>
      <c r="Q25" s="356" t="str">
        <f>Cen!B257</f>
        <v>750.2701T</v>
      </c>
      <c r="R25" s="356" t="str">
        <f>Cen!C257</f>
        <v>ZN</v>
      </c>
      <c r="S25" s="357"/>
      <c r="T25" s="358">
        <f>Cen!F257</f>
        <v>963.84325999999999</v>
      </c>
      <c r="U25" s="781">
        <f>S25*T25</f>
        <v>0</v>
      </c>
    </row>
    <row r="26" spans="1:21" ht="15" customHeight="1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356" t="str">
        <f>Cen!A258</f>
        <v>Korpusové lišty TIP-ON, 300mm, 40kg</v>
      </c>
      <c r="Q26" s="356" t="str">
        <f>Cen!B258</f>
        <v>750.3001T</v>
      </c>
      <c r="R26" s="356" t="str">
        <f>Cen!C258</f>
        <v>ZN</v>
      </c>
      <c r="S26" s="357"/>
      <c r="T26" s="358">
        <f>Cen!F258</f>
        <v>963.84325999999999</v>
      </c>
      <c r="U26" s="781">
        <f t="shared" ref="U26:U37" si="2">S26*T26</f>
        <v>0</v>
      </c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356" t="str">
        <f>Cen!A259</f>
        <v>Korpusové lišty TIP-ON, 350mm, 40kg</v>
      </c>
      <c r="Q27" s="356" t="str">
        <f>Cen!B259</f>
        <v>750.3501T</v>
      </c>
      <c r="R27" s="356" t="str">
        <f>Cen!C259</f>
        <v>ZN</v>
      </c>
      <c r="S27" s="357"/>
      <c r="T27" s="358">
        <f>Cen!F259</f>
        <v>963.84325999999999</v>
      </c>
      <c r="U27" s="781">
        <f t="shared" si="2"/>
        <v>0</v>
      </c>
    </row>
    <row r="28" spans="1:21" ht="15" customHeight="1" thickBot="1" x14ac:dyDescent="0.35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 s="117"/>
      <c r="N28" s="117"/>
      <c r="O28" s="117"/>
      <c r="P28" s="356" t="str">
        <f>Cen!A260</f>
        <v>Korpusové lišty TIP-ON, 400mm, 40kg</v>
      </c>
      <c r="Q28" s="356" t="str">
        <f>Cen!B260</f>
        <v>750.4001T</v>
      </c>
      <c r="R28" s="356" t="str">
        <f>Cen!C260</f>
        <v>ZN</v>
      </c>
      <c r="S28" s="357"/>
      <c r="T28" s="358">
        <f>Cen!F260</f>
        <v>972.70714999999996</v>
      </c>
      <c r="U28" s="781">
        <f t="shared" si="2"/>
        <v>0</v>
      </c>
    </row>
    <row r="29" spans="1:21" ht="15" customHeight="1" x14ac:dyDescent="0.3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3">IF(E28&gt;0, IF(E28&gt;5,0, 5-E28),0)</f>
        <v>0</v>
      </c>
      <c r="F29" s="702">
        <f t="shared" si="3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4">IF(K28&gt;0, IF(K28&gt;5,0, 5-K28),0)</f>
        <v>0</v>
      </c>
      <c r="L29" s="702">
        <f t="shared" si="4"/>
        <v>0</v>
      </c>
      <c r="M29" s="117"/>
      <c r="N29" s="117"/>
      <c r="O29" s="117"/>
      <c r="P29" s="356" t="str">
        <f>Cen!A261</f>
        <v>Korpusové lišty TIP-ON, 450mm, 40kg</v>
      </c>
      <c r="Q29" s="356" t="str">
        <f>Cen!B261</f>
        <v>750.4501T</v>
      </c>
      <c r="R29" s="356" t="str">
        <f>Cen!C261</f>
        <v>ZN</v>
      </c>
      <c r="S29" s="357"/>
      <c r="T29" s="358">
        <f>Cen!F261</f>
        <v>958.74321999999995</v>
      </c>
      <c r="U29" s="781">
        <f t="shared" si="2"/>
        <v>0</v>
      </c>
    </row>
    <row r="30" spans="1:21" ht="15.7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5">IF(E28&gt;5,"Max. 5!"," ")</f>
        <v xml:space="preserve"> </v>
      </c>
      <c r="F30" s="701" t="str">
        <f t="shared" si="5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6">IF(K28&gt;5,"Max. 5!"," ")</f>
        <v xml:space="preserve"> </v>
      </c>
      <c r="L30" s="701" t="str">
        <f t="shared" si="6"/>
        <v xml:space="preserve"> </v>
      </c>
      <c r="M30"/>
      <c r="N30" s="117"/>
      <c r="O30" s="117"/>
      <c r="P30" s="356" t="str">
        <f>Cen!A262</f>
        <v>Korpusové lišty TIP-ON, 450mm, 70kg</v>
      </c>
      <c r="Q30" s="356" t="str">
        <f>Cen!B262</f>
        <v>753.4501T</v>
      </c>
      <c r="R30" s="356" t="str">
        <f>Cen!C262</f>
        <v>ZN</v>
      </c>
      <c r="S30" s="357"/>
      <c r="T30" s="358">
        <f>Cen!F262</f>
        <v>1142.8525999999999</v>
      </c>
      <c r="U30" s="781">
        <f t="shared" si="2"/>
        <v>0</v>
      </c>
    </row>
    <row r="31" spans="1:21" ht="8.25" customHeight="1" x14ac:dyDescent="0.35">
      <c r="A31" s="117"/>
      <c r="G31" s="769"/>
      <c r="H31" s="706"/>
      <c r="I31" s="706"/>
      <c r="J31" s="706"/>
      <c r="K31" s="706"/>
      <c r="L31" s="706"/>
      <c r="M31"/>
      <c r="N31" s="117"/>
      <c r="O31" s="117"/>
      <c r="P31" s="356" t="str">
        <f>Cen!A263</f>
        <v>Korpusové lišty TIP-ON, 500mm, 40kg</v>
      </c>
      <c r="Q31" s="356" t="str">
        <f>Cen!B263</f>
        <v>750.5001T</v>
      </c>
      <c r="R31" s="356" t="str">
        <f>Cen!C263</f>
        <v>ZN</v>
      </c>
      <c r="S31" s="357"/>
      <c r="T31" s="358">
        <f>Cen!F263</f>
        <v>967.39513999999997</v>
      </c>
      <c r="U31" s="781">
        <f t="shared" si="2"/>
        <v>0</v>
      </c>
    </row>
    <row r="32" spans="1:21" ht="15" customHeight="1" x14ac:dyDescent="0.35">
      <c r="A32" s="117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/>
      <c r="N32" s="117"/>
      <c r="O32" s="117"/>
      <c r="P32" s="356" t="str">
        <f>Cen!A264</f>
        <v>Korpusové lišty TIP-ON, 500mm, 70kg</v>
      </c>
      <c r="Q32" s="356" t="str">
        <f>Cen!B264</f>
        <v>753.5001T</v>
      </c>
      <c r="R32" s="356" t="str">
        <f>Cen!C264</f>
        <v>ZN</v>
      </c>
      <c r="S32" s="357"/>
      <c r="T32" s="358">
        <f>Cen!F264</f>
        <v>1151.7105200000001</v>
      </c>
      <c r="U32" s="781">
        <f t="shared" si="2"/>
        <v>0</v>
      </c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356" t="str">
        <f>Cen!A265</f>
        <v>Korpusové lišty TIP-ON, 550mm, 40kg</v>
      </c>
      <c r="Q33" s="356" t="str">
        <f>Cen!B265</f>
        <v>750.5501T</v>
      </c>
      <c r="R33" s="356" t="str">
        <f>Cen!C265</f>
        <v>ZN</v>
      </c>
      <c r="S33" s="357"/>
      <c r="T33" s="358">
        <f>Cen!F265</f>
        <v>1037.74467</v>
      </c>
      <c r="U33" s="781">
        <f t="shared" si="2"/>
        <v>0</v>
      </c>
    </row>
    <row r="34" spans="1:22" ht="15.7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17"/>
      <c r="N34" s="117"/>
      <c r="O34" s="117"/>
      <c r="P34" s="356" t="str">
        <f>Cen!A266</f>
        <v>Korpusové lišty TIP-ON, 550mm, 70kg</v>
      </c>
      <c r="Q34" s="356" t="str">
        <f>Cen!B266</f>
        <v>753.5501T</v>
      </c>
      <c r="R34" s="356" t="str">
        <f>Cen!C266</f>
        <v>ZN</v>
      </c>
      <c r="S34" s="357"/>
      <c r="T34" s="358">
        <f>Cen!F266</f>
        <v>1199.02684</v>
      </c>
      <c r="U34" s="781">
        <f t="shared" si="2"/>
        <v>0</v>
      </c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17"/>
      <c r="N35" s="117"/>
      <c r="O35" s="117"/>
      <c r="P35" s="356" t="str">
        <f>Cen!A267</f>
        <v>Korpusové lišty TIP-ON, 600mm, 40kg</v>
      </c>
      <c r="Q35" s="356" t="str">
        <f>Cen!B267</f>
        <v>750.6001T</v>
      </c>
      <c r="R35" s="356" t="str">
        <f>Cen!C267</f>
        <v>ZN</v>
      </c>
      <c r="S35" s="357"/>
      <c r="T35" s="358">
        <f>Cen!F267</f>
        <v>1133.14894</v>
      </c>
      <c r="U35" s="781">
        <f t="shared" si="2"/>
        <v>0</v>
      </c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O36" s="117"/>
      <c r="P36" s="356" t="str">
        <f>Cen!A268</f>
        <v>Korpusové lišty TIP-ON, 600mm, 70kg</v>
      </c>
      <c r="Q36" s="356" t="str">
        <f>Cen!B268</f>
        <v>753.6001T</v>
      </c>
      <c r="R36" s="356" t="str">
        <f>Cen!C268</f>
        <v>ZN</v>
      </c>
      <c r="S36" s="357"/>
      <c r="T36" s="358">
        <f>Cen!F268</f>
        <v>1294.4311299999999</v>
      </c>
      <c r="U36" s="781">
        <f t="shared" si="2"/>
        <v>0</v>
      </c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7">IF(E36&gt;0,IF(E36&gt;5,0,5-E36),0)</f>
        <v>0</v>
      </c>
      <c r="F37" s="702">
        <f t="shared" si="7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8">IF(K36&gt;0,IF(K36&gt;5,0,5-K36),0)</f>
        <v>0</v>
      </c>
      <c r="L37" s="702">
        <f t="shared" si="8"/>
        <v>0</v>
      </c>
      <c r="M37" s="142"/>
      <c r="N37" s="142"/>
      <c r="P37" s="356" t="str">
        <f>Cen!A269</f>
        <v>Korpusové lišty TIP-ON, 650mm, 70kg</v>
      </c>
      <c r="Q37" s="356" t="str">
        <f>Cen!B269</f>
        <v>753.6501T</v>
      </c>
      <c r="R37" s="356" t="str">
        <f>Cen!C269</f>
        <v>ZN</v>
      </c>
      <c r="S37" s="357"/>
      <c r="T37" s="358">
        <f>Cen!F269</f>
        <v>1341.74685</v>
      </c>
      <c r="U37" s="781">
        <f t="shared" si="2"/>
        <v>0</v>
      </c>
    </row>
    <row r="38" spans="1:22" ht="16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9">IF(E36&gt;5,"Max. 5!"," ")</f>
        <v xml:space="preserve"> </v>
      </c>
      <c r="F38" s="701" t="str">
        <f t="shared" si="9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10">IF(K36&gt;5,"Max. 5!"," ")</f>
        <v xml:space="preserve"> </v>
      </c>
      <c r="L38" s="701" t="str">
        <f t="shared" si="10"/>
        <v xml:space="preserve"> </v>
      </c>
      <c r="M38" s="142"/>
      <c r="N38" s="142"/>
      <c r="P38" s="120"/>
      <c r="Q38" s="120"/>
      <c r="R38" s="120"/>
      <c r="S38" s="121"/>
      <c r="T38" s="116"/>
      <c r="U38" s="772"/>
    </row>
    <row r="39" spans="1:22" ht="13.5" customHeight="1" x14ac:dyDescent="0.3">
      <c r="A39" s="175"/>
      <c r="B39" s="703"/>
      <c r="C39" s="706"/>
      <c r="D39" s="706"/>
      <c r="E39" s="706"/>
      <c r="F39" s="706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772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>
        <f>Cen!F273</f>
        <v>0</v>
      </c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>
        <f>Cen!F274</f>
        <v>695.93676999999991</v>
      </c>
      <c r="U42" s="781">
        <f t="shared" ref="U42:U59" si="11">S42*T42</f>
        <v>0</v>
      </c>
    </row>
    <row r="43" spans="1:22" ht="13.5" customHeight="1" x14ac:dyDescent="0.3">
      <c r="A43" s="175"/>
      <c r="B43" s="2" t="str">
        <f>"         "&amp;List!B313</f>
        <v xml:space="preserve">         Synchronizace bude přidána automaticky. </v>
      </c>
      <c r="C43" s="340"/>
      <c r="D43" s="341"/>
      <c r="E43" s="341"/>
      <c r="F43" s="341"/>
      <c r="G43" s="341"/>
      <c r="H43" s="341"/>
      <c r="I43" s="341"/>
      <c r="J43" s="290"/>
      <c r="K43" s="341"/>
      <c r="L43" s="341"/>
      <c r="M43" s="142"/>
      <c r="N43" s="142"/>
      <c r="P43" s="356"/>
      <c r="Q43" s="356"/>
      <c r="R43" s="356"/>
      <c r="S43" s="357"/>
      <c r="T43" s="358">
        <f>Cen!F275</f>
        <v>695.93676999999991</v>
      </c>
      <c r="U43" s="781">
        <f t="shared" si="11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40"/>
      <c r="D44" s="341"/>
      <c r="E44" s="341"/>
      <c r="F44" s="341"/>
      <c r="G44" s="341"/>
      <c r="H44" s="341"/>
      <c r="I44" s="341"/>
      <c r="J44" s="290"/>
      <c r="K44" s="341"/>
      <c r="L44" s="341"/>
      <c r="M44" s="142"/>
      <c r="N44" s="142"/>
      <c r="P44" s="356"/>
      <c r="Q44" s="356"/>
      <c r="R44" s="356"/>
      <c r="S44" s="357"/>
      <c r="T44" s="358">
        <f>Cen!F276</f>
        <v>0</v>
      </c>
      <c r="U44" s="781">
        <f t="shared" si="11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40"/>
      <c r="D45" s="341"/>
      <c r="E45" s="341"/>
      <c r="F45" s="341"/>
      <c r="G45" s="341"/>
      <c r="H45" s="341"/>
      <c r="I45" s="341"/>
      <c r="J45" s="290"/>
      <c r="K45" s="341"/>
      <c r="L45" s="341"/>
      <c r="M45" s="117"/>
      <c r="N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40"/>
      <c r="D46" s="341"/>
      <c r="E46" s="341"/>
      <c r="F46" s="341"/>
      <c r="G46" s="341"/>
      <c r="H46" s="341"/>
      <c r="I46" s="341"/>
      <c r="J46" s="290"/>
      <c r="K46" s="341"/>
      <c r="L46" s="341"/>
      <c r="M46" s="117"/>
      <c r="N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41"/>
      <c r="D47" s="290"/>
      <c r="E47" s="290"/>
      <c r="F47" s="290"/>
      <c r="G47" s="290"/>
      <c r="H47" s="290"/>
      <c r="I47" s="290"/>
      <c r="J47" s="290"/>
      <c r="K47" s="290"/>
      <c r="L47" s="290"/>
      <c r="M47" s="117"/>
      <c r="N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41"/>
      <c r="D48" s="290"/>
      <c r="E48" s="290"/>
      <c r="F48" s="290"/>
      <c r="G48" s="290"/>
      <c r="H48" s="290"/>
      <c r="I48" s="290"/>
      <c r="J48" s="290"/>
      <c r="K48" s="290"/>
      <c r="L48" s="290"/>
      <c r="M48" s="117"/>
      <c r="N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41"/>
      <c r="D49" s="290"/>
      <c r="E49" s="290"/>
      <c r="F49" s="290"/>
      <c r="G49" s="290"/>
      <c r="H49" s="290"/>
      <c r="I49" s="290"/>
      <c r="J49" s="290"/>
      <c r="K49" s="290"/>
      <c r="L49" s="290"/>
      <c r="M49" s="117"/>
      <c r="N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41"/>
      <c r="D50" s="290"/>
      <c r="E50" s="290"/>
      <c r="F50" s="290"/>
      <c r="G50" s="290"/>
      <c r="H50" s="290"/>
      <c r="I50" s="290"/>
      <c r="J50" s="290"/>
      <c r="K50" s="290"/>
      <c r="L50" s="290"/>
      <c r="M50" s="117"/>
      <c r="N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41"/>
      <c r="D51" s="290"/>
      <c r="E51" s="290"/>
      <c r="F51" s="290"/>
      <c r="G51" s="290"/>
      <c r="H51" s="290"/>
      <c r="I51" s="290"/>
      <c r="J51" s="290"/>
      <c r="K51" s="290"/>
      <c r="L51" s="290"/>
      <c r="M51" s="117"/>
      <c r="N51" s="117"/>
      <c r="P51" s="356"/>
      <c r="Q51" s="356"/>
      <c r="R51" s="356"/>
      <c r="S51" s="357"/>
      <c r="T51" s="358">
        <f>Cen!F283</f>
        <v>865.24247000000003</v>
      </c>
      <c r="U51" s="781">
        <f t="shared" si="11"/>
        <v>0</v>
      </c>
      <c r="V51" s="2" t="s">
        <v>1400</v>
      </c>
    </row>
    <row r="52" spans="1:22" ht="14" x14ac:dyDescent="0.3">
      <c r="A52" s="175"/>
      <c r="C52" s="341"/>
      <c r="D52" s="290"/>
      <c r="E52" s="290"/>
      <c r="F52" s="290"/>
      <c r="G52" s="290"/>
      <c r="H52" s="290"/>
      <c r="I52" s="290"/>
      <c r="J52" s="290"/>
      <c r="K52" s="290"/>
      <c r="L52" s="290"/>
      <c r="M52" s="117"/>
      <c r="N52" s="117"/>
      <c r="P52" s="356"/>
      <c r="Q52" s="356"/>
      <c r="R52" s="356"/>
      <c r="S52" s="357"/>
      <c r="T52" s="358">
        <f>Cen!F284</f>
        <v>0</v>
      </c>
      <c r="U52" s="781">
        <f t="shared" si="11"/>
        <v>0</v>
      </c>
    </row>
    <row r="53" spans="1:22" ht="14" x14ac:dyDescent="0.3">
      <c r="A53" s="175"/>
      <c r="C53" s="341"/>
      <c r="D53" s="290"/>
      <c r="E53" s="290"/>
      <c r="F53" s="290"/>
      <c r="G53" s="290"/>
      <c r="H53" s="290"/>
      <c r="I53" s="290"/>
      <c r="J53" s="290"/>
      <c r="K53" s="290"/>
      <c r="L53" s="290"/>
      <c r="M53" s="117"/>
      <c r="N53" s="117"/>
      <c r="P53" s="356"/>
      <c r="Q53" s="356"/>
      <c r="R53" s="356"/>
      <c r="S53" s="357"/>
      <c r="T53" s="358">
        <f>Cen!F285</f>
        <v>1080.66551</v>
      </c>
      <c r="U53" s="781">
        <f t="shared" si="11"/>
        <v>0</v>
      </c>
    </row>
    <row r="54" spans="1:22" ht="14" x14ac:dyDescent="0.3">
      <c r="A54" s="175"/>
      <c r="C54" s="341"/>
      <c r="D54" s="290"/>
      <c r="E54" s="290"/>
      <c r="F54" s="290"/>
      <c r="G54" s="290"/>
      <c r="H54" s="290"/>
      <c r="I54" s="290"/>
      <c r="J54" s="290"/>
      <c r="K54" s="290"/>
      <c r="L54" s="290"/>
      <c r="M54" s="117"/>
      <c r="N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41"/>
      <c r="D55" s="290"/>
      <c r="E55" s="290"/>
      <c r="F55" s="290"/>
      <c r="G55" s="290"/>
      <c r="H55" s="290"/>
      <c r="I55" s="290"/>
      <c r="J55" s="290"/>
      <c r="K55" s="290"/>
      <c r="L55" s="290"/>
      <c r="M55" s="117"/>
      <c r="N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41"/>
      <c r="D56" s="290"/>
      <c r="E56" s="290"/>
      <c r="F56" s="290"/>
      <c r="G56" s="290"/>
      <c r="H56" s="290"/>
      <c r="I56" s="290"/>
      <c r="J56" s="290"/>
      <c r="K56" s="290"/>
      <c r="L56" s="290"/>
      <c r="M56" s="117"/>
      <c r="N56" s="117"/>
      <c r="P56" s="120"/>
      <c r="Q56" s="120"/>
      <c r="R56" s="120"/>
      <c r="S56" s="121"/>
      <c r="T56" s="116"/>
      <c r="U56" s="772"/>
    </row>
    <row r="57" spans="1:22" ht="14" x14ac:dyDescent="0.3">
      <c r="A57" s="175"/>
      <c r="C57" s="341"/>
      <c r="D57" s="290"/>
      <c r="E57" s="290"/>
      <c r="F57" s="290"/>
      <c r="G57" s="290"/>
      <c r="H57" s="290"/>
      <c r="I57" s="290"/>
      <c r="J57" s="290"/>
      <c r="K57" s="290"/>
      <c r="L57" s="290"/>
      <c r="M57" s="117"/>
      <c r="N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772">
        <f t="shared" si="11"/>
        <v>0</v>
      </c>
    </row>
    <row r="58" spans="1:22" ht="14" x14ac:dyDescent="0.3">
      <c r="A58" s="175"/>
      <c r="C58" s="341"/>
      <c r="D58" s="290"/>
      <c r="E58" s="290"/>
      <c r="F58" s="290"/>
      <c r="G58" s="290"/>
      <c r="H58" s="290"/>
      <c r="I58" s="290"/>
      <c r="J58" s="290"/>
      <c r="K58" s="290"/>
      <c r="L58" s="290"/>
      <c r="M58" s="117"/>
      <c r="N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772">
        <f t="shared" si="11"/>
        <v>0</v>
      </c>
    </row>
    <row r="59" spans="1:22" ht="14" x14ac:dyDescent="0.3">
      <c r="A59" s="175"/>
      <c r="C59" s="341"/>
      <c r="D59" s="290"/>
      <c r="E59" s="290"/>
      <c r="F59" s="290"/>
      <c r="G59" s="290"/>
      <c r="H59" s="290"/>
      <c r="I59" s="290"/>
      <c r="J59" s="290"/>
      <c r="K59" s="290"/>
      <c r="L59" s="290"/>
      <c r="M59" s="117"/>
      <c r="N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772">
        <f t="shared" si="11"/>
        <v>0</v>
      </c>
    </row>
    <row r="60" spans="1:22" ht="14" x14ac:dyDescent="0.3">
      <c r="A60" s="175"/>
      <c r="C60" s="341"/>
      <c r="D60" s="290"/>
      <c r="E60" s="290"/>
      <c r="F60" s="290"/>
      <c r="G60" s="290"/>
      <c r="H60" s="290"/>
      <c r="I60" s="290"/>
      <c r="J60" s="290"/>
      <c r="K60" s="290"/>
      <c r="L60" s="290"/>
      <c r="M60" s="117"/>
      <c r="N60" s="117"/>
      <c r="P60" s="142"/>
      <c r="Q60" s="142"/>
      <c r="R60" s="142"/>
      <c r="S60" s="148"/>
      <c r="T60" s="152"/>
      <c r="U60" s="782"/>
    </row>
    <row r="61" spans="1:22" ht="13" x14ac:dyDescent="0.3">
      <c r="A61" s="175"/>
      <c r="C61" s="289"/>
      <c r="D61" s="175"/>
      <c r="E61" s="175"/>
      <c r="F61" s="175"/>
      <c r="G61" s="175"/>
      <c r="H61" s="175"/>
      <c r="I61" s="283"/>
      <c r="J61" s="283"/>
      <c r="K61" s="283"/>
      <c r="L61" s="283"/>
      <c r="M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772">
        <f>S61*T61</f>
        <v>0</v>
      </c>
    </row>
    <row r="62" spans="1:22" ht="13" x14ac:dyDescent="0.3">
      <c r="C62" s="289"/>
      <c r="D62" s="175"/>
      <c r="E62" s="175"/>
      <c r="F62" s="175"/>
      <c r="G62" s="175"/>
      <c r="H62" s="175"/>
      <c r="I62" s="175"/>
      <c r="J62" s="175"/>
      <c r="K62" s="175"/>
      <c r="L62" s="175"/>
      <c r="M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772">
        <f>S62*T62</f>
        <v>0</v>
      </c>
    </row>
    <row r="63" spans="1:22" ht="13" x14ac:dyDescent="0.3">
      <c r="C63" s="282"/>
      <c r="I63" s="284"/>
      <c r="J63" s="284"/>
      <c r="K63" s="284"/>
      <c r="L63" s="284"/>
      <c r="M63" s="117"/>
      <c r="P63" s="120"/>
      <c r="Q63" s="120"/>
      <c r="R63" s="120"/>
      <c r="S63" s="121"/>
      <c r="T63" s="116"/>
      <c r="U63" s="772"/>
    </row>
    <row r="64" spans="1:22" ht="14" x14ac:dyDescent="0.3">
      <c r="A64" s="175"/>
      <c r="C64" s="341"/>
      <c r="D64" s="290"/>
      <c r="E64" s="290"/>
      <c r="F64" s="290"/>
      <c r="G64" s="290"/>
      <c r="H64" s="290"/>
      <c r="I64" s="290"/>
      <c r="J64" s="290"/>
      <c r="K64" s="290"/>
      <c r="L64" s="290"/>
      <c r="M64" s="117"/>
      <c r="N64" s="117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SUM(S3:S10)</f>
        <v>0</v>
      </c>
      <c r="T64" s="116">
        <f>Cen!$F329</f>
        <v>47.092230000000001</v>
      </c>
      <c r="U64" s="772">
        <f>S64*T64</f>
        <v>0</v>
      </c>
    </row>
    <row r="65" spans="1:21" ht="14" x14ac:dyDescent="0.3">
      <c r="A65" s="175"/>
      <c r="C65" s="341"/>
      <c r="D65" s="290"/>
      <c r="E65" s="290"/>
      <c r="F65" s="290"/>
      <c r="G65" s="290"/>
      <c r="H65" s="290"/>
      <c r="I65" s="290"/>
      <c r="J65" s="290"/>
      <c r="K65" s="290"/>
      <c r="L65" s="290"/>
      <c r="M65" s="117"/>
      <c r="N65" s="117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SUM(S3:S10)</f>
        <v>0</v>
      </c>
      <c r="T65" s="116">
        <f>Cen!F369</f>
        <v>585.05386999999996</v>
      </c>
      <c r="U65" s="772">
        <f>S65*T65</f>
        <v>0</v>
      </c>
    </row>
    <row r="66" spans="1:21" ht="14" x14ac:dyDescent="0.3">
      <c r="A66" s="175"/>
      <c r="C66" s="341"/>
      <c r="D66" s="290"/>
      <c r="E66" s="290"/>
      <c r="F66" s="290"/>
      <c r="G66" s="290"/>
      <c r="H66" s="290"/>
      <c r="I66" s="290"/>
      <c r="J66" s="290"/>
      <c r="K66" s="290"/>
      <c r="L66" s="290"/>
      <c r="M66" s="117"/>
      <c r="P66" s="120"/>
      <c r="Q66" s="120"/>
      <c r="R66" s="120"/>
      <c r="S66" s="121"/>
      <c r="T66" s="116"/>
      <c r="U66" s="772"/>
    </row>
    <row r="67" spans="1:21" ht="14" x14ac:dyDescent="0.3">
      <c r="C67" s="341"/>
      <c r="D67" s="290"/>
      <c r="E67" s="290"/>
      <c r="F67" s="290"/>
      <c r="G67" s="290"/>
      <c r="H67" s="290"/>
      <c r="I67" s="290"/>
      <c r="J67" s="290"/>
      <c r="K67" s="290"/>
      <c r="L67" s="290"/>
      <c r="M67" s="117"/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329">
        <f>ROUNDUP(SUM($D$26/3*5, $E$26/3*5, $F$26/3*5, $D$34/3*5, $E$34/3*5, $F$34/3*5),0)+ROUNDUP(SUM($J$26/2*5, $K$26/2*5, $L$26/2*5, $J$34/2*5, $K$34/2*5, $L$34/2*5),0)</f>
        <v>0</v>
      </c>
      <c r="T67" s="116">
        <f>Cen!F384</f>
        <v>446.52434</v>
      </c>
      <c r="U67" s="772">
        <f>S67*T67</f>
        <v>0</v>
      </c>
    </row>
    <row r="68" spans="1:21" ht="13" x14ac:dyDescent="0.3">
      <c r="C68" s="289"/>
      <c r="D68" s="175"/>
      <c r="E68" s="175"/>
      <c r="F68" s="175"/>
      <c r="G68" s="175"/>
      <c r="H68" s="175"/>
      <c r="I68" s="283"/>
      <c r="J68" s="283"/>
      <c r="K68" s="283"/>
      <c r="L68" s="283"/>
      <c r="M68" s="117"/>
      <c r="P68" s="120"/>
      <c r="Q68" s="120"/>
      <c r="R68" s="120"/>
      <c r="S68" s="121"/>
      <c r="T68" s="116"/>
      <c r="U68" s="772"/>
    </row>
    <row r="69" spans="1:21" ht="13" x14ac:dyDescent="0.3">
      <c r="C69" s="289"/>
      <c r="D69" s="175"/>
      <c r="E69" s="175"/>
      <c r="F69" s="175"/>
      <c r="G69" s="175"/>
      <c r="H69" s="175"/>
      <c r="I69" s="175"/>
      <c r="J69" s="175"/>
      <c r="K69" s="175"/>
      <c r="L69" s="175"/>
      <c r="P69" s="124" t="str">
        <f>Cen!A403</f>
        <v>Přední zásuvný prvek vysoký, sklo, KB 450mm</v>
      </c>
      <c r="Q69" s="124" t="str">
        <f>Cen!B403</f>
        <v>ZE7W332G</v>
      </c>
      <c r="R69" s="124" t="str">
        <f>Cen!C403</f>
        <v>KLA</v>
      </c>
      <c r="S69" s="327">
        <f>SUM($D$26:$F$26, $D$34:$F$34)*3</f>
        <v>0</v>
      </c>
      <c r="T69" s="328">
        <f>Cen!F403</f>
        <v>389.35672</v>
      </c>
      <c r="U69" s="783">
        <f>S69*T69</f>
        <v>0</v>
      </c>
    </row>
    <row r="70" spans="1:21" ht="13" x14ac:dyDescent="0.3">
      <c r="C70" s="282"/>
      <c r="I70" s="284"/>
      <c r="J70" s="284"/>
      <c r="K70" s="284"/>
      <c r="L70" s="284"/>
      <c r="P70" s="125" t="str">
        <f>Cen!A404</f>
        <v>Přední zásuvný prvek vysoký, sklo, KB 600mm</v>
      </c>
      <c r="Q70" s="125" t="str">
        <f>Cen!B404</f>
        <v>ZE7W482G</v>
      </c>
      <c r="R70" s="125" t="str">
        <f>Cen!C404</f>
        <v>KLA</v>
      </c>
      <c r="S70" s="257">
        <f>SUM($J$26:$L$26, $J$34:$L$34)*3</f>
        <v>0</v>
      </c>
      <c r="T70" s="258">
        <f>Cen!F404</f>
        <v>442.47012999999998</v>
      </c>
      <c r="U70" s="776">
        <f>S70*T70</f>
        <v>0</v>
      </c>
    </row>
    <row r="71" spans="1:21" ht="13" x14ac:dyDescent="0.3">
      <c r="B71" s="117"/>
      <c r="C71" s="282"/>
      <c r="I71" s="285"/>
      <c r="J71" s="285"/>
      <c r="K71" s="285"/>
      <c r="L71" s="285"/>
      <c r="P71" s="352" t="str">
        <f>Cen!A405</f>
        <v>Přední zásuvný prvek vysoký, sklo, KB 900mm</v>
      </c>
      <c r="Q71" s="352" t="str">
        <f>Cen!B405</f>
        <v>ZE7W782G</v>
      </c>
      <c r="R71" s="352" t="str">
        <f>Cen!C405</f>
        <v>KLA</v>
      </c>
      <c r="S71" s="353"/>
      <c r="T71" s="355">
        <f>Cen!F405</f>
        <v>737.45001999999988</v>
      </c>
      <c r="U71" s="777">
        <f>S71*T71</f>
        <v>0</v>
      </c>
    </row>
    <row r="72" spans="1:21" ht="14.5" x14ac:dyDescent="0.35">
      <c r="B72" s="24"/>
      <c r="C72" s="282"/>
      <c r="I72" s="283"/>
      <c r="J72" s="283"/>
      <c r="K72" s="283"/>
      <c r="L72" s="283"/>
      <c r="P72" s="422" t="str">
        <f>Cen!A406</f>
        <v>Přední zásuvný prvek vysoký, sklo, KB 1200mm</v>
      </c>
      <c r="Q72" s="422" t="str">
        <f>Cen!B406</f>
        <v>ZE7W1082G</v>
      </c>
      <c r="R72" s="422" t="str">
        <f>Cen!C406</f>
        <v>KLA</v>
      </c>
      <c r="S72" s="410"/>
      <c r="T72" s="423">
        <f>Cen!F406</f>
        <v>949.83555999999999</v>
      </c>
      <c r="U72" s="784">
        <f>S72*T72</f>
        <v>0</v>
      </c>
    </row>
    <row r="73" spans="1:21" ht="14" x14ac:dyDescent="0.3">
      <c r="C73" s="286"/>
      <c r="D73" s="340"/>
      <c r="E73" s="341"/>
      <c r="F73" s="342"/>
      <c r="G73" s="342"/>
      <c r="H73" s="341"/>
      <c r="I73" s="341"/>
      <c r="J73" s="286"/>
      <c r="K73" s="286"/>
      <c r="L73" s="286"/>
      <c r="P73" s="120"/>
      <c r="Q73" s="120"/>
      <c r="R73" s="120"/>
      <c r="S73" s="121"/>
      <c r="T73" s="116"/>
      <c r="U73" s="772"/>
    </row>
    <row r="74" spans="1:21" ht="14" x14ac:dyDescent="0.3">
      <c r="C74" s="286"/>
      <c r="D74" s="344"/>
      <c r="E74" s="290"/>
      <c r="F74" s="290"/>
      <c r="G74" s="290"/>
      <c r="H74" s="290"/>
      <c r="I74" s="290"/>
      <c r="J74" s="284"/>
      <c r="K74" s="284"/>
      <c r="L74" s="284"/>
      <c r="P74" s="124" t="str">
        <f>Cen!A411</f>
        <v>Přední zásuvný prvek nízký, sklo, KB 450mm</v>
      </c>
      <c r="Q74" s="124" t="str">
        <f>Cen!B411</f>
        <v>ZE7V332G</v>
      </c>
      <c r="R74" s="124" t="str">
        <f>Cen!C411</f>
        <v>KLA</v>
      </c>
      <c r="S74" s="327">
        <f>SUM($D$26:$F$26, $D$34:$F$34)*2</f>
        <v>0</v>
      </c>
      <c r="T74" s="328">
        <f>Cen!F411</f>
        <v>241.88919000000001</v>
      </c>
      <c r="U74" s="783">
        <f>S74*T74</f>
        <v>0</v>
      </c>
    </row>
    <row r="75" spans="1:21" ht="14" x14ac:dyDescent="0.3">
      <c r="C75" s="286"/>
      <c r="D75" s="344"/>
      <c r="E75" s="290"/>
      <c r="F75" s="290"/>
      <c r="G75" s="290"/>
      <c r="H75" s="290"/>
      <c r="I75" s="290"/>
      <c r="J75" s="284"/>
      <c r="K75" s="284"/>
      <c r="L75" s="284"/>
      <c r="P75" s="125" t="str">
        <f>Cen!A412</f>
        <v>Přední zásuvný prvek nízký, sklo, KB 600mm</v>
      </c>
      <c r="Q75" s="125" t="str">
        <f>Cen!B412</f>
        <v>ZE7V482G</v>
      </c>
      <c r="R75" s="125" t="str">
        <f>Cen!C412</f>
        <v>KLA</v>
      </c>
      <c r="S75" s="257">
        <f>SUM($J$26:$L$26, $J$34:$L$34)*2</f>
        <v>0</v>
      </c>
      <c r="T75" s="258">
        <f>Cen!F412</f>
        <v>277.28676999999999</v>
      </c>
      <c r="U75" s="776">
        <f>S75*T75</f>
        <v>0</v>
      </c>
    </row>
    <row r="76" spans="1:21" ht="14" x14ac:dyDescent="0.3">
      <c r="B76" s="375"/>
      <c r="C76" s="311"/>
      <c r="D76" s="290"/>
      <c r="E76" s="290"/>
      <c r="F76" s="290"/>
      <c r="G76" s="290"/>
      <c r="H76" s="290"/>
      <c r="J76" s="285"/>
      <c r="K76" s="285"/>
      <c r="L76" s="285"/>
      <c r="P76" s="352" t="str">
        <f>Cen!A413</f>
        <v>Přední zásuvný prvek nízký, sklo, KB 900mm</v>
      </c>
      <c r="Q76" s="352" t="str">
        <f>Cen!B413</f>
        <v>ZE7V782G</v>
      </c>
      <c r="R76" s="352" t="str">
        <f>Cen!C413</f>
        <v>KLA</v>
      </c>
      <c r="S76" s="353"/>
      <c r="T76" s="355">
        <f>Cen!F413</f>
        <v>489.67230000000001</v>
      </c>
      <c r="U76" s="777">
        <f>S76*T76</f>
        <v>0</v>
      </c>
    </row>
    <row r="77" spans="1:21" ht="13" x14ac:dyDescent="0.3">
      <c r="B77" s="175"/>
      <c r="C77" s="282"/>
      <c r="I77" s="283"/>
      <c r="J77" s="283"/>
      <c r="K77" s="283"/>
      <c r="L77" s="283"/>
      <c r="P77" s="422" t="str">
        <f>Cen!A414</f>
        <v>Přední zásuvný prvek nízký, sklo, KB 1200mm</v>
      </c>
      <c r="Q77" s="422" t="str">
        <f>Cen!B414</f>
        <v>ZE7V1082G</v>
      </c>
      <c r="R77" s="422" t="str">
        <f>Cen!C414</f>
        <v>KLA</v>
      </c>
      <c r="S77" s="410"/>
      <c r="T77" s="423">
        <f>Cen!F414</f>
        <v>631.26264000000003</v>
      </c>
      <c r="U77" s="784">
        <f>S77*T77</f>
        <v>0</v>
      </c>
    </row>
    <row r="78" spans="1:21" ht="14" x14ac:dyDescent="0.3">
      <c r="A78" s="175"/>
      <c r="B78" s="175"/>
      <c r="C78" s="341"/>
      <c r="D78" s="290"/>
      <c r="E78" s="290"/>
      <c r="F78" s="290"/>
      <c r="G78" s="290"/>
      <c r="H78" s="290"/>
      <c r="I78" s="290"/>
      <c r="J78" s="290"/>
      <c r="K78" s="290"/>
      <c r="L78" s="290"/>
      <c r="M78" s="117"/>
      <c r="N78" s="117"/>
      <c r="P78" s="120"/>
      <c r="Q78" s="120"/>
      <c r="R78" s="120"/>
      <c r="S78" s="121"/>
      <c r="T78" s="116"/>
      <c r="U78" s="772"/>
    </row>
    <row r="79" spans="1:21" ht="14" x14ac:dyDescent="0.3">
      <c r="A79" s="175"/>
      <c r="B79" s="175"/>
      <c r="C79" s="341"/>
      <c r="D79" s="290"/>
      <c r="E79" s="290"/>
      <c r="F79" s="290"/>
      <c r="G79" s="290"/>
      <c r="H79" s="290"/>
      <c r="I79" s="290"/>
      <c r="J79" s="290"/>
      <c r="K79" s="290"/>
      <c r="L79" s="290"/>
      <c r="M79" s="117"/>
      <c r="N79" s="117"/>
      <c r="P79" s="120"/>
      <c r="Q79" s="120"/>
      <c r="R79" s="120"/>
      <c r="S79" s="121"/>
      <c r="T79" s="116"/>
      <c r="U79" s="772"/>
    </row>
    <row r="80" spans="1:21" ht="14" x14ac:dyDescent="0.3">
      <c r="A80" s="175"/>
      <c r="B80" s="175"/>
      <c r="C80" s="341"/>
      <c r="D80" s="290"/>
      <c r="E80" s="290"/>
      <c r="F80" s="290"/>
      <c r="G80" s="290"/>
      <c r="H80" s="290"/>
      <c r="I80" s="290"/>
      <c r="J80" s="290"/>
      <c r="K80" s="290"/>
      <c r="L80" s="290"/>
      <c r="M80" s="117"/>
      <c r="N80" s="117"/>
      <c r="P80" s="120"/>
      <c r="Q80" s="120"/>
      <c r="R80" s="120"/>
      <c r="S80" s="121"/>
      <c r="T80" s="116"/>
      <c r="U80" s="772"/>
    </row>
    <row r="81" spans="1:22" ht="14" x14ac:dyDescent="0.3">
      <c r="A81" s="175"/>
      <c r="B81" s="175"/>
      <c r="C81" s="341"/>
      <c r="D81" s="290"/>
      <c r="E81" s="290"/>
      <c r="F81" s="290"/>
      <c r="G81" s="290"/>
      <c r="H81" s="290"/>
      <c r="I81" s="290"/>
      <c r="J81" s="290"/>
      <c r="K81" s="290"/>
      <c r="L81" s="290"/>
      <c r="M81" s="117"/>
      <c r="N81" s="117"/>
      <c r="P81" s="120"/>
      <c r="Q81" s="120"/>
      <c r="R81" s="120"/>
      <c r="S81" s="121"/>
      <c r="T81" s="116"/>
      <c r="U81" s="772"/>
    </row>
    <row r="82" spans="1:22" ht="14" x14ac:dyDescent="0.3">
      <c r="A82" s="175"/>
      <c r="B82" s="175"/>
      <c r="C82" s="341"/>
      <c r="D82" s="290"/>
      <c r="E82" s="290"/>
      <c r="F82" s="290"/>
      <c r="G82" s="290"/>
      <c r="H82" s="290"/>
      <c r="I82" s="290"/>
      <c r="J82" s="290"/>
      <c r="K82" s="290"/>
      <c r="L82" s="290"/>
      <c r="M82" s="117"/>
      <c r="N82" s="117"/>
      <c r="P82" s="120"/>
      <c r="Q82" s="120"/>
      <c r="R82" s="120"/>
      <c r="S82" s="121"/>
      <c r="T82" s="116"/>
      <c r="U82" s="772"/>
    </row>
    <row r="83" spans="1:22" ht="14" x14ac:dyDescent="0.3">
      <c r="A83" s="175"/>
      <c r="B83" s="175"/>
      <c r="C83" s="341"/>
      <c r="D83" s="290"/>
      <c r="E83" s="290"/>
      <c r="F83" s="290"/>
      <c r="G83" s="290"/>
      <c r="H83" s="290"/>
      <c r="I83" s="290"/>
      <c r="J83" s="290"/>
      <c r="K83" s="290"/>
      <c r="L83" s="290"/>
      <c r="M83" s="117"/>
      <c r="N83" s="117"/>
      <c r="P83" s="120"/>
      <c r="Q83" s="120"/>
      <c r="R83" s="120"/>
      <c r="S83" s="121"/>
      <c r="T83" s="116"/>
      <c r="U83" s="772"/>
    </row>
    <row r="84" spans="1:22" ht="14" x14ac:dyDescent="0.3">
      <c r="A84" s="175"/>
      <c r="B84" s="175"/>
      <c r="C84" s="341"/>
      <c r="D84" s="290"/>
      <c r="E84" s="290"/>
      <c r="F84" s="290"/>
      <c r="G84" s="290"/>
      <c r="H84" s="290"/>
      <c r="I84" s="290"/>
      <c r="J84" s="290"/>
      <c r="K84" s="290"/>
      <c r="L84" s="290"/>
      <c r="M84" s="117"/>
      <c r="N84" s="117"/>
      <c r="P84" s="120"/>
      <c r="Q84" s="120"/>
      <c r="R84" s="120"/>
      <c r="S84" s="121"/>
      <c r="T84" s="116"/>
      <c r="U84" s="772"/>
    </row>
    <row r="85" spans="1:22" ht="14" x14ac:dyDescent="0.3">
      <c r="A85" s="175"/>
      <c r="B85" s="175"/>
      <c r="C85" s="341"/>
      <c r="D85" s="290"/>
      <c r="E85" s="290"/>
      <c r="F85" s="290"/>
      <c r="G85" s="290"/>
      <c r="H85" s="290"/>
      <c r="I85" s="290"/>
      <c r="J85" s="290"/>
      <c r="K85" s="290"/>
      <c r="L85" s="290"/>
      <c r="M85" s="117"/>
      <c r="N85" s="117"/>
      <c r="P85" s="120"/>
      <c r="Q85" s="120"/>
      <c r="R85" s="120"/>
      <c r="S85" s="121"/>
      <c r="T85" s="116"/>
      <c r="U85" s="772"/>
    </row>
    <row r="86" spans="1:22" ht="14" x14ac:dyDescent="0.3">
      <c r="A86" s="175"/>
      <c r="B86" s="175"/>
      <c r="C86" s="341"/>
      <c r="D86" s="290"/>
      <c r="E86" s="290"/>
      <c r="F86" s="290"/>
      <c r="G86" s="290"/>
      <c r="H86" s="290"/>
      <c r="I86" s="290"/>
      <c r="J86" s="290"/>
      <c r="K86" s="290"/>
      <c r="L86" s="290"/>
      <c r="M86" s="117"/>
      <c r="N86" s="117"/>
      <c r="P86" s="120"/>
      <c r="Q86" s="120"/>
      <c r="R86" s="120"/>
      <c r="S86" s="121"/>
      <c r="T86" s="116"/>
      <c r="U86" s="772"/>
    </row>
    <row r="87" spans="1:22" ht="14" x14ac:dyDescent="0.3">
      <c r="A87" s="175"/>
      <c r="B87" s="175"/>
      <c r="C87" s="341"/>
      <c r="D87" s="290"/>
      <c r="E87" s="290"/>
      <c r="F87" s="290"/>
      <c r="G87" s="290"/>
      <c r="H87" s="290"/>
      <c r="I87" s="290"/>
      <c r="J87" s="290"/>
      <c r="K87" s="290"/>
      <c r="L87" s="290"/>
      <c r="M87" s="117"/>
      <c r="N87" s="117"/>
      <c r="P87" s="120"/>
      <c r="Q87" s="120"/>
      <c r="R87" s="120"/>
      <c r="S87" s="121"/>
      <c r="T87" s="116"/>
      <c r="U87" s="772"/>
    </row>
    <row r="88" spans="1:22" ht="14" x14ac:dyDescent="0.3">
      <c r="A88" s="175"/>
      <c r="B88" s="175"/>
      <c r="C88" s="341"/>
      <c r="D88" s="290"/>
      <c r="E88" s="290"/>
      <c r="F88" s="290"/>
      <c r="G88" s="290"/>
      <c r="H88" s="290"/>
      <c r="I88" s="290"/>
      <c r="J88" s="290"/>
      <c r="K88" s="290"/>
      <c r="L88" s="290"/>
      <c r="M88" s="117"/>
      <c r="N88" s="117"/>
      <c r="P88" s="120"/>
      <c r="Q88" s="120"/>
      <c r="R88" s="120"/>
      <c r="S88" s="121"/>
      <c r="T88" s="116"/>
      <c r="U88" s="772"/>
    </row>
    <row r="89" spans="1:22" ht="14" x14ac:dyDescent="0.3">
      <c r="A89" s="175"/>
      <c r="B89" s="175"/>
      <c r="C89" s="341"/>
      <c r="D89" s="290"/>
      <c r="E89" s="290"/>
      <c r="F89" s="290"/>
      <c r="G89" s="290"/>
      <c r="H89" s="290"/>
      <c r="I89" s="290"/>
      <c r="J89" s="290"/>
      <c r="K89" s="290"/>
      <c r="L89" s="290"/>
      <c r="M89" s="117"/>
      <c r="N89" s="117"/>
      <c r="P89" s="120"/>
      <c r="Q89" s="120"/>
      <c r="R89" s="120"/>
      <c r="S89" s="121"/>
      <c r="T89" s="116"/>
      <c r="U89" s="772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6" si="12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ref="U91" si="13">S91*T91</f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ref="U92" si="14">S92*T92</f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ref="U93" si="15">S93*T93</f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2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772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si="12"/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2:21" ht="14" x14ac:dyDescent="0.3">
      <c r="B99" s="289"/>
      <c r="C99" s="286"/>
      <c r="D99" s="344"/>
      <c r="E99" s="290"/>
      <c r="F99" s="290"/>
      <c r="G99" s="290"/>
      <c r="H99" s="290"/>
      <c r="I99" s="290"/>
      <c r="J99" s="284"/>
      <c r="K99" s="284"/>
      <c r="L99" s="284"/>
      <c r="P99" s="117"/>
      <c r="Q99" s="117"/>
    </row>
    <row r="100" spans="2:21" ht="14" x14ac:dyDescent="0.3">
      <c r="B100" s="343"/>
      <c r="C100" s="311"/>
      <c r="D100" s="290"/>
      <c r="E100" s="290"/>
      <c r="F100" s="290"/>
      <c r="G100" s="290"/>
      <c r="H100" s="290"/>
      <c r="J100" s="285"/>
      <c r="K100" s="285"/>
      <c r="L100" s="285"/>
      <c r="P100" s="117"/>
      <c r="Q100" s="117"/>
    </row>
    <row r="101" spans="2:21" ht="14" x14ac:dyDescent="0.3">
      <c r="B101" s="310"/>
      <c r="C101" s="282"/>
      <c r="I101" s="283"/>
      <c r="J101" s="283"/>
      <c r="K101" s="283"/>
      <c r="L101" s="283"/>
      <c r="P101" s="117"/>
      <c r="Q101" s="117"/>
    </row>
    <row r="102" spans="2:21" ht="13" x14ac:dyDescent="0.3">
      <c r="C102" s="282"/>
      <c r="I102" s="286"/>
      <c r="J102" s="286"/>
      <c r="K102" s="286"/>
      <c r="L102" s="286"/>
      <c r="P102" s="117"/>
      <c r="Q102" s="117"/>
    </row>
    <row r="103" spans="2:21" ht="13" x14ac:dyDescent="0.3">
      <c r="C103" s="282"/>
      <c r="I103" s="286"/>
      <c r="J103" s="286"/>
      <c r="K103" s="286"/>
      <c r="L103" s="286"/>
      <c r="P103" s="2" t="str">
        <f>List!B304&amp;"!"</f>
        <v>0!</v>
      </c>
    </row>
    <row r="104" spans="2:21" ht="13" x14ac:dyDescent="0.3">
      <c r="B104" s="117"/>
      <c r="C104" s="282"/>
      <c r="I104" s="284"/>
      <c r="J104" s="284"/>
      <c r="K104" s="284"/>
      <c r="L104" s="284"/>
      <c r="P104" s="2" t="str">
        <f>List!B308&amp;"!"</f>
        <v>0!</v>
      </c>
    </row>
    <row r="105" spans="2:21" x14ac:dyDescent="0.25">
      <c r="B105" s="117"/>
      <c r="I105" s="285"/>
      <c r="J105" s="285"/>
      <c r="K105" s="285"/>
      <c r="L105" s="285"/>
      <c r="P105" s="2" t="s">
        <v>990</v>
      </c>
    </row>
    <row r="106" spans="2:21" ht="13" x14ac:dyDescent="0.3">
      <c r="B106" s="117"/>
      <c r="I106" s="283"/>
      <c r="J106" s="283"/>
      <c r="K106" s="283"/>
      <c r="L106" s="283"/>
    </row>
    <row r="114" spans="1:22" x14ac:dyDescent="0.25">
      <c r="A114" s="286"/>
      <c r="C114" s="286"/>
      <c r="D114" s="286"/>
      <c r="E114" s="286"/>
      <c r="F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785"/>
      <c r="V114" s="286"/>
    </row>
    <row r="115" spans="1:22" x14ac:dyDescent="0.25">
      <c r="A115" s="286"/>
      <c r="B115" s="286"/>
      <c r="C115" s="286"/>
      <c r="D115" s="286"/>
      <c r="E115" s="286"/>
      <c r="F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785"/>
      <c r="V115" s="286"/>
    </row>
    <row r="116" spans="1:22" x14ac:dyDescent="0.25">
      <c r="A116" s="286"/>
      <c r="B116" s="286"/>
      <c r="C116" s="286"/>
      <c r="D116" s="286"/>
      <c r="E116" s="286"/>
      <c r="F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785"/>
      <c r="V116" s="286"/>
    </row>
    <row r="117" spans="1:22" x14ac:dyDescent="0.25">
      <c r="A117" s="286"/>
      <c r="B117" s="286"/>
      <c r="C117" s="286"/>
      <c r="D117" s="286"/>
      <c r="E117" s="286"/>
      <c r="F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785"/>
      <c r="V117" s="286"/>
    </row>
    <row r="118" spans="1:22" x14ac:dyDescent="0.25">
      <c r="A118" s="286"/>
      <c r="B118" s="286"/>
      <c r="C118" s="286"/>
      <c r="D118" s="286"/>
      <c r="E118" s="286"/>
      <c r="F118" s="286"/>
      <c r="H118" s="286"/>
      <c r="I118" s="286"/>
      <c r="J118" s="286"/>
      <c r="K118" s="286"/>
      <c r="L118" s="286"/>
      <c r="M118" s="286"/>
      <c r="N118" s="286"/>
      <c r="O118" s="286"/>
      <c r="P118" s="286"/>
      <c r="Q118" s="286"/>
      <c r="R118" s="286"/>
      <c r="S118" s="286"/>
      <c r="T118" s="286"/>
      <c r="U118" s="785"/>
      <c r="V118" s="286"/>
    </row>
    <row r="119" spans="1:22" x14ac:dyDescent="0.25">
      <c r="A119" s="286"/>
      <c r="B119" s="286"/>
      <c r="C119" s="286"/>
      <c r="D119" s="286"/>
      <c r="E119" s="286"/>
      <c r="F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785"/>
      <c r="V119" s="286"/>
    </row>
    <row r="120" spans="1:22" x14ac:dyDescent="0.25">
      <c r="A120" s="286"/>
      <c r="B120" s="286"/>
      <c r="C120" s="286"/>
      <c r="D120" s="286"/>
      <c r="E120" s="286"/>
      <c r="F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785"/>
      <c r="V120" s="286"/>
    </row>
    <row r="121" spans="1:22" x14ac:dyDescent="0.25">
      <c r="A121" s="286"/>
      <c r="B121" s="286"/>
      <c r="C121" s="286"/>
      <c r="D121" s="286"/>
      <c r="E121" s="286"/>
      <c r="F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785"/>
      <c r="V121" s="286"/>
    </row>
    <row r="122" spans="1:22" x14ac:dyDescent="0.25">
      <c r="A122" s="885"/>
      <c r="B122" s="286"/>
      <c r="C122" s="286"/>
      <c r="D122" s="286"/>
      <c r="E122" s="286"/>
      <c r="F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785"/>
      <c r="V122" s="286"/>
    </row>
    <row r="123" spans="1:22" x14ac:dyDescent="0.25">
      <c r="A123" s="885"/>
      <c r="B123" s="286"/>
      <c r="C123" s="286"/>
      <c r="D123" s="286"/>
      <c r="E123" s="286"/>
      <c r="F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785"/>
      <c r="V123" s="286"/>
    </row>
    <row r="124" spans="1:22" x14ac:dyDescent="0.25">
      <c r="A124" s="885"/>
      <c r="B124" s="286"/>
      <c r="C124" s="286"/>
      <c r="D124" s="286"/>
      <c r="E124" s="286"/>
      <c r="F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785"/>
      <c r="V124" s="286"/>
    </row>
    <row r="125" spans="1:22" x14ac:dyDescent="0.25">
      <c r="A125" s="885"/>
      <c r="B125" s="286"/>
      <c r="C125" s="286"/>
      <c r="D125" s="286"/>
      <c r="E125" s="286"/>
      <c r="F125" s="286"/>
      <c r="H125" s="286"/>
      <c r="I125" s="286"/>
      <c r="J125" s="286"/>
      <c r="K125" s="286"/>
      <c r="L125" s="286"/>
      <c r="M125" s="286"/>
      <c r="N125" s="286"/>
      <c r="O125" s="286"/>
      <c r="P125" s="286"/>
      <c r="Q125" s="286"/>
      <c r="R125" s="286"/>
      <c r="S125" s="286"/>
      <c r="T125" s="286"/>
      <c r="U125" s="785"/>
      <c r="V125" s="286"/>
    </row>
    <row r="126" spans="1:22" x14ac:dyDescent="0.25">
      <c r="A126" s="885"/>
      <c r="B126" s="286"/>
      <c r="C126" s="286"/>
      <c r="D126" s="286"/>
      <c r="E126" s="286"/>
      <c r="F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785"/>
      <c r="V126" s="286"/>
    </row>
    <row r="127" spans="1:22" x14ac:dyDescent="0.25">
      <c r="A127" s="885"/>
      <c r="B127" s="286"/>
      <c r="C127" s="286"/>
      <c r="D127" s="286"/>
      <c r="E127" s="286"/>
      <c r="F127" s="286"/>
      <c r="H127" s="286"/>
      <c r="I127" s="286"/>
      <c r="J127" s="286"/>
      <c r="K127" s="286"/>
      <c r="L127" s="286"/>
      <c r="M127" s="286"/>
      <c r="N127" s="286"/>
      <c r="O127" s="286"/>
      <c r="P127" s="286"/>
      <c r="Q127" s="286"/>
      <c r="R127" s="286"/>
      <c r="S127" s="286"/>
      <c r="T127" s="286"/>
      <c r="U127" s="785"/>
      <c r="V127" s="286"/>
    </row>
    <row r="128" spans="1:22" x14ac:dyDescent="0.25">
      <c r="A128" s="885"/>
      <c r="B128" s="286"/>
      <c r="C128" s="286"/>
      <c r="D128" s="286"/>
      <c r="E128" s="286"/>
      <c r="F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785"/>
      <c r="V128" s="286"/>
    </row>
    <row r="129" spans="1:22" x14ac:dyDescent="0.25">
      <c r="A129" s="885"/>
      <c r="B129" s="286"/>
      <c r="C129" s="286"/>
      <c r="D129" s="286"/>
      <c r="E129" s="286"/>
      <c r="F129" s="286"/>
      <c r="H129" s="286"/>
      <c r="I129" s="286"/>
      <c r="J129" s="286"/>
      <c r="K129" s="286"/>
      <c r="L129" s="286"/>
      <c r="M129" s="286"/>
      <c r="N129" s="286"/>
      <c r="O129" s="286"/>
      <c r="P129" s="286"/>
      <c r="Q129" s="286"/>
      <c r="R129" s="286"/>
      <c r="S129" s="286"/>
      <c r="T129" s="286"/>
      <c r="U129" s="785"/>
      <c r="V129" s="286"/>
    </row>
    <row r="130" spans="1:22" x14ac:dyDescent="0.25">
      <c r="A130" s="885"/>
      <c r="B130" s="286"/>
      <c r="C130" s="286"/>
      <c r="D130" s="286"/>
      <c r="E130" s="286"/>
      <c r="F130" s="286"/>
      <c r="H130" s="286"/>
      <c r="I130" s="286"/>
      <c r="J130" s="286"/>
      <c r="K130" s="286"/>
      <c r="L130" s="286"/>
      <c r="M130" s="286"/>
      <c r="N130" s="286"/>
      <c r="O130" s="286"/>
      <c r="P130" s="286"/>
      <c r="Q130" s="286"/>
      <c r="R130" s="286"/>
      <c r="S130" s="286"/>
      <c r="T130" s="286"/>
      <c r="U130" s="785"/>
      <c r="V130" s="286"/>
    </row>
    <row r="131" spans="1:22" x14ac:dyDescent="0.25">
      <c r="A131" s="885"/>
      <c r="B131" s="286"/>
      <c r="C131" s="286"/>
      <c r="D131" s="286"/>
      <c r="E131" s="286"/>
      <c r="F131" s="286"/>
      <c r="H131" s="286"/>
      <c r="I131" s="286"/>
      <c r="J131" s="286"/>
      <c r="K131" s="286"/>
      <c r="L131" s="286"/>
      <c r="M131" s="286"/>
      <c r="N131" s="286"/>
      <c r="O131" s="286"/>
      <c r="P131" s="286"/>
      <c r="Q131" s="286"/>
      <c r="R131" s="286"/>
      <c r="S131" s="286"/>
      <c r="T131" s="286"/>
      <c r="U131" s="785"/>
      <c r="V131" s="286"/>
    </row>
    <row r="132" spans="1:22" x14ac:dyDescent="0.25">
      <c r="A132" s="885"/>
      <c r="B132" s="286"/>
      <c r="C132" s="286"/>
      <c r="D132" s="286"/>
      <c r="E132" s="286"/>
      <c r="F132" s="286"/>
      <c r="H132" s="286"/>
      <c r="I132" s="286"/>
      <c r="J132" s="286"/>
      <c r="K132" s="286"/>
      <c r="L132" s="286"/>
      <c r="M132" s="286"/>
      <c r="N132" s="286"/>
      <c r="O132" s="286"/>
      <c r="P132" s="286"/>
      <c r="Q132" s="286"/>
      <c r="R132" s="286"/>
      <c r="S132" s="286"/>
      <c r="T132" s="286"/>
      <c r="U132" s="785"/>
      <c r="V132" s="286"/>
    </row>
    <row r="133" spans="1:22" x14ac:dyDescent="0.25">
      <c r="A133" s="885"/>
      <c r="B133" s="286"/>
      <c r="C133" s="286"/>
      <c r="D133" s="286"/>
      <c r="E133" s="286"/>
      <c r="F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6"/>
      <c r="S133" s="286"/>
      <c r="T133" s="286"/>
      <c r="U133" s="785"/>
      <c r="V133" s="286"/>
    </row>
    <row r="134" spans="1:22" x14ac:dyDescent="0.25">
      <c r="A134" s="885"/>
      <c r="B134" s="286"/>
      <c r="C134" s="286"/>
      <c r="D134" s="286"/>
      <c r="E134" s="286"/>
      <c r="F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785"/>
      <c r="V134" s="286"/>
    </row>
    <row r="135" spans="1:22" x14ac:dyDescent="0.25">
      <c r="A135" s="885"/>
      <c r="B135" s="286"/>
      <c r="C135" s="286"/>
      <c r="D135" s="286"/>
      <c r="E135" s="286"/>
      <c r="F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785"/>
      <c r="V135" s="286"/>
    </row>
    <row r="136" spans="1:22" x14ac:dyDescent="0.25">
      <c r="A136" s="885"/>
      <c r="B136" s="286"/>
      <c r="C136" s="286"/>
      <c r="D136" s="286"/>
      <c r="E136" s="286"/>
      <c r="F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785"/>
      <c r="V136" s="286"/>
    </row>
    <row r="137" spans="1:22" x14ac:dyDescent="0.25">
      <c r="A137" s="885"/>
      <c r="B137" s="286"/>
      <c r="C137" s="286"/>
      <c r="D137" s="286"/>
      <c r="E137" s="286"/>
      <c r="F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785"/>
      <c r="V137" s="286"/>
    </row>
    <row r="138" spans="1:22" x14ac:dyDescent="0.25">
      <c r="A138" s="885"/>
      <c r="B138" s="286"/>
      <c r="C138" s="286"/>
      <c r="D138" s="286"/>
      <c r="E138" s="286"/>
      <c r="F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785"/>
      <c r="V138" s="286"/>
    </row>
    <row r="139" spans="1:22" x14ac:dyDescent="0.25">
      <c r="A139" s="885"/>
      <c r="B139" s="286"/>
      <c r="C139" s="286"/>
      <c r="D139" s="286"/>
      <c r="E139" s="286"/>
      <c r="F139" s="286"/>
      <c r="H139" s="286"/>
      <c r="I139" s="286"/>
      <c r="J139" s="286"/>
      <c r="K139" s="286"/>
      <c r="L139" s="286"/>
      <c r="M139" s="286"/>
      <c r="N139" s="286"/>
      <c r="O139" s="286"/>
      <c r="P139" s="286"/>
      <c r="Q139" s="286"/>
      <c r="R139" s="286"/>
      <c r="S139" s="286"/>
      <c r="T139" s="286"/>
      <c r="U139" s="785"/>
      <c r="V139" s="286"/>
    </row>
    <row r="140" spans="1:22" x14ac:dyDescent="0.25">
      <c r="A140" s="885"/>
      <c r="B140" s="286"/>
      <c r="C140" s="286"/>
      <c r="D140" s="286"/>
      <c r="E140" s="286"/>
      <c r="F140" s="286"/>
      <c r="H140" s="286"/>
      <c r="I140" s="286"/>
      <c r="J140" s="286"/>
      <c r="K140" s="286"/>
      <c r="L140" s="286"/>
      <c r="M140" s="286"/>
      <c r="N140" s="286"/>
      <c r="O140" s="286"/>
      <c r="P140" s="286"/>
      <c r="Q140" s="286"/>
      <c r="R140" s="286"/>
      <c r="S140" s="286"/>
      <c r="T140" s="286"/>
      <c r="U140" s="785"/>
      <c r="V140" s="286"/>
    </row>
    <row r="141" spans="1:22" x14ac:dyDescent="0.25">
      <c r="A141" s="885"/>
      <c r="B141" s="286"/>
      <c r="C141" s="286"/>
      <c r="D141" s="286"/>
      <c r="E141" s="286"/>
      <c r="F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785"/>
      <c r="V141" s="286"/>
    </row>
    <row r="142" spans="1:22" x14ac:dyDescent="0.25">
      <c r="A142" s="885"/>
      <c r="B142" s="286"/>
      <c r="C142" s="286"/>
      <c r="D142" s="286"/>
      <c r="E142" s="286"/>
      <c r="F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785"/>
      <c r="V142" s="286"/>
    </row>
    <row r="143" spans="1:22" x14ac:dyDescent="0.25">
      <c r="A143" s="885"/>
      <c r="B143" s="286"/>
      <c r="C143" s="286"/>
      <c r="D143" s="286"/>
      <c r="E143" s="286"/>
      <c r="F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785"/>
      <c r="V143" s="286"/>
    </row>
    <row r="144" spans="1:22" x14ac:dyDescent="0.25">
      <c r="A144" s="885"/>
      <c r="B144" s="286"/>
      <c r="C144" s="286"/>
      <c r="D144" s="286"/>
      <c r="E144" s="286"/>
      <c r="F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785"/>
      <c r="V144" s="286"/>
    </row>
    <row r="145" spans="1:22" x14ac:dyDescent="0.25">
      <c r="A145" s="885"/>
      <c r="B145" s="286"/>
      <c r="C145" s="286"/>
      <c r="D145" s="286"/>
      <c r="E145" s="286"/>
      <c r="F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  <c r="S145" s="286"/>
      <c r="T145" s="286"/>
      <c r="U145" s="785"/>
      <c r="V145" s="286"/>
    </row>
    <row r="146" spans="1:22" x14ac:dyDescent="0.25">
      <c r="A146" s="885"/>
      <c r="B146" s="286"/>
      <c r="C146" s="286"/>
      <c r="D146" s="286"/>
      <c r="E146" s="286"/>
      <c r="F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785"/>
      <c r="V146" s="286"/>
    </row>
    <row r="147" spans="1:22" x14ac:dyDescent="0.25">
      <c r="A147" s="885"/>
      <c r="B147" s="286"/>
      <c r="C147" s="286"/>
      <c r="D147" s="286"/>
      <c r="E147" s="286"/>
      <c r="F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785"/>
      <c r="V147" s="286"/>
    </row>
    <row r="148" spans="1:22" x14ac:dyDescent="0.25">
      <c r="A148" s="885"/>
      <c r="B148" s="286"/>
      <c r="C148" s="286"/>
      <c r="D148" s="286"/>
      <c r="E148" s="286"/>
      <c r="F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785"/>
      <c r="V148" s="286"/>
    </row>
    <row r="149" spans="1:22" x14ac:dyDescent="0.25">
      <c r="A149" s="885"/>
      <c r="B149" s="286"/>
      <c r="C149" s="286"/>
      <c r="D149" s="286"/>
      <c r="E149" s="286"/>
      <c r="F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  <c r="U149" s="785"/>
      <c r="V149" s="286"/>
    </row>
    <row r="150" spans="1:22" x14ac:dyDescent="0.25">
      <c r="A150" s="885"/>
      <c r="B150" s="286"/>
      <c r="C150" s="286"/>
      <c r="D150" s="286"/>
      <c r="E150" s="286"/>
      <c r="F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785"/>
      <c r="V150" s="286"/>
    </row>
    <row r="151" spans="1:22" x14ac:dyDescent="0.25">
      <c r="A151" s="885"/>
      <c r="B151" s="286"/>
      <c r="C151" s="286"/>
      <c r="D151" s="286"/>
      <c r="E151" s="286"/>
      <c r="F151" s="286"/>
      <c r="H151" s="286"/>
      <c r="I151" s="286"/>
      <c r="J151" s="286"/>
      <c r="K151" s="286"/>
      <c r="L151" s="286"/>
      <c r="M151" s="286"/>
      <c r="N151" s="286"/>
      <c r="O151" s="286"/>
      <c r="P151" s="286"/>
      <c r="Q151" s="286"/>
      <c r="R151" s="286"/>
      <c r="S151" s="286"/>
      <c r="T151" s="286"/>
      <c r="U151" s="785"/>
      <c r="V151" s="286"/>
    </row>
    <row r="152" spans="1:22" x14ac:dyDescent="0.25">
      <c r="A152" s="885"/>
      <c r="B152" s="286"/>
      <c r="C152" s="286"/>
      <c r="D152" s="286"/>
      <c r="E152" s="286"/>
      <c r="F152" s="286"/>
      <c r="H152" s="286"/>
      <c r="I152" s="286"/>
      <c r="J152" s="286"/>
      <c r="K152" s="286"/>
      <c r="L152" s="286"/>
      <c r="M152" s="286"/>
      <c r="N152" s="286"/>
      <c r="O152" s="286"/>
      <c r="P152" s="286"/>
      <c r="Q152" s="286"/>
      <c r="R152" s="286"/>
      <c r="S152" s="286"/>
      <c r="T152" s="286"/>
      <c r="U152" s="785"/>
      <c r="V152" s="286"/>
    </row>
    <row r="153" spans="1:22" x14ac:dyDescent="0.25">
      <c r="A153" s="885"/>
      <c r="B153" s="286"/>
      <c r="C153" s="286"/>
      <c r="D153" s="286"/>
      <c r="E153" s="286"/>
      <c r="F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785"/>
      <c r="V153" s="286"/>
    </row>
    <row r="154" spans="1:22" x14ac:dyDescent="0.25">
      <c r="A154" s="885"/>
      <c r="B154" s="286"/>
      <c r="C154" s="286"/>
      <c r="D154" s="286"/>
      <c r="E154" s="286"/>
      <c r="F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785"/>
      <c r="V154" s="286"/>
    </row>
    <row r="155" spans="1:22" x14ac:dyDescent="0.25">
      <c r="A155" s="885"/>
      <c r="B155" s="286"/>
      <c r="C155" s="286"/>
      <c r="D155" s="286"/>
      <c r="E155" s="286"/>
      <c r="F155" s="286"/>
      <c r="H155" s="286"/>
      <c r="I155" s="286"/>
      <c r="J155" s="286"/>
      <c r="K155" s="286"/>
      <c r="L155" s="286"/>
      <c r="M155" s="286"/>
      <c r="N155" s="286"/>
      <c r="O155" s="286"/>
      <c r="P155" s="286"/>
      <c r="Q155" s="286"/>
      <c r="R155" s="286"/>
      <c r="S155" s="286"/>
      <c r="T155" s="286"/>
      <c r="U155" s="785"/>
      <c r="V155" s="286"/>
    </row>
    <row r="156" spans="1:22" x14ac:dyDescent="0.25">
      <c r="A156" s="885"/>
      <c r="B156" s="286"/>
      <c r="C156" s="286"/>
      <c r="D156" s="286"/>
      <c r="E156" s="286"/>
      <c r="F156" s="286"/>
      <c r="H156" s="286"/>
      <c r="I156" s="286"/>
      <c r="J156" s="286"/>
      <c r="K156" s="286"/>
      <c r="L156" s="286"/>
      <c r="M156" s="286"/>
      <c r="N156" s="286"/>
      <c r="O156" s="286"/>
      <c r="P156" s="286"/>
      <c r="Q156" s="286"/>
      <c r="R156" s="286"/>
      <c r="S156" s="286"/>
      <c r="T156" s="286"/>
      <c r="U156" s="785"/>
      <c r="V156" s="286"/>
    </row>
    <row r="157" spans="1:22" x14ac:dyDescent="0.25">
      <c r="A157" s="885"/>
      <c r="B157" s="286"/>
      <c r="C157" s="286"/>
      <c r="D157" s="286"/>
      <c r="E157" s="286"/>
      <c r="F157" s="286"/>
      <c r="H157" s="286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785"/>
      <c r="V157" s="286"/>
    </row>
    <row r="158" spans="1:22" x14ac:dyDescent="0.25">
      <c r="A158" s="885"/>
      <c r="B158" s="286"/>
      <c r="C158" s="286"/>
      <c r="D158" s="286"/>
      <c r="E158" s="286"/>
      <c r="F158" s="286"/>
      <c r="H158" s="286"/>
      <c r="I158" s="286"/>
      <c r="J158" s="286"/>
      <c r="K158" s="286"/>
      <c r="L158" s="286"/>
      <c r="M158" s="286"/>
      <c r="N158" s="286"/>
      <c r="O158" s="286"/>
      <c r="P158" s="286"/>
      <c r="Q158" s="286"/>
      <c r="R158" s="286"/>
      <c r="S158" s="286"/>
      <c r="T158" s="286"/>
      <c r="U158" s="785"/>
      <c r="V158" s="286"/>
    </row>
    <row r="159" spans="1:22" x14ac:dyDescent="0.25">
      <c r="A159" s="885"/>
      <c r="B159" s="286"/>
      <c r="C159" s="286"/>
      <c r="D159" s="286"/>
      <c r="E159" s="286"/>
      <c r="F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785"/>
      <c r="V159" s="286"/>
    </row>
    <row r="160" spans="1:22" x14ac:dyDescent="0.25">
      <c r="A160" s="885"/>
      <c r="B160" s="286"/>
      <c r="C160" s="286"/>
      <c r="D160" s="286"/>
      <c r="E160" s="286"/>
      <c r="F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785"/>
      <c r="V160" s="286"/>
    </row>
    <row r="161" spans="1:22" x14ac:dyDescent="0.25">
      <c r="A161" s="885"/>
      <c r="B161" s="286"/>
      <c r="C161" s="286"/>
      <c r="D161" s="286"/>
      <c r="E161" s="286"/>
      <c r="F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785"/>
      <c r="V161" s="286"/>
    </row>
    <row r="162" spans="1:22" x14ac:dyDescent="0.25">
      <c r="A162" s="885"/>
      <c r="B162" s="286"/>
      <c r="C162" s="286"/>
      <c r="D162" s="286"/>
      <c r="E162" s="286"/>
      <c r="F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785"/>
      <c r="V162" s="286"/>
    </row>
    <row r="163" spans="1:22" x14ac:dyDescent="0.25">
      <c r="A163" s="885"/>
      <c r="B163" s="286"/>
      <c r="C163" s="286"/>
      <c r="D163" s="286"/>
      <c r="E163" s="286"/>
      <c r="F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785"/>
      <c r="V163" s="286"/>
    </row>
    <row r="164" spans="1:22" x14ac:dyDescent="0.25">
      <c r="A164" s="286"/>
      <c r="B164" s="286"/>
      <c r="C164" s="286"/>
      <c r="D164" s="286"/>
      <c r="E164" s="286"/>
      <c r="F164" s="286"/>
      <c r="H164" s="286"/>
      <c r="I164" s="286"/>
      <c r="J164" s="286"/>
      <c r="K164" s="286"/>
      <c r="L164" s="286"/>
      <c r="M164" s="286"/>
      <c r="N164" s="286"/>
      <c r="O164" s="286"/>
      <c r="P164" s="286"/>
      <c r="Q164" s="286"/>
      <c r="R164" s="286"/>
      <c r="S164" s="286"/>
      <c r="T164" s="286"/>
      <c r="U164" s="785"/>
      <c r="V164" s="286"/>
    </row>
    <row r="165" spans="1:22" x14ac:dyDescent="0.25">
      <c r="A165" s="286"/>
      <c r="B165" s="286"/>
      <c r="C165" s="286"/>
      <c r="D165" s="286"/>
      <c r="E165" s="286"/>
      <c r="F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785"/>
      <c r="V165" s="286"/>
    </row>
    <row r="166" spans="1:22" x14ac:dyDescent="0.25">
      <c r="A166" s="286"/>
      <c r="B166" s="286"/>
      <c r="C166" s="286"/>
      <c r="D166" s="286"/>
      <c r="E166" s="286"/>
      <c r="F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785"/>
      <c r="V166" s="286"/>
    </row>
    <row r="167" spans="1:22" x14ac:dyDescent="0.25">
      <c r="A167" s="286"/>
      <c r="B167" s="286"/>
      <c r="C167" s="286"/>
      <c r="D167" s="286"/>
      <c r="E167" s="286"/>
      <c r="F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785"/>
      <c r="V167" s="286"/>
    </row>
    <row r="168" spans="1:22" x14ac:dyDescent="0.25">
      <c r="A168" s="286"/>
      <c r="B168" s="286"/>
      <c r="C168" s="286"/>
      <c r="D168" s="286"/>
      <c r="E168" s="286"/>
      <c r="F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785"/>
      <c r="V168" s="286"/>
    </row>
    <row r="169" spans="1:22" x14ac:dyDescent="0.25">
      <c r="A169" s="286"/>
      <c r="B169" s="286"/>
      <c r="C169" s="286"/>
      <c r="D169" s="286"/>
      <c r="E169" s="286"/>
      <c r="F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785"/>
      <c r="V169" s="286"/>
    </row>
    <row r="170" spans="1:22" x14ac:dyDescent="0.25">
      <c r="A170" s="286"/>
      <c r="B170" s="286"/>
      <c r="C170" s="286"/>
      <c r="D170" s="286"/>
      <c r="E170" s="286"/>
      <c r="F170" s="286"/>
      <c r="H170" s="286"/>
      <c r="I170" s="286"/>
      <c r="J170" s="286"/>
      <c r="K170" s="286"/>
      <c r="L170" s="286"/>
      <c r="M170" s="286"/>
      <c r="N170" s="286"/>
      <c r="O170" s="286"/>
      <c r="P170" s="286"/>
      <c r="Q170" s="286"/>
      <c r="R170" s="286"/>
      <c r="S170" s="286"/>
      <c r="T170" s="286"/>
      <c r="U170" s="785"/>
      <c r="V170" s="286"/>
    </row>
    <row r="171" spans="1:22" x14ac:dyDescent="0.25">
      <c r="A171" s="286"/>
      <c r="B171" s="286"/>
      <c r="C171" s="286"/>
      <c r="D171" s="286"/>
      <c r="E171" s="286"/>
      <c r="F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785"/>
      <c r="V171" s="286"/>
    </row>
    <row r="172" spans="1:22" x14ac:dyDescent="0.25">
      <c r="A172" s="286"/>
      <c r="B172" s="286"/>
      <c r="C172" s="286"/>
      <c r="D172" s="286"/>
      <c r="E172" s="286"/>
      <c r="F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785"/>
      <c r="V172" s="286"/>
    </row>
    <row r="173" spans="1:22" x14ac:dyDescent="0.25">
      <c r="A173" s="286"/>
      <c r="B173" s="286"/>
      <c r="C173" s="286"/>
      <c r="D173" s="286"/>
      <c r="E173" s="286"/>
      <c r="F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286"/>
      <c r="S173" s="286"/>
      <c r="T173" s="286"/>
      <c r="U173" s="785"/>
      <c r="V173" s="286"/>
    </row>
    <row r="174" spans="1:22" x14ac:dyDescent="0.25">
      <c r="A174" s="286"/>
      <c r="B174" s="286"/>
      <c r="C174" s="286"/>
      <c r="D174" s="286"/>
      <c r="E174" s="286"/>
      <c r="F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785"/>
      <c r="V174" s="286"/>
    </row>
    <row r="175" spans="1:22" x14ac:dyDescent="0.25">
      <c r="A175" s="286"/>
      <c r="B175" s="286"/>
      <c r="C175" s="286"/>
      <c r="D175" s="286"/>
      <c r="E175" s="286"/>
      <c r="F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785"/>
      <c r="V175" s="286"/>
    </row>
    <row r="176" spans="1:22" x14ac:dyDescent="0.25">
      <c r="A176" s="286"/>
      <c r="B176" s="286"/>
      <c r="C176" s="286"/>
      <c r="D176" s="286"/>
      <c r="E176" s="286"/>
      <c r="F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785"/>
      <c r="V176" s="286"/>
    </row>
    <row r="177" spans="1:22" x14ac:dyDescent="0.25">
      <c r="A177" s="286"/>
      <c r="B177" s="286"/>
      <c r="C177" s="286"/>
      <c r="D177" s="286"/>
      <c r="E177" s="286"/>
      <c r="F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785"/>
      <c r="V177" s="286"/>
    </row>
    <row r="178" spans="1:22" x14ac:dyDescent="0.25">
      <c r="A178" s="286"/>
      <c r="B178" s="286"/>
      <c r="C178" s="286"/>
      <c r="D178" s="286"/>
      <c r="E178" s="286"/>
      <c r="F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785"/>
      <c r="V178" s="286"/>
    </row>
    <row r="179" spans="1:22" x14ac:dyDescent="0.25">
      <c r="A179" s="286"/>
      <c r="B179" s="286"/>
      <c r="C179" s="286"/>
      <c r="D179" s="286"/>
      <c r="E179" s="286"/>
      <c r="F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785"/>
      <c r="V179" s="286"/>
    </row>
    <row r="180" spans="1:22" x14ac:dyDescent="0.25">
      <c r="A180" s="286"/>
      <c r="B180" s="286"/>
      <c r="C180" s="286"/>
      <c r="D180" s="286"/>
      <c r="E180" s="286"/>
      <c r="F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785"/>
      <c r="V180" s="286"/>
    </row>
    <row r="181" spans="1:22" x14ac:dyDescent="0.25">
      <c r="A181" s="286"/>
      <c r="B181" s="286"/>
      <c r="C181" s="286"/>
      <c r="D181" s="286"/>
      <c r="E181" s="286"/>
      <c r="F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785"/>
      <c r="V181" s="286"/>
    </row>
    <row r="182" spans="1:22" x14ac:dyDescent="0.25">
      <c r="A182" s="286"/>
      <c r="B182" s="286"/>
      <c r="C182" s="286"/>
      <c r="D182" s="286"/>
      <c r="E182" s="286"/>
      <c r="F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785"/>
      <c r="V182" s="286"/>
    </row>
    <row r="183" spans="1:22" x14ac:dyDescent="0.25">
      <c r="A183" s="286"/>
      <c r="B183" s="286"/>
      <c r="C183" s="286"/>
      <c r="D183" s="286"/>
      <c r="E183" s="286"/>
      <c r="F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785"/>
      <c r="V183" s="286"/>
    </row>
    <row r="184" spans="1:22" x14ac:dyDescent="0.25">
      <c r="A184" s="286"/>
      <c r="B184" s="286"/>
      <c r="C184" s="286"/>
      <c r="D184" s="286"/>
      <c r="E184" s="286"/>
      <c r="F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785"/>
      <c r="V184" s="286"/>
    </row>
    <row r="185" spans="1:22" x14ac:dyDescent="0.25">
      <c r="A185" s="286"/>
      <c r="B185" s="286"/>
      <c r="C185" s="286"/>
      <c r="D185" s="286"/>
      <c r="E185" s="286"/>
      <c r="F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785"/>
      <c r="V185" s="286"/>
    </row>
    <row r="186" spans="1:22" x14ac:dyDescent="0.25">
      <c r="A186" s="286"/>
      <c r="B186" s="286"/>
      <c r="C186" s="286"/>
      <c r="D186" s="286"/>
      <c r="E186" s="286"/>
      <c r="F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785"/>
      <c r="V186" s="286"/>
    </row>
    <row r="187" spans="1:22" x14ac:dyDescent="0.25">
      <c r="A187" s="286"/>
      <c r="B187" s="286"/>
      <c r="C187" s="286"/>
      <c r="D187" s="286"/>
      <c r="E187" s="286"/>
      <c r="F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785"/>
      <c r="V187" s="286"/>
    </row>
    <row r="188" spans="1:22" x14ac:dyDescent="0.25">
      <c r="A188" s="286"/>
      <c r="B188" s="286"/>
      <c r="C188" s="286"/>
      <c r="D188" s="286"/>
      <c r="E188" s="286"/>
      <c r="F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785"/>
      <c r="V188" s="286"/>
    </row>
    <row r="189" spans="1:22" x14ac:dyDescent="0.25">
      <c r="A189" s="286"/>
      <c r="B189" s="286"/>
      <c r="C189" s="286"/>
      <c r="D189" s="286"/>
      <c r="E189" s="286"/>
      <c r="F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785"/>
      <c r="V189" s="286"/>
    </row>
    <row r="190" spans="1:22" x14ac:dyDescent="0.25">
      <c r="A190" s="286"/>
      <c r="B190" s="286"/>
      <c r="C190" s="286"/>
      <c r="D190" s="286"/>
      <c r="E190" s="286"/>
      <c r="F190" s="286"/>
      <c r="H190" s="286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785"/>
      <c r="V190" s="286"/>
    </row>
    <row r="191" spans="1:22" x14ac:dyDescent="0.25">
      <c r="A191" s="286"/>
      <c r="B191" s="286"/>
      <c r="C191" s="286"/>
      <c r="D191" s="286"/>
      <c r="E191" s="286"/>
      <c r="F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6"/>
      <c r="S191" s="286"/>
      <c r="T191" s="286"/>
      <c r="U191" s="785"/>
      <c r="V191" s="286"/>
    </row>
    <row r="192" spans="1:22" x14ac:dyDescent="0.25">
      <c r="A192" s="286"/>
      <c r="B192" s="286"/>
      <c r="C192" s="286"/>
      <c r="D192" s="286"/>
      <c r="E192" s="286"/>
      <c r="F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785"/>
      <c r="V192" s="286"/>
    </row>
    <row r="193" spans="1:22" x14ac:dyDescent="0.25">
      <c r="A193" s="286"/>
      <c r="B193" s="286"/>
      <c r="C193" s="286"/>
      <c r="D193" s="286"/>
      <c r="E193" s="286"/>
      <c r="F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6"/>
      <c r="T193" s="286"/>
      <c r="U193" s="785"/>
      <c r="V193" s="286"/>
    </row>
    <row r="194" spans="1:22" x14ac:dyDescent="0.25">
      <c r="A194" s="286"/>
      <c r="B194" s="286"/>
      <c r="C194" s="286"/>
      <c r="D194" s="286"/>
      <c r="E194" s="286"/>
      <c r="F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785"/>
      <c r="V194" s="286"/>
    </row>
    <row r="195" spans="1:22" x14ac:dyDescent="0.25">
      <c r="A195" s="286"/>
      <c r="B195" s="286"/>
      <c r="C195" s="286"/>
      <c r="D195" s="286"/>
      <c r="E195" s="286"/>
      <c r="F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785"/>
      <c r="V195" s="286"/>
    </row>
    <row r="196" spans="1:22" x14ac:dyDescent="0.25">
      <c r="A196" s="286"/>
      <c r="B196" s="286"/>
      <c r="C196" s="286"/>
      <c r="D196" s="286"/>
      <c r="E196" s="286"/>
      <c r="F196" s="286"/>
      <c r="H196" s="286"/>
      <c r="I196" s="286"/>
      <c r="J196" s="286"/>
      <c r="K196" s="286"/>
      <c r="L196" s="286"/>
      <c r="M196" s="286"/>
      <c r="N196" s="286"/>
      <c r="O196" s="286"/>
      <c r="P196" s="286"/>
      <c r="Q196" s="286"/>
      <c r="R196" s="286"/>
      <c r="S196" s="286"/>
      <c r="T196" s="286"/>
      <c r="U196" s="785"/>
      <c r="V196" s="286"/>
    </row>
    <row r="197" spans="1:22" x14ac:dyDescent="0.25">
      <c r="A197" s="286"/>
      <c r="B197" s="286"/>
      <c r="C197" s="286"/>
      <c r="D197" s="286"/>
      <c r="E197" s="286"/>
      <c r="F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6"/>
      <c r="T197" s="286"/>
      <c r="U197" s="785"/>
      <c r="V197" s="286"/>
    </row>
    <row r="198" spans="1:22" x14ac:dyDescent="0.25">
      <c r="A198" s="286"/>
      <c r="B198" s="286"/>
      <c r="C198" s="286"/>
      <c r="D198" s="286"/>
      <c r="E198" s="286"/>
      <c r="F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785"/>
      <c r="V198" s="286"/>
    </row>
    <row r="199" spans="1:22" x14ac:dyDescent="0.25">
      <c r="A199" s="286"/>
      <c r="B199" s="286"/>
      <c r="C199" s="286"/>
      <c r="D199" s="286"/>
      <c r="E199" s="286"/>
      <c r="F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785"/>
      <c r="V199" s="286"/>
    </row>
    <row r="200" spans="1:22" x14ac:dyDescent="0.25">
      <c r="A200" s="286"/>
      <c r="B200" s="286"/>
      <c r="C200" s="286"/>
      <c r="D200" s="286"/>
      <c r="E200" s="286"/>
      <c r="F200" s="286"/>
      <c r="H200" s="286"/>
      <c r="I200" s="286"/>
      <c r="J200" s="286"/>
      <c r="K200" s="286"/>
      <c r="L200" s="286"/>
      <c r="M200" s="286"/>
      <c r="N200" s="286"/>
      <c r="O200" s="286"/>
      <c r="P200" s="286"/>
      <c r="Q200" s="286"/>
      <c r="R200" s="286"/>
      <c r="S200" s="286"/>
      <c r="T200" s="286"/>
      <c r="U200" s="785"/>
      <c r="V200" s="286"/>
    </row>
    <row r="201" spans="1:22" x14ac:dyDescent="0.25">
      <c r="A201" s="286"/>
      <c r="B201" s="286"/>
      <c r="C201" s="286"/>
      <c r="D201" s="286"/>
      <c r="E201" s="286"/>
      <c r="F201" s="286"/>
      <c r="H201" s="286"/>
      <c r="I201" s="286"/>
      <c r="J201" s="286"/>
      <c r="K201" s="286"/>
      <c r="L201" s="286"/>
      <c r="M201" s="286"/>
      <c r="N201" s="286"/>
      <c r="O201" s="286"/>
      <c r="P201" s="286"/>
      <c r="Q201" s="286"/>
      <c r="R201" s="286"/>
      <c r="S201" s="286"/>
      <c r="T201" s="286"/>
      <c r="U201" s="785"/>
      <c r="V201" s="286"/>
    </row>
    <row r="202" spans="1:22" x14ac:dyDescent="0.25">
      <c r="A202" s="286"/>
      <c r="B202" s="286"/>
      <c r="C202" s="286"/>
      <c r="D202" s="286"/>
      <c r="E202" s="286"/>
      <c r="F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785"/>
      <c r="V202" s="286"/>
    </row>
    <row r="203" spans="1:22" x14ac:dyDescent="0.25">
      <c r="A203" s="286"/>
      <c r="B203" s="286"/>
      <c r="C203" s="286"/>
      <c r="D203" s="286"/>
      <c r="E203" s="286"/>
      <c r="F203" s="286"/>
      <c r="H203" s="286"/>
      <c r="I203" s="286"/>
      <c r="J203" s="286"/>
      <c r="K203" s="286"/>
      <c r="L203" s="286"/>
      <c r="M203" s="286"/>
      <c r="N203" s="286"/>
      <c r="O203" s="286"/>
      <c r="P203" s="286"/>
      <c r="Q203" s="286"/>
      <c r="R203" s="286"/>
      <c r="S203" s="286"/>
      <c r="T203" s="286"/>
      <c r="U203" s="785"/>
      <c r="V203" s="286"/>
    </row>
    <row r="204" spans="1:22" x14ac:dyDescent="0.25">
      <c r="A204" s="286"/>
      <c r="B204" s="286"/>
      <c r="C204" s="286"/>
      <c r="D204" s="286"/>
      <c r="E204" s="286"/>
      <c r="F204" s="286"/>
      <c r="H204" s="286"/>
      <c r="I204" s="286"/>
      <c r="J204" s="286"/>
      <c r="K204" s="286"/>
      <c r="L204" s="286"/>
      <c r="M204" s="286"/>
      <c r="N204" s="286"/>
      <c r="O204" s="286"/>
      <c r="P204" s="286"/>
      <c r="Q204" s="286"/>
      <c r="R204" s="286"/>
      <c r="S204" s="286"/>
      <c r="T204" s="286"/>
      <c r="U204" s="785"/>
      <c r="V204" s="286"/>
    </row>
    <row r="205" spans="1:22" x14ac:dyDescent="0.25">
      <c r="A205" s="286"/>
      <c r="B205" s="286"/>
      <c r="C205" s="286"/>
      <c r="D205" s="286"/>
      <c r="E205" s="286"/>
      <c r="F205" s="286"/>
      <c r="H205" s="286"/>
      <c r="I205" s="286"/>
      <c r="J205" s="286"/>
      <c r="K205" s="286"/>
      <c r="L205" s="286"/>
      <c r="M205" s="286"/>
      <c r="N205" s="286"/>
      <c r="O205" s="286"/>
      <c r="P205" s="286"/>
      <c r="Q205" s="286"/>
      <c r="R205" s="286"/>
      <c r="S205" s="286"/>
      <c r="T205" s="286"/>
      <c r="U205" s="785"/>
      <c r="V205" s="286"/>
    </row>
    <row r="206" spans="1:22" x14ac:dyDescent="0.25">
      <c r="A206" s="286"/>
      <c r="B206" s="286"/>
      <c r="C206" s="286"/>
      <c r="D206" s="286"/>
      <c r="E206" s="286"/>
      <c r="F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6"/>
      <c r="U206" s="785"/>
      <c r="V206" s="286"/>
    </row>
    <row r="207" spans="1:22" x14ac:dyDescent="0.25">
      <c r="A207" s="286"/>
      <c r="B207" s="286"/>
      <c r="C207" s="286"/>
      <c r="D207" s="286"/>
      <c r="E207" s="286"/>
      <c r="F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6"/>
      <c r="T207" s="286"/>
      <c r="U207" s="785"/>
      <c r="V207" s="286"/>
    </row>
    <row r="208" spans="1:22" x14ac:dyDescent="0.25">
      <c r="A208" s="286"/>
      <c r="B208" s="286"/>
      <c r="C208" s="286"/>
      <c r="D208" s="286"/>
      <c r="E208" s="286"/>
      <c r="F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785"/>
      <c r="V208" s="286"/>
    </row>
    <row r="209" spans="1:22" x14ac:dyDescent="0.25">
      <c r="A209" s="286"/>
      <c r="B209" s="286"/>
      <c r="C209" s="286"/>
      <c r="D209" s="286"/>
      <c r="E209" s="286"/>
      <c r="F209" s="286"/>
      <c r="H209" s="286"/>
      <c r="I209" s="286"/>
      <c r="J209" s="286"/>
      <c r="K209" s="286"/>
      <c r="L209" s="286"/>
      <c r="M209" s="286"/>
      <c r="N209" s="286"/>
      <c r="O209" s="286"/>
      <c r="P209" s="286"/>
      <c r="Q209" s="286"/>
      <c r="R209" s="286"/>
      <c r="S209" s="286"/>
      <c r="T209" s="286"/>
      <c r="U209" s="785"/>
      <c r="V209" s="286"/>
    </row>
    <row r="210" spans="1:22" x14ac:dyDescent="0.25">
      <c r="A210" s="286"/>
      <c r="B210" s="286"/>
      <c r="C210" s="286"/>
      <c r="D210" s="286"/>
      <c r="E210" s="286"/>
      <c r="F210" s="286"/>
      <c r="H210" s="286"/>
      <c r="I210" s="286"/>
      <c r="J210" s="286"/>
      <c r="K210" s="286"/>
      <c r="L210" s="286"/>
      <c r="M210" s="286"/>
      <c r="N210" s="286"/>
      <c r="O210" s="286"/>
      <c r="P210" s="286"/>
      <c r="Q210" s="286"/>
      <c r="R210" s="286"/>
      <c r="S210" s="286"/>
      <c r="T210" s="286"/>
      <c r="U210" s="785"/>
      <c r="V210" s="286"/>
    </row>
    <row r="211" spans="1:22" x14ac:dyDescent="0.25">
      <c r="A211" s="286"/>
      <c r="B211" s="286"/>
      <c r="C211" s="286"/>
      <c r="D211" s="286"/>
      <c r="E211" s="286"/>
      <c r="F211" s="286"/>
      <c r="H211" s="286"/>
      <c r="I211" s="286"/>
      <c r="J211" s="286"/>
      <c r="K211" s="286"/>
      <c r="L211" s="286"/>
      <c r="M211" s="286"/>
      <c r="N211" s="286"/>
      <c r="O211" s="286"/>
      <c r="P211" s="286"/>
      <c r="Q211" s="286"/>
      <c r="R211" s="286"/>
      <c r="S211" s="286"/>
      <c r="T211" s="286"/>
      <c r="U211" s="785"/>
      <c r="V211" s="286"/>
    </row>
    <row r="212" spans="1:22" x14ac:dyDescent="0.25">
      <c r="A212" s="286"/>
      <c r="B212" s="286"/>
      <c r="C212" s="286"/>
      <c r="D212" s="286"/>
      <c r="E212" s="286"/>
      <c r="F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785"/>
      <c r="V212" s="286"/>
    </row>
    <row r="213" spans="1:22" x14ac:dyDescent="0.25">
      <c r="A213" s="286"/>
      <c r="B213" s="286"/>
      <c r="C213" s="286"/>
      <c r="D213" s="286"/>
      <c r="E213" s="286"/>
      <c r="F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785"/>
      <c r="V213" s="286"/>
    </row>
    <row r="214" spans="1:22" x14ac:dyDescent="0.25">
      <c r="A214" s="286"/>
      <c r="B214" s="286"/>
      <c r="C214" s="286"/>
      <c r="D214" s="286"/>
      <c r="E214" s="286"/>
      <c r="F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6"/>
      <c r="T214" s="286"/>
      <c r="U214" s="785"/>
      <c r="V214" s="286"/>
    </row>
    <row r="215" spans="1:22" x14ac:dyDescent="0.25">
      <c r="A215" s="286"/>
      <c r="B215" s="286"/>
      <c r="C215" s="286"/>
      <c r="D215" s="286"/>
      <c r="E215" s="286"/>
      <c r="F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785"/>
      <c r="V215" s="286"/>
    </row>
    <row r="216" spans="1:22" x14ac:dyDescent="0.25">
      <c r="A216" s="286"/>
      <c r="B216" s="286"/>
      <c r="C216" s="286"/>
      <c r="D216" s="286"/>
      <c r="E216" s="286"/>
      <c r="F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286"/>
      <c r="U216" s="785"/>
      <c r="V216" s="286"/>
    </row>
    <row r="217" spans="1:22" x14ac:dyDescent="0.25">
      <c r="A217" s="286"/>
      <c r="B217" s="286"/>
      <c r="C217" s="286"/>
      <c r="D217" s="286"/>
      <c r="E217" s="286"/>
      <c r="F217" s="286"/>
      <c r="H217" s="286"/>
      <c r="I217" s="286"/>
      <c r="J217" s="286"/>
      <c r="K217" s="286"/>
      <c r="L217" s="286"/>
      <c r="M217" s="286"/>
      <c r="N217" s="286"/>
      <c r="O217" s="286"/>
      <c r="P217" s="286"/>
      <c r="Q217" s="286"/>
      <c r="R217" s="286"/>
      <c r="S217" s="286"/>
      <c r="T217" s="286"/>
      <c r="U217" s="785"/>
      <c r="V217" s="286"/>
    </row>
    <row r="218" spans="1:22" x14ac:dyDescent="0.25">
      <c r="A218" s="286"/>
      <c r="B218" s="286"/>
      <c r="C218" s="286"/>
      <c r="D218" s="286"/>
      <c r="E218" s="286"/>
      <c r="F218" s="286"/>
      <c r="H218" s="286"/>
      <c r="I218" s="286"/>
      <c r="J218" s="286"/>
      <c r="K218" s="286"/>
      <c r="L218" s="286"/>
      <c r="M218" s="286"/>
      <c r="N218" s="286"/>
      <c r="O218" s="286"/>
      <c r="P218" s="286"/>
      <c r="Q218" s="286"/>
      <c r="R218" s="286"/>
      <c r="S218" s="286"/>
      <c r="T218" s="286"/>
      <c r="U218" s="785"/>
      <c r="V218" s="286"/>
    </row>
    <row r="219" spans="1:22" x14ac:dyDescent="0.25">
      <c r="A219" s="286"/>
      <c r="B219" s="286"/>
      <c r="C219" s="286"/>
      <c r="D219" s="286"/>
      <c r="E219" s="286"/>
      <c r="F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785"/>
      <c r="V219" s="286"/>
    </row>
    <row r="220" spans="1:22" x14ac:dyDescent="0.25">
      <c r="A220" s="286"/>
      <c r="B220" s="286"/>
      <c r="C220" s="286"/>
      <c r="D220" s="286"/>
      <c r="E220" s="286"/>
      <c r="F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6"/>
      <c r="T220" s="286"/>
      <c r="U220" s="785"/>
      <c r="V220" s="286"/>
    </row>
    <row r="221" spans="1:22" x14ac:dyDescent="0.25">
      <c r="A221" s="286"/>
      <c r="B221" s="286"/>
      <c r="C221" s="286"/>
      <c r="D221" s="286"/>
      <c r="E221" s="286"/>
      <c r="F221" s="286"/>
      <c r="H221" s="286"/>
      <c r="I221" s="286"/>
      <c r="J221" s="286"/>
      <c r="K221" s="286"/>
      <c r="L221" s="286"/>
      <c r="M221" s="286"/>
      <c r="N221" s="286"/>
      <c r="O221" s="286"/>
      <c r="P221" s="286"/>
      <c r="Q221" s="286"/>
      <c r="R221" s="286"/>
      <c r="S221" s="286"/>
      <c r="T221" s="286"/>
      <c r="U221" s="785"/>
      <c r="V221" s="286"/>
    </row>
    <row r="222" spans="1:22" x14ac:dyDescent="0.25">
      <c r="A222" s="286"/>
      <c r="B222" s="286"/>
      <c r="C222" s="286"/>
      <c r="D222" s="286"/>
      <c r="E222" s="286"/>
      <c r="F222" s="286"/>
      <c r="H222" s="286"/>
      <c r="I222" s="286"/>
      <c r="J222" s="286"/>
      <c r="K222" s="286"/>
      <c r="L222" s="286"/>
      <c r="M222" s="286"/>
      <c r="N222" s="286"/>
      <c r="O222" s="286"/>
      <c r="P222" s="286"/>
      <c r="Q222" s="286"/>
      <c r="R222" s="286"/>
      <c r="S222" s="286"/>
      <c r="T222" s="286"/>
      <c r="U222" s="785"/>
      <c r="V222" s="286"/>
    </row>
    <row r="223" spans="1:22" x14ac:dyDescent="0.25">
      <c r="A223" s="286"/>
      <c r="B223" s="286"/>
      <c r="C223" s="286"/>
      <c r="D223" s="286"/>
      <c r="E223" s="286"/>
      <c r="F223" s="286"/>
      <c r="H223" s="286"/>
      <c r="I223" s="286"/>
      <c r="J223" s="286"/>
      <c r="K223" s="286"/>
      <c r="L223" s="286"/>
      <c r="M223" s="286"/>
      <c r="N223" s="286"/>
      <c r="O223" s="286"/>
      <c r="P223" s="286"/>
      <c r="Q223" s="286"/>
      <c r="R223" s="286"/>
      <c r="S223" s="286"/>
      <c r="T223" s="286"/>
      <c r="U223" s="785"/>
      <c r="V223" s="286"/>
    </row>
    <row r="224" spans="1:22" x14ac:dyDescent="0.25">
      <c r="A224" s="286"/>
      <c r="B224" s="286"/>
      <c r="C224" s="286"/>
      <c r="D224" s="286"/>
      <c r="E224" s="286"/>
      <c r="F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6"/>
      <c r="T224" s="286"/>
      <c r="U224" s="785"/>
      <c r="V224" s="286"/>
    </row>
    <row r="225" spans="1:22" x14ac:dyDescent="0.25">
      <c r="A225" s="286"/>
      <c r="B225" s="286"/>
      <c r="C225" s="286"/>
      <c r="D225" s="286"/>
      <c r="E225" s="286"/>
      <c r="F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785"/>
      <c r="V225" s="286"/>
    </row>
    <row r="226" spans="1:22" x14ac:dyDescent="0.25">
      <c r="A226" s="286"/>
      <c r="B226" s="286"/>
      <c r="C226" s="286"/>
      <c r="D226" s="286"/>
      <c r="E226" s="286"/>
      <c r="F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785"/>
      <c r="V226" s="286"/>
    </row>
    <row r="227" spans="1:22" x14ac:dyDescent="0.25">
      <c r="A227" s="286"/>
      <c r="B227" s="286"/>
      <c r="C227" s="286"/>
      <c r="D227" s="286"/>
      <c r="E227" s="286"/>
      <c r="F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785"/>
      <c r="V227" s="286"/>
    </row>
    <row r="228" spans="1:22" x14ac:dyDescent="0.25">
      <c r="A228" s="286"/>
      <c r="B228" s="286"/>
      <c r="C228" s="286"/>
      <c r="D228" s="286"/>
      <c r="E228" s="286"/>
      <c r="F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785"/>
      <c r="V228" s="286"/>
    </row>
    <row r="229" spans="1:22" x14ac:dyDescent="0.25">
      <c r="A229" s="286"/>
      <c r="B229" s="286"/>
      <c r="C229" s="286"/>
      <c r="D229" s="286"/>
      <c r="E229" s="286"/>
      <c r="F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785"/>
      <c r="V229" s="286"/>
    </row>
    <row r="230" spans="1:22" x14ac:dyDescent="0.25">
      <c r="A230" s="286"/>
      <c r="B230" s="286"/>
      <c r="C230" s="286"/>
      <c r="D230" s="286"/>
      <c r="E230" s="286"/>
      <c r="F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785"/>
      <c r="V230" s="286"/>
    </row>
    <row r="231" spans="1:22" x14ac:dyDescent="0.25">
      <c r="A231" s="286"/>
      <c r="B231" s="286"/>
      <c r="C231" s="286"/>
      <c r="D231" s="286"/>
      <c r="E231" s="286"/>
      <c r="F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785"/>
      <c r="V231" s="286"/>
    </row>
    <row r="232" spans="1:22" x14ac:dyDescent="0.25">
      <c r="A232" s="286"/>
      <c r="B232" s="286"/>
      <c r="C232" s="286"/>
      <c r="D232" s="286"/>
      <c r="E232" s="286"/>
      <c r="F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785"/>
      <c r="V232" s="286"/>
    </row>
    <row r="233" spans="1:22" x14ac:dyDescent="0.25">
      <c r="A233" s="286"/>
      <c r="B233" s="286"/>
      <c r="C233" s="286"/>
      <c r="D233" s="286"/>
      <c r="E233" s="286"/>
      <c r="F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785"/>
      <c r="V233" s="286"/>
    </row>
    <row r="234" spans="1:22" x14ac:dyDescent="0.25">
      <c r="A234" s="286"/>
      <c r="B234" s="286"/>
      <c r="C234" s="286"/>
      <c r="D234" s="286"/>
      <c r="E234" s="286"/>
      <c r="F234" s="286"/>
      <c r="H234" s="286"/>
      <c r="I234" s="286"/>
      <c r="J234" s="286"/>
      <c r="K234" s="286"/>
      <c r="L234" s="286"/>
      <c r="M234" s="286"/>
      <c r="N234" s="286"/>
      <c r="O234" s="286"/>
      <c r="P234" s="286"/>
      <c r="Q234" s="286"/>
      <c r="R234" s="286"/>
      <c r="S234" s="286"/>
      <c r="T234" s="286"/>
      <c r="U234" s="785"/>
      <c r="V234" s="286"/>
    </row>
    <row r="235" spans="1:22" x14ac:dyDescent="0.25">
      <c r="A235" s="286"/>
      <c r="B235" s="286"/>
      <c r="C235" s="286"/>
      <c r="D235" s="286"/>
      <c r="E235" s="286"/>
      <c r="F235" s="286"/>
      <c r="H235" s="286"/>
      <c r="I235" s="286"/>
      <c r="J235" s="286"/>
      <c r="K235" s="286"/>
      <c r="L235" s="286"/>
      <c r="M235" s="286"/>
      <c r="N235" s="286"/>
      <c r="O235" s="286"/>
      <c r="P235" s="286"/>
      <c r="Q235" s="286"/>
      <c r="R235" s="286"/>
      <c r="S235" s="286"/>
      <c r="T235" s="286"/>
      <c r="U235" s="785"/>
      <c r="V235" s="286"/>
    </row>
    <row r="236" spans="1:22" x14ac:dyDescent="0.25">
      <c r="A236" s="286"/>
      <c r="B236" s="286"/>
      <c r="C236" s="286"/>
      <c r="D236" s="286"/>
      <c r="E236" s="286"/>
      <c r="F236" s="286"/>
      <c r="H236" s="286"/>
      <c r="I236" s="286"/>
      <c r="J236" s="286"/>
      <c r="K236" s="286"/>
      <c r="L236" s="286"/>
      <c r="M236" s="286"/>
      <c r="N236" s="286"/>
      <c r="O236" s="286"/>
      <c r="P236" s="286"/>
      <c r="Q236" s="286"/>
      <c r="R236" s="286"/>
      <c r="S236" s="286"/>
      <c r="T236" s="286"/>
      <c r="U236" s="785"/>
      <c r="V236" s="286"/>
    </row>
    <row r="237" spans="1:22" x14ac:dyDescent="0.25">
      <c r="A237" s="286"/>
      <c r="B237" s="286"/>
      <c r="C237" s="286"/>
      <c r="D237" s="286"/>
      <c r="E237" s="286"/>
      <c r="F237" s="286"/>
      <c r="H237" s="286"/>
      <c r="I237" s="286"/>
      <c r="J237" s="286"/>
      <c r="K237" s="286"/>
      <c r="L237" s="286"/>
      <c r="M237" s="286"/>
      <c r="N237" s="286"/>
      <c r="O237" s="286"/>
      <c r="P237" s="286"/>
      <c r="Q237" s="286"/>
      <c r="R237" s="286"/>
      <c r="S237" s="286"/>
      <c r="T237" s="286"/>
      <c r="U237" s="785"/>
      <c r="V237" s="286"/>
    </row>
    <row r="238" spans="1:22" x14ac:dyDescent="0.25">
      <c r="A238" s="286"/>
      <c r="B238" s="286"/>
      <c r="C238" s="286"/>
      <c r="D238" s="286"/>
      <c r="E238" s="286"/>
      <c r="F238" s="286"/>
      <c r="H238" s="286"/>
      <c r="I238" s="286"/>
      <c r="J238" s="286"/>
      <c r="K238" s="286"/>
      <c r="L238" s="286"/>
      <c r="M238" s="286"/>
      <c r="N238" s="286"/>
      <c r="O238" s="286"/>
      <c r="P238" s="286"/>
      <c r="Q238" s="286"/>
      <c r="R238" s="286"/>
      <c r="S238" s="286"/>
      <c r="T238" s="286"/>
      <c r="U238" s="785"/>
      <c r="V238" s="286"/>
    </row>
    <row r="239" spans="1:22" x14ac:dyDescent="0.25">
      <c r="A239" s="286"/>
      <c r="B239" s="286"/>
      <c r="C239" s="286"/>
      <c r="D239" s="286"/>
      <c r="E239" s="286"/>
      <c r="F239" s="286"/>
      <c r="H239" s="286"/>
      <c r="I239" s="286"/>
      <c r="J239" s="286"/>
      <c r="K239" s="286"/>
      <c r="L239" s="286"/>
      <c r="M239" s="286"/>
      <c r="N239" s="286"/>
      <c r="O239" s="286"/>
      <c r="P239" s="286"/>
      <c r="Q239" s="286"/>
      <c r="R239" s="286"/>
      <c r="S239" s="286"/>
      <c r="T239" s="286"/>
      <c r="U239" s="785"/>
      <c r="V239" s="286"/>
    </row>
    <row r="240" spans="1:22" x14ac:dyDescent="0.25">
      <c r="A240" s="286"/>
      <c r="B240" s="286"/>
      <c r="C240" s="286"/>
      <c r="D240" s="286"/>
      <c r="E240" s="286"/>
      <c r="F240" s="286"/>
      <c r="H240" s="286"/>
      <c r="I240" s="286"/>
      <c r="J240" s="286"/>
      <c r="K240" s="286"/>
      <c r="L240" s="286"/>
      <c r="M240" s="286"/>
      <c r="N240" s="286"/>
      <c r="O240" s="286"/>
      <c r="P240" s="286"/>
      <c r="Q240" s="286"/>
      <c r="R240" s="286"/>
      <c r="S240" s="286"/>
      <c r="T240" s="286"/>
      <c r="U240" s="785"/>
      <c r="V240" s="286"/>
    </row>
    <row r="241" spans="1:22" x14ac:dyDescent="0.25">
      <c r="A241" s="286"/>
      <c r="B241" s="286"/>
      <c r="C241" s="286"/>
      <c r="D241" s="286"/>
      <c r="E241" s="286"/>
      <c r="F241" s="286"/>
      <c r="H241" s="286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785"/>
      <c r="V241" s="286"/>
    </row>
    <row r="242" spans="1:22" x14ac:dyDescent="0.25">
      <c r="A242" s="286"/>
      <c r="B242" s="286"/>
      <c r="C242" s="286"/>
      <c r="D242" s="286"/>
      <c r="E242" s="286"/>
      <c r="F242" s="286"/>
      <c r="H242" s="286"/>
      <c r="I242" s="286"/>
      <c r="J242" s="286"/>
      <c r="K242" s="286"/>
      <c r="L242" s="286"/>
      <c r="M242" s="286"/>
      <c r="N242" s="286"/>
      <c r="O242" s="286"/>
      <c r="P242" s="286"/>
      <c r="Q242" s="286"/>
      <c r="R242" s="286"/>
      <c r="S242" s="286"/>
      <c r="T242" s="286"/>
      <c r="U242" s="785"/>
      <c r="V242" s="286"/>
    </row>
    <row r="243" spans="1:22" x14ac:dyDescent="0.25">
      <c r="A243" s="286"/>
      <c r="B243" s="286"/>
      <c r="C243" s="286"/>
      <c r="D243" s="286"/>
      <c r="E243" s="286"/>
      <c r="F243" s="286"/>
      <c r="H243" s="286"/>
      <c r="I243" s="286"/>
      <c r="J243" s="286"/>
      <c r="K243" s="286"/>
      <c r="L243" s="286"/>
      <c r="M243" s="286"/>
      <c r="N243" s="286"/>
      <c r="O243" s="286"/>
      <c r="P243" s="286"/>
      <c r="Q243" s="286"/>
      <c r="R243" s="286"/>
      <c r="S243" s="286"/>
      <c r="T243" s="286"/>
      <c r="U243" s="785"/>
      <c r="V243" s="286"/>
    </row>
    <row r="244" spans="1:22" x14ac:dyDescent="0.25">
      <c r="A244" s="286"/>
      <c r="B244" s="286"/>
      <c r="C244" s="286"/>
      <c r="D244" s="286"/>
      <c r="E244" s="286"/>
      <c r="F244" s="286"/>
      <c r="H244" s="286"/>
      <c r="I244" s="286"/>
      <c r="J244" s="286"/>
      <c r="K244" s="286"/>
      <c r="L244" s="286"/>
      <c r="M244" s="286"/>
      <c r="N244" s="286"/>
      <c r="O244" s="286"/>
      <c r="P244" s="286"/>
      <c r="Q244" s="286"/>
      <c r="R244" s="286"/>
      <c r="S244" s="286"/>
      <c r="T244" s="286"/>
      <c r="U244" s="785"/>
      <c r="V244" s="286"/>
    </row>
    <row r="245" spans="1:22" x14ac:dyDescent="0.25">
      <c r="A245" s="286"/>
      <c r="B245" s="286"/>
      <c r="C245" s="286"/>
      <c r="D245" s="286"/>
      <c r="E245" s="286"/>
      <c r="F245" s="286"/>
      <c r="H245" s="286"/>
      <c r="I245" s="286"/>
      <c r="J245" s="286"/>
      <c r="K245" s="286"/>
      <c r="L245" s="286"/>
      <c r="M245" s="286"/>
      <c r="N245" s="286"/>
      <c r="O245" s="286"/>
      <c r="P245" s="286"/>
      <c r="Q245" s="286"/>
      <c r="R245" s="286"/>
      <c r="S245" s="286"/>
      <c r="T245" s="286"/>
      <c r="U245" s="785"/>
      <c r="V245" s="286"/>
    </row>
    <row r="246" spans="1:22" x14ac:dyDescent="0.25">
      <c r="A246" s="286"/>
      <c r="B246" s="286"/>
      <c r="C246" s="286"/>
      <c r="D246" s="286"/>
      <c r="E246" s="286"/>
      <c r="F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785"/>
      <c r="V246" s="286"/>
    </row>
    <row r="247" spans="1:22" x14ac:dyDescent="0.25">
      <c r="A247" s="286"/>
      <c r="B247" s="286"/>
      <c r="C247" s="286"/>
      <c r="D247" s="286"/>
      <c r="E247" s="286"/>
      <c r="F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785"/>
      <c r="V247" s="286"/>
    </row>
    <row r="248" spans="1:22" x14ac:dyDescent="0.25">
      <c r="A248" s="286"/>
      <c r="B248" s="286"/>
      <c r="C248" s="286"/>
      <c r="D248" s="286"/>
      <c r="E248" s="286"/>
      <c r="F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785"/>
      <c r="V248" s="286"/>
    </row>
    <row r="249" spans="1:22" x14ac:dyDescent="0.25">
      <c r="A249" s="286"/>
      <c r="B249" s="286"/>
      <c r="C249" s="286"/>
      <c r="D249" s="286"/>
      <c r="E249" s="286"/>
      <c r="F249" s="286"/>
      <c r="H249" s="286"/>
      <c r="I249" s="286"/>
      <c r="J249" s="286"/>
      <c r="K249" s="286"/>
      <c r="L249" s="286"/>
      <c r="M249" s="286"/>
      <c r="N249" s="286"/>
      <c r="O249" s="286"/>
      <c r="P249" s="286"/>
      <c r="Q249" s="286"/>
      <c r="R249" s="286"/>
      <c r="S249" s="286"/>
      <c r="T249" s="286"/>
      <c r="U249" s="785"/>
      <c r="V249" s="286"/>
    </row>
    <row r="250" spans="1:22" x14ac:dyDescent="0.25">
      <c r="A250" s="286"/>
      <c r="B250" s="286"/>
      <c r="C250" s="286"/>
      <c r="D250" s="286"/>
      <c r="E250" s="286"/>
      <c r="F250" s="286"/>
      <c r="H250" s="286"/>
      <c r="I250" s="286"/>
      <c r="J250" s="286"/>
      <c r="K250" s="286"/>
      <c r="L250" s="286"/>
      <c r="M250" s="286"/>
      <c r="N250" s="286"/>
      <c r="O250" s="286"/>
      <c r="P250" s="286"/>
      <c r="Q250" s="286"/>
      <c r="R250" s="286"/>
      <c r="S250" s="286"/>
      <c r="T250" s="286"/>
      <c r="U250" s="785"/>
      <c r="V250" s="286"/>
    </row>
    <row r="251" spans="1:22" x14ac:dyDescent="0.25">
      <c r="A251" s="286"/>
      <c r="B251" s="286"/>
      <c r="C251" s="286"/>
      <c r="D251" s="286"/>
      <c r="E251" s="286"/>
      <c r="F251" s="286"/>
      <c r="H251" s="286"/>
      <c r="I251" s="286"/>
      <c r="J251" s="286"/>
      <c r="K251" s="286"/>
      <c r="L251" s="286"/>
      <c r="M251" s="286"/>
      <c r="N251" s="286"/>
      <c r="O251" s="286"/>
      <c r="P251" s="286"/>
      <c r="Q251" s="286"/>
      <c r="R251" s="286"/>
      <c r="S251" s="286"/>
      <c r="T251" s="286"/>
      <c r="U251" s="785"/>
      <c r="V251" s="286"/>
    </row>
    <row r="252" spans="1:22" x14ac:dyDescent="0.25">
      <c r="A252" s="286"/>
      <c r="B252" s="286"/>
      <c r="C252" s="286"/>
      <c r="D252" s="286"/>
      <c r="E252" s="286"/>
      <c r="F252" s="286"/>
      <c r="H252" s="286"/>
      <c r="I252" s="286"/>
      <c r="J252" s="286"/>
      <c r="K252" s="286"/>
      <c r="L252" s="286"/>
      <c r="M252" s="286"/>
      <c r="N252" s="286"/>
      <c r="O252" s="286"/>
      <c r="P252" s="286"/>
      <c r="Q252" s="286"/>
      <c r="R252" s="286"/>
      <c r="S252" s="286"/>
      <c r="T252" s="286"/>
      <c r="U252" s="785"/>
      <c r="V252" s="286"/>
    </row>
    <row r="253" spans="1:22" x14ac:dyDescent="0.25">
      <c r="A253" s="286"/>
      <c r="B253" s="286"/>
      <c r="C253" s="286"/>
      <c r="D253" s="286"/>
      <c r="E253" s="286"/>
      <c r="F253" s="286"/>
      <c r="H253" s="286"/>
      <c r="I253" s="286"/>
      <c r="J253" s="286"/>
      <c r="K253" s="286"/>
      <c r="L253" s="286"/>
      <c r="M253" s="286"/>
      <c r="N253" s="286"/>
      <c r="O253" s="286"/>
      <c r="P253" s="286"/>
      <c r="Q253" s="286"/>
      <c r="R253" s="286"/>
      <c r="S253" s="286"/>
      <c r="T253" s="286"/>
      <c r="U253" s="785"/>
      <c r="V253" s="286"/>
    </row>
    <row r="254" spans="1:22" x14ac:dyDescent="0.25">
      <c r="A254" s="286"/>
      <c r="B254" s="286"/>
      <c r="C254" s="286"/>
      <c r="D254" s="286"/>
      <c r="E254" s="286"/>
      <c r="F254" s="286"/>
      <c r="H254" s="286"/>
      <c r="I254" s="286"/>
      <c r="J254" s="286"/>
      <c r="K254" s="286"/>
      <c r="L254" s="286"/>
      <c r="M254" s="286"/>
      <c r="N254" s="286"/>
      <c r="O254" s="286"/>
      <c r="P254" s="286"/>
      <c r="Q254" s="286"/>
      <c r="R254" s="286"/>
      <c r="S254" s="286"/>
      <c r="T254" s="286"/>
      <c r="U254" s="785"/>
      <c r="V254" s="286"/>
    </row>
    <row r="255" spans="1:22" x14ac:dyDescent="0.25">
      <c r="A255" s="286"/>
      <c r="B255" s="286"/>
      <c r="C255" s="286"/>
      <c r="D255" s="286"/>
      <c r="E255" s="286"/>
      <c r="F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785"/>
      <c r="V255" s="286"/>
    </row>
    <row r="256" spans="1:22" x14ac:dyDescent="0.25">
      <c r="A256" s="286"/>
      <c r="B256" s="286"/>
      <c r="C256" s="286"/>
      <c r="D256" s="286"/>
      <c r="E256" s="286"/>
      <c r="F256" s="286"/>
      <c r="H256" s="286"/>
      <c r="I256" s="286"/>
      <c r="J256" s="286"/>
      <c r="K256" s="286"/>
      <c r="L256" s="286"/>
      <c r="M256" s="286"/>
      <c r="N256" s="286"/>
      <c r="O256" s="286"/>
      <c r="P256" s="286"/>
      <c r="Q256" s="286"/>
      <c r="R256" s="286"/>
      <c r="S256" s="286"/>
      <c r="T256" s="286"/>
      <c r="U256" s="785"/>
      <c r="V256" s="286"/>
    </row>
    <row r="257" spans="1:22" x14ac:dyDescent="0.25">
      <c r="A257" s="286"/>
      <c r="B257" s="286"/>
      <c r="C257" s="286"/>
      <c r="D257" s="286"/>
      <c r="E257" s="286"/>
      <c r="F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785"/>
      <c r="V257" s="286"/>
    </row>
    <row r="258" spans="1:22" x14ac:dyDescent="0.25">
      <c r="A258" s="286"/>
      <c r="B258" s="286"/>
      <c r="C258" s="286"/>
      <c r="D258" s="286"/>
      <c r="E258" s="286"/>
      <c r="F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785"/>
      <c r="V258" s="286"/>
    </row>
    <row r="259" spans="1:22" x14ac:dyDescent="0.25">
      <c r="A259" s="286"/>
      <c r="B259" s="286"/>
      <c r="C259" s="286"/>
      <c r="D259" s="286"/>
      <c r="E259" s="286"/>
      <c r="F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785"/>
      <c r="V259" s="286"/>
    </row>
    <row r="260" spans="1:22" x14ac:dyDescent="0.25">
      <c r="A260" s="286"/>
      <c r="B260" s="286"/>
      <c r="C260" s="286"/>
      <c r="D260" s="286"/>
      <c r="E260" s="286"/>
      <c r="F260" s="286"/>
      <c r="H260" s="286"/>
      <c r="I260" s="286"/>
      <c r="J260" s="286"/>
      <c r="K260" s="286"/>
      <c r="L260" s="286"/>
      <c r="M260" s="286"/>
      <c r="N260" s="286"/>
      <c r="O260" s="286"/>
      <c r="P260" s="286"/>
      <c r="Q260" s="286"/>
      <c r="R260" s="286"/>
      <c r="S260" s="286"/>
      <c r="T260" s="286"/>
      <c r="U260" s="785"/>
      <c r="V260" s="286"/>
    </row>
    <row r="261" spans="1:22" x14ac:dyDescent="0.25">
      <c r="A261" s="286"/>
      <c r="B261" s="286"/>
      <c r="C261" s="286"/>
      <c r="D261" s="286"/>
      <c r="E261" s="286"/>
      <c r="F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785"/>
      <c r="V261" s="286"/>
    </row>
    <row r="262" spans="1:22" x14ac:dyDescent="0.25">
      <c r="A262" s="286"/>
      <c r="B262" s="286"/>
      <c r="C262" s="286"/>
      <c r="D262" s="286"/>
      <c r="E262" s="286"/>
      <c r="F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785"/>
      <c r="V262" s="286"/>
    </row>
    <row r="263" spans="1:22" x14ac:dyDescent="0.25">
      <c r="A263" s="286"/>
      <c r="B263" s="286"/>
      <c r="C263" s="286"/>
      <c r="D263" s="286"/>
      <c r="E263" s="286"/>
      <c r="F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785"/>
      <c r="V263" s="286"/>
    </row>
    <row r="264" spans="1:22" x14ac:dyDescent="0.25">
      <c r="A264" s="286"/>
      <c r="B264" s="286"/>
      <c r="C264" s="286"/>
      <c r="D264" s="286"/>
      <c r="E264" s="286"/>
      <c r="F264" s="286"/>
      <c r="H264" s="286"/>
      <c r="I264" s="286"/>
      <c r="J264" s="286"/>
      <c r="K264" s="286"/>
      <c r="L264" s="286"/>
      <c r="M264" s="286"/>
      <c r="N264" s="286"/>
      <c r="O264" s="286"/>
      <c r="P264" s="286"/>
      <c r="Q264" s="286"/>
      <c r="R264" s="286"/>
      <c r="S264" s="286"/>
      <c r="T264" s="286"/>
      <c r="U264" s="785"/>
      <c r="V264" s="286"/>
    </row>
    <row r="265" spans="1:22" x14ac:dyDescent="0.25">
      <c r="A265" s="286"/>
      <c r="B265" s="286"/>
      <c r="C265" s="286"/>
      <c r="D265" s="286"/>
      <c r="E265" s="286"/>
      <c r="F265" s="286"/>
      <c r="H265" s="286"/>
      <c r="I265" s="286"/>
      <c r="J265" s="286"/>
      <c r="K265" s="286"/>
      <c r="L265" s="286"/>
      <c r="M265" s="286"/>
      <c r="N265" s="286"/>
      <c r="O265" s="286"/>
      <c r="P265" s="286"/>
      <c r="Q265" s="286"/>
      <c r="R265" s="286"/>
      <c r="S265" s="286"/>
      <c r="T265" s="286"/>
      <c r="U265" s="785"/>
      <c r="V265" s="286"/>
    </row>
    <row r="266" spans="1:22" x14ac:dyDescent="0.25">
      <c r="A266" s="286"/>
      <c r="B266" s="286"/>
      <c r="C266" s="286"/>
      <c r="D266" s="286"/>
      <c r="E266" s="286"/>
      <c r="F266" s="286"/>
      <c r="H266" s="286"/>
      <c r="I266" s="286"/>
      <c r="J266" s="286"/>
      <c r="K266" s="286"/>
      <c r="L266" s="286"/>
      <c r="M266" s="286"/>
      <c r="N266" s="286"/>
      <c r="O266" s="286"/>
      <c r="P266" s="286"/>
      <c r="Q266" s="286"/>
      <c r="R266" s="286"/>
      <c r="S266" s="286"/>
      <c r="T266" s="286"/>
      <c r="U266" s="785"/>
      <c r="V266" s="286"/>
    </row>
    <row r="267" spans="1:22" x14ac:dyDescent="0.25">
      <c r="A267" s="286"/>
      <c r="B267" s="286"/>
      <c r="C267" s="286"/>
      <c r="D267" s="286"/>
      <c r="E267" s="286"/>
      <c r="F267" s="286"/>
      <c r="H267" s="286"/>
      <c r="I267" s="286"/>
      <c r="J267" s="286"/>
      <c r="K267" s="286"/>
      <c r="L267" s="286"/>
      <c r="M267" s="286"/>
      <c r="N267" s="286"/>
      <c r="O267" s="286"/>
      <c r="P267" s="286"/>
      <c r="Q267" s="286"/>
      <c r="R267" s="286"/>
      <c r="S267" s="286"/>
      <c r="T267" s="286"/>
      <c r="U267" s="785"/>
      <c r="V267" s="286"/>
    </row>
    <row r="268" spans="1:22" x14ac:dyDescent="0.25">
      <c r="A268" s="286"/>
      <c r="B268" s="286"/>
      <c r="C268" s="286"/>
      <c r="D268" s="286"/>
      <c r="E268" s="286"/>
      <c r="F268" s="286"/>
      <c r="H268" s="286"/>
      <c r="I268" s="286"/>
      <c r="J268" s="286"/>
      <c r="K268" s="286"/>
      <c r="L268" s="286"/>
      <c r="M268" s="286"/>
      <c r="N268" s="286"/>
      <c r="O268" s="286"/>
      <c r="P268" s="286"/>
      <c r="Q268" s="286"/>
      <c r="R268" s="286"/>
      <c r="S268" s="286"/>
      <c r="T268" s="286"/>
      <c r="U268" s="785"/>
      <c r="V268" s="286"/>
    </row>
    <row r="269" spans="1:22" x14ac:dyDescent="0.25">
      <c r="A269" s="286"/>
      <c r="B269" s="286"/>
      <c r="C269" s="286"/>
      <c r="D269" s="286"/>
      <c r="E269" s="286"/>
      <c r="F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785"/>
      <c r="V269" s="286"/>
    </row>
    <row r="270" spans="1:22" x14ac:dyDescent="0.25">
      <c r="A270" s="286"/>
      <c r="B270" s="286"/>
      <c r="C270" s="286"/>
      <c r="D270" s="286"/>
      <c r="E270" s="286"/>
      <c r="F270" s="286"/>
      <c r="H270" s="286"/>
      <c r="I270" s="286"/>
      <c r="J270" s="286"/>
      <c r="K270" s="286"/>
      <c r="L270" s="286"/>
      <c r="M270" s="286"/>
      <c r="N270" s="286"/>
      <c r="O270" s="286"/>
      <c r="P270" s="286"/>
      <c r="Q270" s="286"/>
      <c r="R270" s="286"/>
      <c r="S270" s="286"/>
      <c r="T270" s="286"/>
      <c r="U270" s="785"/>
      <c r="V270" s="286"/>
    </row>
    <row r="271" spans="1:22" x14ac:dyDescent="0.25">
      <c r="A271" s="286"/>
      <c r="B271" s="286"/>
      <c r="C271" s="286"/>
      <c r="D271" s="286"/>
      <c r="E271" s="286"/>
      <c r="F271" s="286"/>
      <c r="H271" s="286"/>
      <c r="I271" s="286"/>
      <c r="J271" s="286"/>
      <c r="K271" s="286"/>
      <c r="L271" s="286"/>
      <c r="M271" s="286"/>
      <c r="N271" s="286"/>
      <c r="O271" s="286"/>
      <c r="P271" s="286"/>
      <c r="Q271" s="286"/>
      <c r="R271" s="286"/>
      <c r="S271" s="286"/>
      <c r="T271" s="286"/>
      <c r="U271" s="785"/>
      <c r="V271" s="286"/>
    </row>
    <row r="272" spans="1:22" x14ac:dyDescent="0.25">
      <c r="A272" s="286"/>
      <c r="B272" s="286"/>
      <c r="C272" s="286"/>
      <c r="D272" s="286"/>
      <c r="E272" s="286"/>
      <c r="F272" s="286"/>
      <c r="H272" s="286"/>
      <c r="I272" s="286"/>
      <c r="J272" s="286"/>
      <c r="K272" s="286"/>
      <c r="L272" s="286"/>
      <c r="M272" s="286"/>
      <c r="N272" s="286"/>
      <c r="O272" s="286"/>
      <c r="P272" s="286"/>
      <c r="Q272" s="286"/>
      <c r="R272" s="286"/>
      <c r="S272" s="286"/>
      <c r="T272" s="286"/>
      <c r="U272" s="785"/>
      <c r="V272" s="286"/>
    </row>
    <row r="273" spans="1:22" x14ac:dyDescent="0.25">
      <c r="A273" s="286"/>
      <c r="B273" s="286"/>
      <c r="C273" s="286"/>
      <c r="D273" s="286"/>
      <c r="E273" s="286"/>
      <c r="F273" s="286"/>
      <c r="H273" s="286"/>
      <c r="I273" s="286"/>
      <c r="J273" s="286"/>
      <c r="K273" s="286"/>
      <c r="L273" s="286"/>
      <c r="M273" s="286"/>
      <c r="N273" s="286"/>
      <c r="O273" s="286"/>
      <c r="P273" s="286"/>
      <c r="Q273" s="286"/>
      <c r="R273" s="286"/>
      <c r="S273" s="286"/>
      <c r="T273" s="286"/>
      <c r="U273" s="785"/>
      <c r="V273" s="286"/>
    </row>
    <row r="274" spans="1:22" x14ac:dyDescent="0.25">
      <c r="A274" s="286"/>
      <c r="B274" s="286"/>
      <c r="C274" s="286"/>
      <c r="D274" s="286"/>
      <c r="E274" s="286"/>
      <c r="F274" s="286"/>
      <c r="H274" s="286"/>
      <c r="I274" s="286"/>
      <c r="J274" s="286"/>
      <c r="K274" s="286"/>
      <c r="L274" s="286"/>
      <c r="M274" s="286"/>
      <c r="N274" s="286"/>
      <c r="O274" s="286"/>
      <c r="P274" s="286"/>
      <c r="Q274" s="286"/>
      <c r="R274" s="286"/>
      <c r="S274" s="286"/>
      <c r="T274" s="286"/>
      <c r="U274" s="785"/>
      <c r="V274" s="286"/>
    </row>
    <row r="275" spans="1:22" x14ac:dyDescent="0.25">
      <c r="A275" s="286"/>
      <c r="B275" s="286"/>
      <c r="C275" s="286"/>
      <c r="D275" s="286"/>
      <c r="E275" s="286"/>
      <c r="F275" s="286"/>
      <c r="H275" s="286"/>
      <c r="I275" s="286"/>
      <c r="J275" s="286"/>
      <c r="K275" s="286"/>
      <c r="L275" s="286"/>
      <c r="M275" s="286"/>
      <c r="N275" s="286"/>
      <c r="O275" s="286"/>
      <c r="P275" s="286"/>
      <c r="Q275" s="286"/>
      <c r="R275" s="286"/>
      <c r="S275" s="286"/>
      <c r="T275" s="286"/>
      <c r="U275" s="785"/>
      <c r="V275" s="286"/>
    </row>
    <row r="276" spans="1:22" x14ac:dyDescent="0.25">
      <c r="A276" s="286"/>
      <c r="B276" s="286"/>
      <c r="C276" s="286"/>
      <c r="D276" s="286"/>
      <c r="E276" s="286"/>
      <c r="F276" s="286"/>
      <c r="H276" s="286"/>
      <c r="I276" s="286"/>
      <c r="J276" s="286"/>
      <c r="K276" s="286"/>
      <c r="L276" s="286"/>
      <c r="M276" s="286"/>
      <c r="N276" s="286"/>
      <c r="O276" s="286"/>
      <c r="P276" s="286"/>
      <c r="Q276" s="286"/>
      <c r="R276" s="286"/>
      <c r="S276" s="286"/>
      <c r="T276" s="286"/>
      <c r="U276" s="785"/>
      <c r="V276" s="286"/>
    </row>
    <row r="277" spans="1:22" x14ac:dyDescent="0.25">
      <c r="A277" s="286"/>
      <c r="B277" s="286"/>
      <c r="C277" s="286"/>
      <c r="D277" s="286"/>
      <c r="E277" s="286"/>
      <c r="F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785"/>
      <c r="V277" s="286"/>
    </row>
    <row r="278" spans="1:22" x14ac:dyDescent="0.25">
      <c r="A278" s="286"/>
      <c r="B278" s="286"/>
      <c r="C278" s="286"/>
      <c r="D278" s="286"/>
      <c r="E278" s="286"/>
      <c r="F278" s="286"/>
      <c r="H278" s="286"/>
      <c r="I278" s="286"/>
      <c r="J278" s="286"/>
      <c r="K278" s="286"/>
      <c r="L278" s="286"/>
      <c r="M278" s="286"/>
      <c r="N278" s="286"/>
      <c r="O278" s="286"/>
      <c r="P278" s="286"/>
      <c r="Q278" s="286"/>
      <c r="R278" s="286"/>
      <c r="S278" s="286"/>
      <c r="T278" s="286"/>
      <c r="U278" s="785"/>
      <c r="V278" s="286"/>
    </row>
    <row r="279" spans="1:22" x14ac:dyDescent="0.25">
      <c r="A279" s="286"/>
      <c r="B279" s="286"/>
      <c r="C279" s="286"/>
      <c r="D279" s="286"/>
      <c r="E279" s="286"/>
      <c r="F279" s="286"/>
      <c r="H279" s="286"/>
      <c r="I279" s="286"/>
      <c r="J279" s="286"/>
      <c r="K279" s="286"/>
      <c r="L279" s="286"/>
      <c r="M279" s="286"/>
      <c r="N279" s="286"/>
      <c r="O279" s="286"/>
      <c r="P279" s="286"/>
      <c r="Q279" s="286"/>
      <c r="R279" s="286"/>
      <c r="S279" s="286"/>
      <c r="T279" s="286"/>
      <c r="U279" s="785"/>
      <c r="V279" s="286"/>
    </row>
    <row r="280" spans="1:22" x14ac:dyDescent="0.25">
      <c r="A280" s="286"/>
      <c r="B280" s="286"/>
      <c r="C280" s="286"/>
      <c r="D280" s="286"/>
      <c r="E280" s="286"/>
      <c r="F280" s="286"/>
      <c r="H280" s="286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785"/>
      <c r="V280" s="286"/>
    </row>
    <row r="281" spans="1:22" x14ac:dyDescent="0.25">
      <c r="A281" s="286"/>
      <c r="B281" s="286"/>
      <c r="C281" s="286"/>
      <c r="D281" s="286"/>
      <c r="E281" s="286"/>
      <c r="F281" s="286"/>
      <c r="H281" s="286"/>
      <c r="I281" s="286"/>
      <c r="J281" s="286"/>
      <c r="K281" s="286"/>
      <c r="L281" s="286"/>
      <c r="M281" s="286"/>
      <c r="N281" s="286"/>
      <c r="O281" s="286"/>
      <c r="P281" s="286"/>
      <c r="Q281" s="286"/>
      <c r="R281" s="286"/>
      <c r="S281" s="286"/>
      <c r="T281" s="286"/>
      <c r="U281" s="785"/>
      <c r="V281" s="286"/>
    </row>
    <row r="282" spans="1:22" x14ac:dyDescent="0.25">
      <c r="A282" s="286"/>
      <c r="B282" s="286"/>
      <c r="C282" s="286"/>
      <c r="D282" s="286"/>
      <c r="E282" s="286"/>
      <c r="F282" s="286"/>
      <c r="H282" s="286"/>
      <c r="I282" s="286"/>
      <c r="J282" s="286"/>
      <c r="K282" s="286"/>
      <c r="L282" s="286"/>
      <c r="M282" s="286"/>
      <c r="N282" s="286"/>
      <c r="O282" s="286"/>
      <c r="P282" s="286"/>
      <c r="Q282" s="286"/>
      <c r="R282" s="286"/>
      <c r="S282" s="286"/>
      <c r="T282" s="286"/>
      <c r="U282" s="785"/>
      <c r="V282" s="286"/>
    </row>
    <row r="283" spans="1:22" x14ac:dyDescent="0.25">
      <c r="A283" s="286"/>
      <c r="B283" s="286"/>
      <c r="C283" s="286"/>
      <c r="D283" s="286"/>
      <c r="E283" s="286"/>
      <c r="F283" s="286"/>
      <c r="H283" s="286"/>
      <c r="I283" s="286"/>
      <c r="J283" s="286"/>
      <c r="K283" s="286"/>
      <c r="L283" s="286"/>
      <c r="M283" s="286"/>
      <c r="N283" s="286"/>
      <c r="O283" s="286"/>
      <c r="P283" s="286"/>
      <c r="Q283" s="286"/>
      <c r="R283" s="286"/>
      <c r="S283" s="286"/>
      <c r="T283" s="286"/>
      <c r="U283" s="785"/>
      <c r="V283" s="286"/>
    </row>
    <row r="284" spans="1:22" x14ac:dyDescent="0.25">
      <c r="A284" s="286"/>
      <c r="B284" s="286"/>
      <c r="C284" s="286"/>
      <c r="D284" s="286"/>
      <c r="E284" s="286"/>
      <c r="F284" s="286"/>
      <c r="H284" s="286"/>
      <c r="I284" s="286"/>
      <c r="J284" s="286"/>
      <c r="K284" s="286"/>
      <c r="L284" s="286"/>
      <c r="M284" s="286"/>
      <c r="N284" s="286"/>
      <c r="O284" s="286"/>
      <c r="P284" s="286"/>
      <c r="Q284" s="286"/>
      <c r="R284" s="286"/>
      <c r="S284" s="286"/>
      <c r="T284" s="286"/>
      <c r="U284" s="785"/>
      <c r="V284" s="286"/>
    </row>
    <row r="285" spans="1:22" x14ac:dyDescent="0.25">
      <c r="A285" s="286"/>
      <c r="B285" s="286"/>
      <c r="C285" s="286"/>
      <c r="D285" s="286"/>
      <c r="E285" s="286"/>
      <c r="F285" s="286"/>
      <c r="H285" s="286"/>
      <c r="I285" s="286"/>
      <c r="J285" s="286"/>
      <c r="K285" s="286"/>
      <c r="L285" s="286"/>
      <c r="M285" s="286"/>
      <c r="N285" s="286"/>
      <c r="O285" s="286"/>
      <c r="P285" s="286"/>
      <c r="Q285" s="286"/>
      <c r="R285" s="286"/>
      <c r="S285" s="286"/>
      <c r="T285" s="286"/>
      <c r="U285" s="785"/>
      <c r="V285" s="286"/>
    </row>
    <row r="286" spans="1:22" x14ac:dyDescent="0.25">
      <c r="A286" s="286"/>
      <c r="B286" s="286"/>
      <c r="C286" s="286"/>
      <c r="D286" s="286"/>
      <c r="E286" s="286"/>
      <c r="F286" s="286"/>
      <c r="H286" s="286"/>
      <c r="I286" s="286"/>
      <c r="J286" s="286"/>
      <c r="K286" s="286"/>
      <c r="L286" s="286"/>
      <c r="M286" s="286"/>
      <c r="N286" s="286"/>
      <c r="O286" s="286"/>
      <c r="P286" s="286"/>
      <c r="Q286" s="286"/>
      <c r="R286" s="286"/>
      <c r="S286" s="286"/>
      <c r="T286" s="286"/>
      <c r="U286" s="785"/>
      <c r="V286" s="286"/>
    </row>
    <row r="287" spans="1:22" x14ac:dyDescent="0.25">
      <c r="A287" s="286"/>
      <c r="B287" s="286"/>
      <c r="C287" s="286"/>
      <c r="D287" s="286"/>
      <c r="E287" s="286"/>
      <c r="F287" s="286"/>
      <c r="H287" s="286"/>
      <c r="I287" s="286"/>
      <c r="J287" s="286"/>
      <c r="K287" s="286"/>
      <c r="L287" s="286"/>
      <c r="M287" s="286"/>
      <c r="N287" s="286"/>
      <c r="O287" s="286"/>
      <c r="P287" s="286"/>
      <c r="Q287" s="286"/>
      <c r="R287" s="286"/>
      <c r="S287" s="286"/>
      <c r="T287" s="286"/>
      <c r="U287" s="785"/>
      <c r="V287" s="286"/>
    </row>
    <row r="288" spans="1:22" x14ac:dyDescent="0.25">
      <c r="A288" s="286"/>
      <c r="B288" s="286"/>
      <c r="C288" s="286"/>
      <c r="D288" s="286"/>
      <c r="E288" s="286"/>
      <c r="F288" s="286"/>
      <c r="H288" s="286"/>
      <c r="I288" s="286"/>
      <c r="J288" s="286"/>
      <c r="K288" s="286"/>
      <c r="L288" s="286"/>
      <c r="M288" s="286"/>
      <c r="N288" s="286"/>
      <c r="O288" s="286"/>
      <c r="P288" s="286"/>
      <c r="Q288" s="286"/>
      <c r="R288" s="286"/>
      <c r="S288" s="286"/>
      <c r="T288" s="286"/>
      <c r="U288" s="785"/>
      <c r="V288" s="286"/>
    </row>
    <row r="289" spans="1:22" x14ac:dyDescent="0.25">
      <c r="A289" s="286"/>
      <c r="B289" s="286"/>
      <c r="C289" s="286"/>
      <c r="D289" s="286"/>
      <c r="E289" s="286"/>
      <c r="F289" s="286"/>
      <c r="H289" s="286"/>
      <c r="I289" s="286"/>
      <c r="J289" s="286"/>
      <c r="K289" s="286"/>
      <c r="L289" s="286"/>
      <c r="M289" s="286"/>
      <c r="N289" s="286"/>
      <c r="O289" s="286"/>
      <c r="P289" s="286"/>
      <c r="Q289" s="286"/>
      <c r="R289" s="286"/>
      <c r="S289" s="286"/>
      <c r="T289" s="286"/>
      <c r="U289" s="785"/>
      <c r="V289" s="286"/>
    </row>
    <row r="290" spans="1:22" x14ac:dyDescent="0.25">
      <c r="A290" s="286"/>
      <c r="B290" s="286"/>
      <c r="C290" s="286"/>
      <c r="D290" s="286"/>
      <c r="E290" s="286"/>
      <c r="F290" s="286"/>
      <c r="H290" s="286"/>
      <c r="I290" s="286"/>
      <c r="J290" s="286"/>
      <c r="K290" s="286"/>
      <c r="L290" s="286"/>
      <c r="M290" s="286"/>
      <c r="N290" s="286"/>
      <c r="O290" s="286"/>
      <c r="P290" s="286"/>
      <c r="Q290" s="286"/>
      <c r="R290" s="286"/>
      <c r="S290" s="286"/>
      <c r="T290" s="286"/>
      <c r="U290" s="785"/>
      <c r="V290" s="286"/>
    </row>
    <row r="291" spans="1:22" x14ac:dyDescent="0.25">
      <c r="A291" s="286"/>
      <c r="B291" s="286"/>
      <c r="C291" s="286"/>
      <c r="D291" s="286"/>
      <c r="E291" s="286"/>
      <c r="F291" s="286"/>
      <c r="H291" s="286"/>
      <c r="I291" s="286"/>
      <c r="J291" s="286"/>
      <c r="K291" s="286"/>
      <c r="L291" s="286"/>
      <c r="M291" s="286"/>
      <c r="N291" s="286"/>
      <c r="O291" s="286"/>
      <c r="P291" s="286"/>
      <c r="Q291" s="286"/>
      <c r="R291" s="286"/>
      <c r="S291" s="286"/>
      <c r="T291" s="286"/>
      <c r="U291" s="785"/>
      <c r="V291" s="286"/>
    </row>
    <row r="292" spans="1:22" x14ac:dyDescent="0.25">
      <c r="A292" s="286"/>
      <c r="B292" s="286"/>
      <c r="C292" s="286"/>
      <c r="D292" s="286"/>
      <c r="E292" s="286"/>
      <c r="F292" s="286"/>
      <c r="H292" s="286"/>
      <c r="I292" s="286"/>
      <c r="J292" s="286"/>
      <c r="K292" s="286"/>
      <c r="L292" s="286"/>
      <c r="M292" s="286"/>
      <c r="N292" s="286"/>
      <c r="O292" s="286"/>
      <c r="P292" s="286"/>
      <c r="Q292" s="286"/>
      <c r="R292" s="286"/>
      <c r="S292" s="286"/>
      <c r="T292" s="286"/>
      <c r="U292" s="785"/>
      <c r="V292" s="286"/>
    </row>
    <row r="293" spans="1:22" x14ac:dyDescent="0.25">
      <c r="A293" s="286"/>
      <c r="B293" s="286"/>
      <c r="C293" s="286"/>
      <c r="D293" s="286"/>
      <c r="E293" s="286"/>
      <c r="F293" s="286"/>
      <c r="H293" s="286"/>
      <c r="I293" s="286"/>
      <c r="J293" s="286"/>
      <c r="K293" s="286"/>
      <c r="L293" s="286"/>
      <c r="M293" s="286"/>
      <c r="N293" s="286"/>
      <c r="O293" s="286"/>
      <c r="P293" s="286"/>
      <c r="Q293" s="286"/>
      <c r="R293" s="286"/>
      <c r="S293" s="286"/>
      <c r="T293" s="286"/>
      <c r="U293" s="785"/>
      <c r="V293" s="286"/>
    </row>
    <row r="294" spans="1:22" x14ac:dyDescent="0.25">
      <c r="A294" s="286"/>
      <c r="B294" s="286"/>
      <c r="C294" s="286"/>
      <c r="D294" s="286"/>
      <c r="E294" s="286"/>
      <c r="F294" s="286"/>
      <c r="H294" s="286"/>
      <c r="I294" s="286"/>
      <c r="J294" s="286"/>
      <c r="K294" s="286"/>
      <c r="L294" s="286"/>
      <c r="M294" s="286"/>
      <c r="N294" s="286"/>
      <c r="O294" s="286"/>
      <c r="P294" s="286"/>
      <c r="Q294" s="286"/>
      <c r="R294" s="286"/>
      <c r="S294" s="286"/>
      <c r="T294" s="286"/>
      <c r="U294" s="785"/>
      <c r="V294" s="286"/>
    </row>
    <row r="295" spans="1:22" x14ac:dyDescent="0.25">
      <c r="A295" s="286"/>
      <c r="B295" s="286"/>
      <c r="C295" s="286"/>
      <c r="D295" s="286"/>
      <c r="E295" s="286"/>
      <c r="F295" s="286"/>
      <c r="H295" s="286"/>
      <c r="I295" s="286"/>
      <c r="J295" s="286"/>
      <c r="K295" s="286"/>
      <c r="L295" s="286"/>
      <c r="M295" s="286"/>
      <c r="N295" s="286"/>
      <c r="O295" s="286"/>
      <c r="P295" s="286"/>
      <c r="Q295" s="286"/>
      <c r="R295" s="286"/>
      <c r="S295" s="286"/>
      <c r="T295" s="286"/>
      <c r="U295" s="785"/>
      <c r="V295" s="286"/>
    </row>
    <row r="296" spans="1:22" x14ac:dyDescent="0.25">
      <c r="A296" s="286"/>
      <c r="B296" s="286"/>
      <c r="C296" s="286"/>
      <c r="D296" s="286"/>
      <c r="E296" s="286"/>
      <c r="F296" s="286"/>
      <c r="H296" s="286"/>
      <c r="I296" s="286"/>
      <c r="J296" s="286"/>
      <c r="K296" s="286"/>
      <c r="L296" s="286"/>
      <c r="M296" s="286"/>
      <c r="N296" s="286"/>
      <c r="O296" s="286"/>
      <c r="P296" s="286"/>
      <c r="Q296" s="286"/>
      <c r="R296" s="286"/>
      <c r="S296" s="286"/>
      <c r="T296" s="286"/>
      <c r="U296" s="785"/>
      <c r="V296" s="286"/>
    </row>
    <row r="297" spans="1:22" x14ac:dyDescent="0.25">
      <c r="A297" s="286"/>
      <c r="B297" s="286"/>
      <c r="C297" s="286"/>
      <c r="D297" s="286"/>
      <c r="E297" s="286"/>
      <c r="F297" s="286"/>
      <c r="H297" s="286"/>
      <c r="I297" s="286"/>
      <c r="J297" s="286"/>
      <c r="K297" s="286"/>
      <c r="L297" s="286"/>
      <c r="M297" s="286"/>
      <c r="N297" s="286"/>
      <c r="O297" s="286"/>
      <c r="P297" s="286"/>
      <c r="Q297" s="286"/>
      <c r="R297" s="286"/>
      <c r="S297" s="286"/>
      <c r="T297" s="286"/>
      <c r="U297" s="785"/>
      <c r="V297" s="286"/>
    </row>
    <row r="298" spans="1:22" x14ac:dyDescent="0.25">
      <c r="A298" s="286"/>
      <c r="B298" s="286"/>
      <c r="C298" s="286"/>
      <c r="D298" s="286"/>
      <c r="E298" s="286"/>
      <c r="F298" s="286"/>
      <c r="H298" s="286"/>
      <c r="I298" s="286"/>
      <c r="J298" s="286"/>
      <c r="K298" s="286"/>
      <c r="L298" s="286"/>
      <c r="M298" s="286"/>
      <c r="N298" s="286"/>
      <c r="O298" s="286"/>
      <c r="P298" s="286"/>
      <c r="Q298" s="286"/>
      <c r="R298" s="286"/>
      <c r="S298" s="286"/>
      <c r="T298" s="286"/>
      <c r="U298" s="785"/>
      <c r="V298" s="286"/>
    </row>
    <row r="299" spans="1:22" x14ac:dyDescent="0.25">
      <c r="A299" s="286"/>
      <c r="B299" s="286"/>
      <c r="C299" s="286"/>
      <c r="D299" s="286"/>
      <c r="E299" s="286"/>
      <c r="F299" s="286"/>
      <c r="H299" s="286"/>
      <c r="I299" s="286"/>
      <c r="J299" s="286"/>
      <c r="K299" s="286"/>
      <c r="L299" s="286"/>
      <c r="M299" s="286"/>
      <c r="N299" s="286"/>
      <c r="O299" s="286"/>
      <c r="P299" s="286"/>
      <c r="Q299" s="286"/>
      <c r="R299" s="286"/>
      <c r="S299" s="286"/>
      <c r="T299" s="286"/>
      <c r="U299" s="785"/>
      <c r="V299" s="286"/>
    </row>
    <row r="300" spans="1:22" x14ac:dyDescent="0.25">
      <c r="A300" s="286"/>
      <c r="B300" s="286"/>
      <c r="C300" s="286"/>
      <c r="D300" s="286"/>
      <c r="E300" s="286"/>
      <c r="F300" s="286"/>
      <c r="H300" s="286"/>
      <c r="I300" s="286"/>
      <c r="J300" s="286"/>
      <c r="K300" s="286"/>
      <c r="L300" s="286"/>
      <c r="M300" s="286"/>
      <c r="N300" s="286"/>
      <c r="O300" s="286"/>
      <c r="P300" s="286"/>
      <c r="Q300" s="286"/>
      <c r="R300" s="286"/>
      <c r="S300" s="286"/>
      <c r="T300" s="286"/>
      <c r="U300" s="785"/>
      <c r="V300" s="286"/>
    </row>
    <row r="301" spans="1:22" x14ac:dyDescent="0.25">
      <c r="A301" s="286"/>
      <c r="B301" s="286"/>
      <c r="C301" s="286"/>
      <c r="D301" s="286"/>
      <c r="E301" s="286"/>
      <c r="F301" s="286"/>
      <c r="H301" s="286"/>
      <c r="I301" s="286"/>
      <c r="J301" s="286"/>
      <c r="K301" s="286"/>
      <c r="L301" s="286"/>
      <c r="M301" s="286"/>
      <c r="N301" s="286"/>
      <c r="O301" s="286"/>
      <c r="P301" s="286"/>
      <c r="Q301" s="286"/>
      <c r="R301" s="286"/>
      <c r="S301" s="286"/>
      <c r="T301" s="286"/>
      <c r="U301" s="785"/>
      <c r="V301" s="286"/>
    </row>
    <row r="302" spans="1:22" x14ac:dyDescent="0.25">
      <c r="A302" s="286"/>
      <c r="B302" s="286"/>
      <c r="C302" s="286"/>
      <c r="D302" s="286"/>
      <c r="E302" s="286"/>
      <c r="F302" s="286"/>
      <c r="H302" s="286"/>
      <c r="I302" s="286"/>
      <c r="J302" s="286"/>
      <c r="K302" s="286"/>
      <c r="L302" s="286"/>
      <c r="M302" s="286"/>
      <c r="N302" s="286"/>
      <c r="O302" s="286"/>
      <c r="P302" s="286"/>
      <c r="Q302" s="286"/>
      <c r="R302" s="286"/>
      <c r="S302" s="286"/>
      <c r="T302" s="286"/>
      <c r="U302" s="785"/>
      <c r="V302" s="286"/>
    </row>
    <row r="303" spans="1:22" x14ac:dyDescent="0.25">
      <c r="A303" s="286"/>
      <c r="B303" s="286"/>
      <c r="C303" s="286"/>
      <c r="D303" s="286"/>
      <c r="E303" s="286"/>
      <c r="F303" s="286"/>
      <c r="H303" s="286"/>
      <c r="I303" s="286"/>
      <c r="J303" s="286"/>
      <c r="K303" s="286"/>
      <c r="L303" s="286"/>
      <c r="M303" s="286"/>
      <c r="N303" s="286"/>
      <c r="O303" s="286"/>
      <c r="P303" s="286"/>
      <c r="Q303" s="286"/>
      <c r="R303" s="286"/>
      <c r="S303" s="286"/>
      <c r="T303" s="286"/>
      <c r="U303" s="785"/>
      <c r="V303" s="286"/>
    </row>
    <row r="304" spans="1:22" x14ac:dyDescent="0.25">
      <c r="A304" s="286"/>
      <c r="B304" s="286"/>
      <c r="C304" s="286"/>
      <c r="D304" s="286"/>
      <c r="E304" s="286"/>
      <c r="F304" s="286"/>
      <c r="H304" s="286"/>
      <c r="I304" s="286"/>
      <c r="J304" s="286"/>
      <c r="K304" s="286"/>
      <c r="L304" s="286"/>
      <c r="M304" s="286"/>
      <c r="N304" s="286"/>
      <c r="O304" s="286"/>
      <c r="P304" s="286"/>
      <c r="Q304" s="286"/>
      <c r="R304" s="286"/>
      <c r="S304" s="286"/>
      <c r="T304" s="286"/>
      <c r="U304" s="785"/>
      <c r="V304" s="286"/>
    </row>
    <row r="305" spans="1:22" x14ac:dyDescent="0.25">
      <c r="A305" s="286"/>
      <c r="B305" s="286"/>
      <c r="C305" s="286"/>
      <c r="D305" s="286"/>
      <c r="E305" s="286"/>
      <c r="F305" s="286"/>
      <c r="H305" s="286"/>
      <c r="I305" s="286"/>
      <c r="J305" s="286"/>
      <c r="K305" s="286"/>
      <c r="L305" s="286"/>
      <c r="M305" s="286"/>
      <c r="N305" s="286"/>
      <c r="O305" s="286"/>
      <c r="P305" s="286"/>
      <c r="Q305" s="286"/>
      <c r="R305" s="286"/>
      <c r="S305" s="286"/>
      <c r="T305" s="286"/>
      <c r="U305" s="785"/>
      <c r="V305" s="286"/>
    </row>
    <row r="306" spans="1:22" x14ac:dyDescent="0.25">
      <c r="A306" s="286"/>
      <c r="B306" s="286"/>
      <c r="C306" s="286"/>
      <c r="D306" s="286"/>
      <c r="E306" s="286"/>
      <c r="F306" s="286"/>
      <c r="H306" s="286"/>
      <c r="I306" s="286"/>
      <c r="J306" s="286"/>
      <c r="K306" s="286"/>
      <c r="L306" s="286"/>
      <c r="M306" s="286"/>
      <c r="N306" s="286"/>
      <c r="O306" s="286"/>
      <c r="P306" s="286"/>
      <c r="Q306" s="286"/>
      <c r="R306" s="286"/>
      <c r="S306" s="286"/>
      <c r="T306" s="286"/>
      <c r="U306" s="785"/>
      <c r="V306" s="286"/>
    </row>
    <row r="307" spans="1:22" x14ac:dyDescent="0.25">
      <c r="A307" s="286"/>
      <c r="B307" s="286"/>
      <c r="C307" s="286"/>
      <c r="D307" s="286"/>
      <c r="E307" s="286"/>
      <c r="F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785"/>
      <c r="V307" s="286"/>
    </row>
    <row r="308" spans="1:22" x14ac:dyDescent="0.25">
      <c r="B308" s="286"/>
    </row>
  </sheetData>
  <sheetProtection algorithmName="SHA-512" hashValue="+V8tRZUetOyetLrGjSEaHo8UAvcYAR0cnYrytznLUYpETH7HJrzy0ncNurKwWvYngdLK/QHxAQ2d+SaJx4cyDw==" saltValue="jZEi6byPJ7k6izjh/pCNvA==" spinCount="100000" sheet="1" objects="1" scenarios="1"/>
  <mergeCells count="1">
    <mergeCell ref="A122:A163"/>
  </mergeCells>
  <phoneticPr fontId="52" type="noConversion"/>
  <hyperlinks>
    <hyperlink ref="N3" location="Form!A1" tooltip=" " display="Form!A1" xr:uid="{00000000-0004-0000-1600-000000000000}"/>
    <hyperlink ref="N4" location="Menu!A1" tooltip=" " display="Menu!A1" xr:uid="{00000000-0004-0000-1600-000001000000}"/>
    <hyperlink ref="N7" location="Acs!A1" tooltip=" " display="Acs!A1" xr:uid="{00000000-0004-0000-1600-000002000000}"/>
    <hyperlink ref="N8" location="SD!A1" tooltip=" " display="SD!A1" xr:uid="{00000000-0004-0000-1600-000003000000}"/>
    <hyperlink ref="N10" location="Sum!A1" tooltip=" " display="Sum!A1" xr:uid="{00000000-0004-0000-1600-000004000000}"/>
    <hyperlink ref="N11" location="Ord!A1" tooltip=" " display="Ord!A1" xr:uid="{00000000-0004-0000-1600-000005000000}"/>
    <hyperlink ref="N9" location="AL!A1" tooltip=" " display="AL!A1" xr:uid="{00000000-0004-0000-16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0" r:id="rId4" name="stahovací 4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5" name="stahovací 6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92">
    <tabColor theme="5" tint="0.39997558519241921"/>
  </sheetPr>
  <dimension ref="A1:Y151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5xC"</f>
        <v>SPACE-TOWER, sestava 5xC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List!$B$69&amp;" / "&amp;List!$B$70&amp;" "&amp;List!$B$67&amp;"** "</f>
        <v xml:space="preserve">vysoký / nízký přední zásuvný prvek** </v>
      </c>
      <c r="M3" s="117"/>
      <c r="N3" s="149" t="str">
        <f>" "&amp;List!$B$13</f>
        <v xml:space="preserve"> Úvod</v>
      </c>
      <c r="O3" s="117"/>
      <c r="P3" s="367"/>
      <c r="Q3" s="367"/>
      <c r="R3" s="367" t="str">
        <f>Cen!C111</f>
        <v>OG-M</v>
      </c>
      <c r="S3" s="368"/>
      <c r="T3" s="369"/>
      <c r="U3" s="37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406</v>
      </c>
      <c r="L4" s="120"/>
      <c r="M4" s="117"/>
      <c r="N4" s="150" t="str">
        <f>" "&amp;List!$B$4</f>
        <v xml:space="preserve"> Výběr zásuvek a výsuvů</v>
      </c>
      <c r="O4" s="117"/>
      <c r="P4" s="367"/>
      <c r="Q4" s="367"/>
      <c r="R4" s="367" t="str">
        <f>Cen!C116</f>
        <v>OG-M</v>
      </c>
      <c r="S4" s="368"/>
      <c r="T4" s="369"/>
      <c r="U4" s="37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67" t="str">
        <f>Cen!A166</f>
        <v>Bočnice C free, 350mm, Orion šedá</v>
      </c>
      <c r="Q5" s="367" t="str">
        <f>Cen!B166</f>
        <v>780C3502S</v>
      </c>
      <c r="R5" s="367" t="str">
        <f>Cen!C121</f>
        <v>OG-M</v>
      </c>
      <c r="S5" s="368"/>
      <c r="T5" s="369">
        <f>Cen!F166</f>
        <v>957.21118000000001</v>
      </c>
      <c r="U5" s="37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772</v>
      </c>
      <c r="L6" s="120"/>
      <c r="M6" s="117"/>
      <c r="N6" s="2" t="str">
        <f>List!$B$12&amp;":"</f>
        <v>Pokračovat na:</v>
      </c>
      <c r="O6" s="117"/>
      <c r="P6" s="367" t="str">
        <f>Cen!A171</f>
        <v>Bočnice C free, 400mm, Orion šedá</v>
      </c>
      <c r="Q6" s="367" t="str">
        <f>Cen!B171</f>
        <v>780C4002S</v>
      </c>
      <c r="R6" s="367" t="str">
        <f>Cen!C126</f>
        <v>OG-M</v>
      </c>
      <c r="S6" s="368"/>
      <c r="T6" s="369">
        <f>Cen!F171</f>
        <v>964.26940999999999</v>
      </c>
      <c r="U6" s="370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 t="str">
        <f>List!$B$36&amp;":"</f>
        <v>sklo:</v>
      </c>
      <c r="J7" s="120"/>
      <c r="K7" s="119" t="str">
        <f>Form!$P$9</f>
        <v>čiré</v>
      </c>
      <c r="L7" s="120"/>
      <c r="M7" s="117"/>
      <c r="N7" s="149" t="str">
        <f>" "&amp;List!$B$5</f>
        <v xml:space="preserve"> Výběr doplňků</v>
      </c>
      <c r="O7" s="117"/>
      <c r="P7" s="389" t="str">
        <f>Cen!A176</f>
        <v>Bočnice C free, 450mm, Orion šedá</v>
      </c>
      <c r="Q7" s="389" t="str">
        <f>Cen!B176</f>
        <v>780C4502S</v>
      </c>
      <c r="R7" s="389" t="str">
        <f>Cen!C131</f>
        <v>OG-M</v>
      </c>
      <c r="S7" s="416">
        <f>SUM(D26, J26, D34, J34)*5</f>
        <v>0</v>
      </c>
      <c r="T7" s="417">
        <f>Cen!F176</f>
        <v>971.33302000000003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Cen!C136</f>
        <v>OG-M</v>
      </c>
      <c r="S8" s="416">
        <f>SUM(E26, K26, E34, K34)*5</f>
        <v>0</v>
      </c>
      <c r="T8" s="261">
        <f>Cen!F181</f>
        <v>978.39665000000002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Cen!C141</f>
        <v>OG-M</v>
      </c>
      <c r="S9" s="416">
        <f>SUM(F26, L26, F34, L34)*5</f>
        <v>0</v>
      </c>
      <c r="T9" s="261">
        <f>Cen!F186</f>
        <v>1034.8882699999999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67" t="str">
        <f>Cen!A191</f>
        <v>Bočnice C free, 600mm, Orion šedá</v>
      </c>
      <c r="Q10" s="367" t="str">
        <f>Cen!B191</f>
        <v>780C6002S</v>
      </c>
      <c r="R10" s="367" t="str">
        <f>Cen!C146</f>
        <v>OG-M</v>
      </c>
      <c r="S10" s="368"/>
      <c r="T10" s="369">
        <f>Cen!F191</f>
        <v>1123.16077</v>
      </c>
      <c r="U10" s="370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367" t="str">
        <f>Cen!A196</f>
        <v>Bočnice C free, 650mm, Orion šedá</v>
      </c>
      <c r="Q11" s="367" t="str">
        <f>Cen!B196</f>
        <v>780C6502S</v>
      </c>
      <c r="R11" s="367"/>
      <c r="S11" s="368"/>
      <c r="T11" s="369">
        <f>Cen!F196</f>
        <v>1156.3666000000001</v>
      </c>
      <c r="U11" s="370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List!$C$66&amp;":   LW - 80"</f>
        <v>Přední zásuvné prvky:   LW - 80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4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290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27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290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290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27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27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4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290"/>
      <c r="H34" s="366"/>
      <c r="I34" s="315" t="str">
        <f>List!$B$102&amp;":"</f>
        <v>Počet skříní:</v>
      </c>
      <c r="J34" s="312"/>
      <c r="K34" s="312"/>
      <c r="L34" s="313"/>
      <c r="M34" s="142"/>
      <c r="N34" s="142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27"/>
      <c r="H35" s="364" t="str">
        <f>List!$B$129&amp;"**"</f>
        <v>Korpusové lišty**</v>
      </c>
      <c r="I35" s="315"/>
      <c r="J35"/>
      <c r="K35"/>
      <c r="L35"/>
      <c r="M35" s="142"/>
      <c r="N35" s="142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290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290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42"/>
      <c r="N37" s="142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42"/>
      <c r="N38" s="142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11"/>
      <c r="D44" s="351"/>
      <c r="E44" s="351"/>
      <c r="F44" s="351"/>
      <c r="G44" s="351"/>
      <c r="H44" s="351"/>
      <c r="I44" s="290"/>
      <c r="J44" s="290"/>
      <c r="K44" s="290"/>
      <c r="L44" s="290"/>
      <c r="M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11"/>
      <c r="D45" s="351"/>
      <c r="E45" s="351"/>
      <c r="F45" s="351"/>
      <c r="G45" s="351"/>
      <c r="H45" s="351"/>
      <c r="I45" s="290"/>
      <c r="J45" s="290"/>
      <c r="K45" s="290"/>
      <c r="L45" s="290"/>
      <c r="M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11"/>
      <c r="D46" s="351"/>
      <c r="E46" s="351"/>
      <c r="F46" s="351"/>
      <c r="G46" s="351"/>
      <c r="H46" s="351"/>
      <c r="I46" s="290"/>
      <c r="J46" s="290"/>
      <c r="K46" s="290"/>
      <c r="L46" s="290"/>
      <c r="M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B47" s="375"/>
      <c r="C47" s="311"/>
      <c r="D47" s="351"/>
      <c r="E47" s="351"/>
      <c r="F47" s="351"/>
      <c r="G47" s="351"/>
      <c r="H47" s="351"/>
      <c r="I47" s="290"/>
      <c r="J47" s="290"/>
      <c r="K47" s="290"/>
      <c r="L47" s="290"/>
      <c r="M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B48" s="117" t="str">
        <f>"        "&amp;List!$B$172</f>
        <v xml:space="preserve">        Boční zásuvné prvky se načtou automaticky</v>
      </c>
      <c r="C48" s="311"/>
      <c r="D48" s="351"/>
      <c r="E48" s="351"/>
      <c r="F48" s="351"/>
      <c r="G48" s="351"/>
      <c r="H48" s="351"/>
      <c r="I48" s="290"/>
      <c r="J48" s="290"/>
      <c r="K48" s="290"/>
      <c r="L48" s="290"/>
      <c r="M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B49" s="117" t="str">
        <f>"        "&amp;List!$B$176</f>
        <v xml:space="preserve">        Máte-li zásuvné prvky vlastní, upravte počty v objednávce</v>
      </c>
      <c r="C49" s="311"/>
      <c r="D49" s="351"/>
      <c r="E49" s="351"/>
      <c r="F49" s="351"/>
      <c r="G49" s="351"/>
      <c r="H49" s="351"/>
      <c r="I49" s="290"/>
      <c r="J49" s="290"/>
      <c r="K49" s="290"/>
      <c r="L49" s="290"/>
      <c r="M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11"/>
      <c r="D50" s="351"/>
      <c r="E50" s="351"/>
      <c r="F50" s="351"/>
      <c r="G50" s="351"/>
      <c r="H50" s="351"/>
      <c r="I50" s="290"/>
      <c r="J50" s="290"/>
      <c r="K50" s="290"/>
      <c r="L50" s="290"/>
      <c r="M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11"/>
      <c r="D51" s="351"/>
      <c r="E51" s="351"/>
      <c r="F51" s="351"/>
      <c r="G51" s="351"/>
      <c r="H51" s="351"/>
      <c r="I51" s="290"/>
      <c r="J51" s="290"/>
      <c r="K51" s="290"/>
      <c r="L51" s="290"/>
      <c r="M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11"/>
      <c r="D52" s="351"/>
      <c r="E52" s="351"/>
      <c r="F52" s="351"/>
      <c r="G52" s="351"/>
      <c r="H52" s="351"/>
      <c r="I52" s="290"/>
      <c r="J52" s="290"/>
      <c r="K52" s="290"/>
      <c r="L52" s="290"/>
      <c r="M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11"/>
      <c r="D53" s="351"/>
      <c r="E53" s="351"/>
      <c r="F53" s="351"/>
      <c r="G53" s="351"/>
      <c r="H53" s="351"/>
      <c r="I53" s="290"/>
      <c r="J53" s="290"/>
      <c r="K53" s="290"/>
      <c r="L53" s="290"/>
      <c r="M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11"/>
      <c r="D54" s="351"/>
      <c r="E54" s="351"/>
      <c r="F54" s="351"/>
      <c r="G54" s="351"/>
      <c r="H54" s="351"/>
      <c r="I54" s="290"/>
      <c r="J54" s="290"/>
      <c r="K54" s="290"/>
      <c r="L54" s="290"/>
      <c r="M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11"/>
      <c r="D55" s="351"/>
      <c r="E55" s="351"/>
      <c r="F55" s="351"/>
      <c r="G55" s="351"/>
      <c r="H55" s="351"/>
      <c r="I55" s="290"/>
      <c r="J55" s="290"/>
      <c r="K55" s="290"/>
      <c r="L55" s="290"/>
      <c r="M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11"/>
      <c r="D56" s="351"/>
      <c r="E56" s="351"/>
      <c r="F56" s="351"/>
      <c r="G56" s="351"/>
      <c r="H56" s="351"/>
      <c r="I56" s="290"/>
      <c r="J56" s="290"/>
      <c r="K56" s="290"/>
      <c r="L56" s="290"/>
      <c r="M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11"/>
      <c r="D57" s="351"/>
      <c r="E57" s="351"/>
      <c r="F57" s="351"/>
      <c r="G57" s="351"/>
      <c r="H57" s="351"/>
      <c r="I57" s="290"/>
      <c r="J57" s="290"/>
      <c r="K57" s="290"/>
      <c r="L57" s="290"/>
      <c r="M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11"/>
      <c r="D58" s="351"/>
      <c r="E58" s="351"/>
      <c r="F58" s="351"/>
      <c r="G58" s="351"/>
      <c r="H58" s="351"/>
      <c r="I58" s="290"/>
      <c r="J58" s="290"/>
      <c r="K58" s="290"/>
      <c r="L58" s="290"/>
      <c r="M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11"/>
      <c r="D59" s="351"/>
      <c r="E59" s="351"/>
      <c r="F59" s="351"/>
      <c r="G59" s="351"/>
      <c r="H59" s="351"/>
      <c r="I59" s="290"/>
      <c r="J59" s="290"/>
      <c r="K59" s="290"/>
      <c r="L59" s="290"/>
      <c r="M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11"/>
      <c r="D60" s="351"/>
      <c r="E60" s="351"/>
      <c r="F60" s="351"/>
      <c r="G60" s="351"/>
      <c r="H60" s="351"/>
      <c r="I60" s="290"/>
      <c r="J60" s="290"/>
      <c r="K60" s="290"/>
      <c r="L60" s="290"/>
      <c r="M60" s="117"/>
      <c r="P60" s="142"/>
      <c r="Q60" s="142"/>
      <c r="R60" s="142"/>
      <c r="S60" s="148"/>
      <c r="T60" s="152"/>
      <c r="U60" s="152"/>
    </row>
    <row r="61" spans="1:22" ht="13" x14ac:dyDescent="0.3">
      <c r="A61" s="175"/>
      <c r="C61" s="289"/>
      <c r="D61" s="175"/>
      <c r="E61" s="175"/>
      <c r="F61" s="175"/>
      <c r="G61" s="175"/>
      <c r="H61" s="175"/>
      <c r="I61" s="283"/>
      <c r="J61" s="283"/>
      <c r="K61" s="283"/>
      <c r="L61" s="283"/>
      <c r="M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3" x14ac:dyDescent="0.3">
      <c r="C62" s="289"/>
      <c r="D62" s="175"/>
      <c r="E62" s="175"/>
      <c r="F62" s="175"/>
      <c r="G62" s="175"/>
      <c r="H62" s="175"/>
      <c r="I62" s="175"/>
      <c r="J62" s="175"/>
      <c r="K62" s="175"/>
      <c r="L62" s="175"/>
      <c r="M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3" x14ac:dyDescent="0.3">
      <c r="C63" s="282"/>
      <c r="I63" s="284"/>
      <c r="J63" s="284"/>
      <c r="K63" s="284"/>
      <c r="L63" s="284"/>
      <c r="M63" s="117"/>
      <c r="P63" s="120"/>
      <c r="Q63" s="120"/>
      <c r="R63" s="120"/>
      <c r="S63" s="121"/>
      <c r="T63" s="116"/>
      <c r="U63" s="116"/>
    </row>
    <row r="64" spans="1:22" ht="13" x14ac:dyDescent="0.3">
      <c r="A64" s="175"/>
      <c r="C64" s="289"/>
      <c r="D64" s="175"/>
      <c r="E64" s="175"/>
      <c r="F64" s="175"/>
      <c r="G64" s="175"/>
      <c r="H64" s="175"/>
      <c r="I64" s="283"/>
      <c r="J64" s="283"/>
      <c r="K64" s="283"/>
      <c r="L64" s="283"/>
      <c r="M64" s="117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SUM(S3:S10)</f>
        <v>0</v>
      </c>
      <c r="T64" s="116">
        <f>Cen!$F329</f>
        <v>47.092230000000001</v>
      </c>
      <c r="U64" s="116">
        <f>S64*T64</f>
        <v>0</v>
      </c>
    </row>
    <row r="65" spans="2:21" ht="13" x14ac:dyDescent="0.3">
      <c r="C65" s="289"/>
      <c r="D65" s="175"/>
      <c r="E65" s="175"/>
      <c r="F65" s="175"/>
      <c r="G65" s="175"/>
      <c r="H65" s="175"/>
      <c r="I65" s="175"/>
      <c r="J65" s="175"/>
      <c r="K65" s="175"/>
      <c r="L65" s="175"/>
      <c r="M65" s="117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SUM(S3:S10)</f>
        <v>0</v>
      </c>
      <c r="T65" s="116">
        <f>Cen!F369</f>
        <v>585.05386999999996</v>
      </c>
      <c r="U65" s="116">
        <f>S65*T65</f>
        <v>0</v>
      </c>
    </row>
    <row r="66" spans="2:21" ht="13" x14ac:dyDescent="0.3">
      <c r="C66" s="282"/>
      <c r="I66" s="284"/>
      <c r="J66" s="284"/>
      <c r="K66" s="284"/>
      <c r="L66" s="284"/>
      <c r="M66" s="117"/>
      <c r="P66" s="120"/>
      <c r="Q66" s="120"/>
      <c r="R66" s="120"/>
      <c r="S66" s="121"/>
      <c r="T66" s="116"/>
      <c r="U66" s="116"/>
    </row>
    <row r="67" spans="2:21" ht="13" x14ac:dyDescent="0.3">
      <c r="C67" s="282"/>
      <c r="I67" s="285"/>
      <c r="J67" s="285"/>
      <c r="K67" s="285"/>
      <c r="L67" s="285"/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329">
        <f>ROUNDUP(SUM($D$26/3*5, $E$26/3*5, $F$26/3*5, $D$34/3*5, $E$34/3*5, $F$34/3*5),0)+ROUNDUP(SUM($J$26/2*5, $K$26/2*5, $L$26/2*5, $J$34/2*5, $K$34/2*5, $L$34/2*5),0)</f>
        <v>0</v>
      </c>
      <c r="T67" s="116">
        <f>Cen!F384</f>
        <v>446.52434</v>
      </c>
      <c r="U67" s="116">
        <f>S67*T67</f>
        <v>0</v>
      </c>
    </row>
    <row r="68" spans="2:21" ht="13" x14ac:dyDescent="0.3">
      <c r="C68" s="282"/>
      <c r="I68" s="283"/>
      <c r="J68" s="283"/>
      <c r="K68" s="283"/>
      <c r="L68" s="283"/>
      <c r="P68" s="120"/>
      <c r="Q68" s="120"/>
      <c r="R68" s="120"/>
      <c r="S68" s="121"/>
      <c r="T68" s="116"/>
      <c r="U68" s="116"/>
    </row>
    <row r="69" spans="2:21" ht="14" x14ac:dyDescent="0.3">
      <c r="C69" s="286"/>
      <c r="D69" s="340"/>
      <c r="E69" s="341"/>
      <c r="F69" s="342"/>
      <c r="G69" s="342"/>
      <c r="H69" s="341"/>
      <c r="I69" s="341"/>
      <c r="J69" s="286"/>
      <c r="K69" s="286"/>
      <c r="L69" s="286"/>
      <c r="P69" s="124" t="str">
        <f>Cen!A403</f>
        <v>Přední zásuvný prvek vysoký, sklo, KB 450mm</v>
      </c>
      <c r="Q69" s="124" t="str">
        <f>Cen!B403</f>
        <v>ZE7W332G</v>
      </c>
      <c r="R69" s="124" t="str">
        <f>Cen!C403</f>
        <v>KLA</v>
      </c>
      <c r="S69" s="327">
        <f>SUM(D26:F26, D34:F34)*3</f>
        <v>0</v>
      </c>
      <c r="T69" s="328">
        <f>Cen!F403</f>
        <v>389.35672</v>
      </c>
      <c r="U69" s="328">
        <f>S69*T69</f>
        <v>0</v>
      </c>
    </row>
    <row r="70" spans="2:21" ht="14" x14ac:dyDescent="0.3">
      <c r="C70" s="286"/>
      <c r="D70" s="344"/>
      <c r="E70" s="290"/>
      <c r="F70" s="290"/>
      <c r="G70" s="290"/>
      <c r="H70" s="290"/>
      <c r="I70" s="290"/>
      <c r="J70" s="284"/>
      <c r="K70" s="284"/>
      <c r="L70" s="284"/>
      <c r="P70" s="125" t="str">
        <f>Cen!A404</f>
        <v>Přední zásuvný prvek vysoký, sklo, KB 600mm</v>
      </c>
      <c r="Q70" s="125" t="str">
        <f>Cen!B404</f>
        <v>ZE7W482G</v>
      </c>
      <c r="R70" s="125" t="str">
        <f>Cen!C404</f>
        <v>KLA</v>
      </c>
      <c r="S70" s="257">
        <f>SUM(J26:L26, J34:L34)*3</f>
        <v>0</v>
      </c>
      <c r="T70" s="258">
        <f>Cen!F404</f>
        <v>442.47012999999998</v>
      </c>
      <c r="U70" s="258">
        <f>S70*T70</f>
        <v>0</v>
      </c>
    </row>
    <row r="71" spans="2:21" ht="14" x14ac:dyDescent="0.3">
      <c r="C71" s="286"/>
      <c r="D71" s="344"/>
      <c r="E71" s="290"/>
      <c r="F71" s="290"/>
      <c r="G71" s="290"/>
      <c r="H71" s="290"/>
      <c r="I71" s="290"/>
      <c r="J71" s="284"/>
      <c r="K71" s="284"/>
      <c r="L71" s="284"/>
      <c r="P71" s="352" t="str">
        <f>Cen!A405</f>
        <v>Přední zásuvný prvek vysoký, sklo, KB 900mm</v>
      </c>
      <c r="Q71" s="352" t="str">
        <f>Cen!B405</f>
        <v>ZE7W782G</v>
      </c>
      <c r="R71" s="352" t="str">
        <f>Cen!C405</f>
        <v>KLA</v>
      </c>
      <c r="S71" s="353"/>
      <c r="T71" s="355">
        <f>Cen!F405</f>
        <v>737.45001999999988</v>
      </c>
      <c r="U71" s="355">
        <f>S71*T71</f>
        <v>0</v>
      </c>
    </row>
    <row r="72" spans="2:21" ht="14" x14ac:dyDescent="0.3">
      <c r="C72" s="311"/>
      <c r="D72" s="290"/>
      <c r="E72" s="290"/>
      <c r="F72" s="290"/>
      <c r="G72" s="290"/>
      <c r="H72" s="290"/>
      <c r="J72" s="285"/>
      <c r="K72" s="285"/>
      <c r="L72" s="285"/>
      <c r="P72" s="422" t="str">
        <f>Cen!A406</f>
        <v>Přední zásuvný prvek vysoký, sklo, KB 1200mm</v>
      </c>
      <c r="Q72" s="422" t="str">
        <f>Cen!B406</f>
        <v>ZE7W1082G</v>
      </c>
      <c r="R72" s="422" t="str">
        <f>Cen!C406</f>
        <v>KLA</v>
      </c>
      <c r="S72" s="410"/>
      <c r="T72" s="423">
        <f>Cen!F406</f>
        <v>949.83555999999999</v>
      </c>
      <c r="U72" s="423">
        <f>S72*T72</f>
        <v>0</v>
      </c>
    </row>
    <row r="73" spans="2:21" ht="13" x14ac:dyDescent="0.3">
      <c r="C73" s="282"/>
      <c r="I73" s="283"/>
      <c r="J73" s="283"/>
      <c r="K73" s="283"/>
      <c r="L73" s="283"/>
      <c r="P73" s="120"/>
      <c r="Q73" s="120"/>
      <c r="R73" s="120"/>
      <c r="S73" s="121"/>
      <c r="T73" s="116"/>
      <c r="U73" s="116"/>
    </row>
    <row r="74" spans="2:21" ht="14" x14ac:dyDescent="0.3">
      <c r="C74" s="286"/>
      <c r="D74" s="340"/>
      <c r="E74" s="341"/>
      <c r="F74" s="342"/>
      <c r="G74" s="342"/>
      <c r="H74" s="341"/>
      <c r="I74" s="341"/>
      <c r="J74" s="286"/>
      <c r="K74" s="286"/>
      <c r="L74" s="286"/>
      <c r="P74" s="124" t="str">
        <f>Cen!A411</f>
        <v>Přední zásuvný prvek nízký, sklo, KB 450mm</v>
      </c>
      <c r="Q74" s="124" t="str">
        <f>Cen!B411</f>
        <v>ZE7V332G</v>
      </c>
      <c r="R74" s="124" t="str">
        <f>Cen!C411</f>
        <v>KLA</v>
      </c>
      <c r="S74" s="327">
        <f>SUM($D$26:$F$26, $D$34:$F$34)*2</f>
        <v>0</v>
      </c>
      <c r="T74" s="328">
        <f>Cen!F411</f>
        <v>241.88919000000001</v>
      </c>
      <c r="U74" s="328">
        <f>S74*T74</f>
        <v>0</v>
      </c>
    </row>
    <row r="75" spans="2:21" ht="14" x14ac:dyDescent="0.3">
      <c r="B75" s="286"/>
      <c r="C75" s="286"/>
      <c r="D75" s="344"/>
      <c r="E75" s="290"/>
      <c r="F75" s="290"/>
      <c r="G75" s="290"/>
      <c r="H75" s="290"/>
      <c r="I75" s="290"/>
      <c r="J75" s="284"/>
      <c r="K75" s="284"/>
      <c r="L75" s="284"/>
      <c r="P75" s="125" t="str">
        <f>Cen!A412</f>
        <v>Přední zásuvný prvek nízký, sklo, KB 600mm</v>
      </c>
      <c r="Q75" s="125" t="str">
        <f>Cen!B412</f>
        <v>ZE7V482G</v>
      </c>
      <c r="R75" s="125" t="str">
        <f>Cen!C412</f>
        <v>KLA</v>
      </c>
      <c r="S75" s="257">
        <f>SUM($J$26:$L$26, $J$34:$L$34)*2</f>
        <v>0</v>
      </c>
      <c r="T75" s="258">
        <f>Cen!F412</f>
        <v>277.28676999999999</v>
      </c>
      <c r="U75" s="258">
        <f>S75*T75</f>
        <v>0</v>
      </c>
    </row>
    <row r="76" spans="2:21" ht="14" x14ac:dyDescent="0.3">
      <c r="B76" s="289"/>
      <c r="C76" s="286"/>
      <c r="D76" s="344"/>
      <c r="E76" s="290"/>
      <c r="F76" s="290"/>
      <c r="G76" s="290"/>
      <c r="H76" s="290"/>
      <c r="I76" s="290"/>
      <c r="J76" s="284"/>
      <c r="K76" s="284"/>
      <c r="L76" s="284"/>
      <c r="P76" s="352" t="str">
        <f>Cen!A413</f>
        <v>Přední zásuvný prvek nízký, sklo, KB 900mm</v>
      </c>
      <c r="Q76" s="352" t="str">
        <f>Cen!B413</f>
        <v>ZE7V782G</v>
      </c>
      <c r="R76" s="352" t="str">
        <f>Cen!C413</f>
        <v>KLA</v>
      </c>
      <c r="S76" s="353"/>
      <c r="T76" s="355">
        <f>Cen!F413</f>
        <v>489.67230000000001</v>
      </c>
      <c r="U76" s="355">
        <f>S76*T76</f>
        <v>0</v>
      </c>
    </row>
    <row r="77" spans="2:21" ht="14" x14ac:dyDescent="0.3">
      <c r="B77" s="343"/>
      <c r="C77" s="311"/>
      <c r="D77" s="290"/>
      <c r="E77" s="290"/>
      <c r="F77" s="290"/>
      <c r="G77" s="290"/>
      <c r="H77" s="290"/>
      <c r="J77" s="285"/>
      <c r="K77" s="285"/>
      <c r="L77" s="285"/>
      <c r="P77" s="422" t="str">
        <f>Cen!A414</f>
        <v>Přední zásuvný prvek nízký, sklo, KB 1200mm</v>
      </c>
      <c r="Q77" s="422" t="str">
        <f>Cen!B414</f>
        <v>ZE7V1082G</v>
      </c>
      <c r="R77" s="422" t="str">
        <f>Cen!C414</f>
        <v>KLA</v>
      </c>
      <c r="S77" s="410"/>
      <c r="T77" s="423">
        <f>Cen!F414</f>
        <v>631.26264000000003</v>
      </c>
      <c r="U77" s="423">
        <f>S77*T77</f>
        <v>0</v>
      </c>
    </row>
    <row r="78" spans="2:21" ht="14" x14ac:dyDescent="0.3">
      <c r="B78" s="310"/>
      <c r="C78" s="282"/>
      <c r="I78" s="283"/>
      <c r="J78" s="283"/>
      <c r="K78" s="283"/>
      <c r="L78" s="283"/>
      <c r="P78" s="117"/>
      <c r="Q78" s="117"/>
    </row>
    <row r="79" spans="2:21" ht="13" x14ac:dyDescent="0.3">
      <c r="C79" s="282"/>
      <c r="I79" s="283"/>
      <c r="J79" s="283"/>
      <c r="K79" s="283"/>
      <c r="L79" s="283"/>
      <c r="P79" s="117"/>
      <c r="Q79" s="117"/>
    </row>
    <row r="80" spans="2:21" x14ac:dyDescent="0.25">
      <c r="G80" s="2"/>
      <c r="P80" s="205" t="str">
        <f>Cen!A232</f>
        <v>Boční zásuvné prvky, sklo, pro 350 mm</v>
      </c>
      <c r="Q80" s="205" t="str">
        <f>Cen!B232</f>
        <v>ZE7S238G</v>
      </c>
      <c r="R80" s="205" t="str">
        <f>Cen!C232</f>
        <v>KLA</v>
      </c>
      <c r="S80" s="255">
        <f t="shared" ref="S80:S86" si="12">S5</f>
        <v>0</v>
      </c>
      <c r="T80" s="594">
        <f>Cen!F232</f>
        <v>625.33465999999999</v>
      </c>
      <c r="U80" s="256">
        <f>S80*T80</f>
        <v>0</v>
      </c>
    </row>
    <row r="81" spans="1:22" x14ac:dyDescent="0.25">
      <c r="G81" s="2"/>
      <c r="P81" s="125" t="str">
        <f>Cen!A233</f>
        <v>Boční zásuvné prvky, sklo, pro 400 mm</v>
      </c>
      <c r="Q81" s="125" t="str">
        <f>Cen!B233</f>
        <v>ZE7S288G</v>
      </c>
      <c r="R81" s="125" t="str">
        <f>Cen!C233</f>
        <v>KLA</v>
      </c>
      <c r="S81" s="257">
        <f t="shared" si="12"/>
        <v>0</v>
      </c>
      <c r="T81" s="261">
        <f>Cen!F233</f>
        <v>660.74360999999999</v>
      </c>
      <c r="U81" s="258">
        <f t="shared" ref="U81:U86" si="13">S81*T81</f>
        <v>0</v>
      </c>
    </row>
    <row r="82" spans="1:22" x14ac:dyDescent="0.25">
      <c r="G82" s="2"/>
      <c r="P82" s="125" t="str">
        <f>Cen!A234</f>
        <v>Boční zásuvné prvky, sklo, pro 450 mm</v>
      </c>
      <c r="Q82" s="125" t="str">
        <f>Cen!B234</f>
        <v>ZE7S338G</v>
      </c>
      <c r="R82" s="125" t="str">
        <f>Cen!C234</f>
        <v>KLA</v>
      </c>
      <c r="S82" s="257">
        <f t="shared" si="12"/>
        <v>0</v>
      </c>
      <c r="T82" s="261">
        <f>Cen!F234</f>
        <v>696.15254000000004</v>
      </c>
      <c r="U82" s="258">
        <f t="shared" si="13"/>
        <v>0</v>
      </c>
    </row>
    <row r="83" spans="1:22" x14ac:dyDescent="0.25">
      <c r="G83" s="2"/>
      <c r="P83" s="125" t="str">
        <f>Cen!A235</f>
        <v>Boční zásuvné prvky, sklo, pro 500 mm</v>
      </c>
      <c r="Q83" s="125" t="str">
        <f>Cen!B235</f>
        <v>ZE7S388G</v>
      </c>
      <c r="R83" s="125" t="str">
        <f>Cen!C235</f>
        <v>KLA</v>
      </c>
      <c r="S83" s="257">
        <f t="shared" si="12"/>
        <v>0</v>
      </c>
      <c r="T83" s="261">
        <f>Cen!F235</f>
        <v>731.56149000000005</v>
      </c>
      <c r="U83" s="258">
        <f t="shared" si="13"/>
        <v>0</v>
      </c>
    </row>
    <row r="84" spans="1:22" x14ac:dyDescent="0.25">
      <c r="G84" s="2"/>
      <c r="P84" s="125" t="str">
        <f>Cen!A236</f>
        <v>Boční zásuvné prvky, sklo, pro 550 mm</v>
      </c>
      <c r="Q84" s="125" t="str">
        <f>Cen!B236</f>
        <v>ZE7S438G</v>
      </c>
      <c r="R84" s="125" t="str">
        <f>Cen!C236</f>
        <v>KLA</v>
      </c>
      <c r="S84" s="257">
        <f t="shared" si="12"/>
        <v>0</v>
      </c>
      <c r="T84" s="261">
        <f>Cen!F236</f>
        <v>802.35667000000001</v>
      </c>
      <c r="U84" s="258">
        <f t="shared" si="13"/>
        <v>0</v>
      </c>
    </row>
    <row r="85" spans="1:22" x14ac:dyDescent="0.25">
      <c r="G85" s="2"/>
      <c r="P85" s="125" t="str">
        <f>Cen!A237</f>
        <v>Boční zásuvné prvky, sklo, pro 600 mm</v>
      </c>
      <c r="Q85" s="125" t="str">
        <f>Cen!B237</f>
        <v>ZE7S488G</v>
      </c>
      <c r="R85" s="125" t="str">
        <f>Cen!C237</f>
        <v>KLA</v>
      </c>
      <c r="S85" s="257">
        <f t="shared" si="12"/>
        <v>0</v>
      </c>
      <c r="T85" s="261">
        <f>Cen!F237</f>
        <v>873.15183000000002</v>
      </c>
      <c r="U85" s="258">
        <f t="shared" si="13"/>
        <v>0</v>
      </c>
    </row>
    <row r="86" spans="1:22" ht="13" thickBot="1" x14ac:dyDescent="0.3">
      <c r="G86" s="2"/>
      <c r="P86" s="595" t="str">
        <f>Cen!A238</f>
        <v>Boční zásuvné prvky, sklo, pro 650 mm</v>
      </c>
      <c r="Q86" s="595" t="str">
        <f>Cen!B238</f>
        <v>ZE7S538G</v>
      </c>
      <c r="R86" s="595" t="str">
        <f>Cen!C238</f>
        <v>KLA</v>
      </c>
      <c r="S86" s="596">
        <f t="shared" si="12"/>
        <v>0</v>
      </c>
      <c r="T86" s="597">
        <f>Cen!F238</f>
        <v>943.94700999999998</v>
      </c>
      <c r="U86" s="598">
        <f t="shared" si="13"/>
        <v>0</v>
      </c>
    </row>
    <row r="87" spans="1:22" ht="14" x14ac:dyDescent="0.3">
      <c r="A87" s="175"/>
      <c r="C87" s="341"/>
      <c r="D87" s="290"/>
      <c r="E87" s="290"/>
      <c r="F87" s="290"/>
      <c r="G87" s="290"/>
      <c r="H87" s="290"/>
      <c r="I87" s="290"/>
      <c r="J87" s="290"/>
      <c r="K87" s="290"/>
      <c r="L87" s="290"/>
      <c r="M87" s="117"/>
      <c r="N87" s="117"/>
      <c r="P87" s="120"/>
      <c r="Q87" s="120"/>
      <c r="R87" s="120"/>
      <c r="S87" s="121"/>
      <c r="T87" s="116"/>
      <c r="U87" s="116"/>
    </row>
    <row r="88" spans="1:22" ht="14" x14ac:dyDescent="0.3">
      <c r="A88" s="175"/>
      <c r="C88" s="341"/>
      <c r="D88" s="290"/>
      <c r="E88" s="290"/>
      <c r="F88" s="290"/>
      <c r="G88" s="290"/>
      <c r="H88" s="290"/>
      <c r="I88" s="290"/>
      <c r="J88" s="290"/>
      <c r="K88" s="290"/>
      <c r="L88" s="290"/>
      <c r="M88" s="117"/>
      <c r="N88" s="117"/>
      <c r="P88" s="120"/>
      <c r="Q88" s="120"/>
      <c r="R88" s="120"/>
      <c r="S88" s="121"/>
      <c r="T88" s="116"/>
      <c r="U88" s="116"/>
    </row>
    <row r="89" spans="1:22" ht="14" x14ac:dyDescent="0.3">
      <c r="A89" s="175"/>
      <c r="C89" s="341"/>
      <c r="D89" s="290"/>
      <c r="E89" s="290"/>
      <c r="F89" s="290"/>
      <c r="G89" s="290"/>
      <c r="H89" s="290"/>
      <c r="I89" s="290"/>
      <c r="J89" s="290"/>
      <c r="K89" s="290"/>
      <c r="L89" s="290"/>
      <c r="M89" s="117"/>
      <c r="N89" s="117"/>
      <c r="P89" s="120"/>
      <c r="Q89" s="120"/>
      <c r="R89" s="120"/>
      <c r="S89" s="121"/>
      <c r="T89" s="116"/>
      <c r="U89" s="116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4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4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4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4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4"/>
        <v>0</v>
      </c>
      <c r="V94" s="2" t="s">
        <v>1400</v>
      </c>
    </row>
    <row r="95" spans="1:22" ht="13" x14ac:dyDescent="0.3">
      <c r="C95" s="282"/>
      <c r="I95" s="283"/>
      <c r="J95" s="283"/>
      <c r="K95" s="283"/>
      <c r="L95" s="283"/>
      <c r="P95" s="117"/>
      <c r="Q95" s="117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5">S96*T96</f>
        <v>0</v>
      </c>
    </row>
    <row r="97" spans="1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1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1:21" ht="13" x14ac:dyDescent="0.3">
      <c r="C99" s="282"/>
      <c r="I99" s="286"/>
      <c r="J99" s="286"/>
      <c r="K99" s="286"/>
      <c r="L99" s="286"/>
      <c r="P99" s="117"/>
      <c r="Q99" s="117"/>
    </row>
    <row r="100" spans="1:21" ht="13" x14ac:dyDescent="0.3">
      <c r="B100" s="117"/>
      <c r="C100" s="282"/>
      <c r="I100" s="284"/>
      <c r="J100" s="284"/>
      <c r="K100" s="284"/>
      <c r="L100" s="284"/>
      <c r="P100" s="117"/>
      <c r="Q100" s="117"/>
    </row>
    <row r="101" spans="1:21" x14ac:dyDescent="0.25">
      <c r="B101" s="117"/>
      <c r="I101" s="285"/>
      <c r="J101" s="285"/>
      <c r="K101" s="285"/>
      <c r="L101" s="285"/>
      <c r="P101" s="117"/>
      <c r="Q101" s="117"/>
    </row>
    <row r="102" spans="1:21" ht="13" x14ac:dyDescent="0.3">
      <c r="B102" s="117"/>
      <c r="I102" s="283"/>
      <c r="J102" s="283"/>
      <c r="K102" s="283"/>
      <c r="L102" s="283"/>
      <c r="P102" s="117"/>
      <c r="Q102" s="117"/>
    </row>
    <row r="110" spans="1:21" x14ac:dyDescent="0.25">
      <c r="A110" s="823"/>
    </row>
    <row r="111" spans="1:21" x14ac:dyDescent="0.25">
      <c r="A111" s="823"/>
    </row>
    <row r="112" spans="1:21" x14ac:dyDescent="0.25">
      <c r="A112" s="823"/>
    </row>
    <row r="113" spans="1:1" x14ac:dyDescent="0.25">
      <c r="A113" s="823"/>
    </row>
    <row r="114" spans="1:1" x14ac:dyDescent="0.25">
      <c r="A114" s="823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</sheetData>
  <sheetProtection algorithmName="SHA-512" hashValue="N12W1PO5QNZ1bl/OSMp8emLBzCWfKmBQsjARxxLl2wOLeH4VV3rJSONS7k6W6Nun119POT+EoniNzEBSdCennQ==" saltValue="4nxsNcAndMvfOMZf1JkHlA==" spinCount="100000" sheet="1" objects="1" scenarios="1"/>
  <mergeCells count="1">
    <mergeCell ref="A110:A151"/>
  </mergeCells>
  <hyperlinks>
    <hyperlink ref="N3" location="Form!A1" tooltip=" " display="Form!A1" xr:uid="{00000000-0004-0000-1700-000000000000}"/>
    <hyperlink ref="N4" location="Menu!A1" tooltip=" " display="Menu!A1" xr:uid="{00000000-0004-0000-1700-000001000000}"/>
    <hyperlink ref="N7" location="Acs!A1" tooltip=" " display="Acs!A1" xr:uid="{00000000-0004-0000-1700-000002000000}"/>
    <hyperlink ref="N8" location="SD!A1" tooltip=" " display="SD!A1" xr:uid="{00000000-0004-0000-1700-000003000000}"/>
    <hyperlink ref="N10" location="Sum!A1" tooltip=" " display="Sum!A1" xr:uid="{00000000-0004-0000-1700-000004000000}"/>
    <hyperlink ref="N11" location="Ord!A1" tooltip=" " display="Ord!A1" xr:uid="{00000000-0004-0000-1700-000005000000}"/>
    <hyperlink ref="N9" location="AL!A1" tooltip=" " display="AL!A1" xr:uid="{00000000-0004-0000-17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Drop Down 1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Drop Down 2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8">
    <tabColor theme="2" tint="-0.499984740745262"/>
  </sheetPr>
  <dimension ref="A1:Y173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5xC"</f>
        <v>SPACE-TOWER, sestava 5xC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List!$B$72</f>
        <v>přední reling</v>
      </c>
      <c r="M3" s="117"/>
      <c r="N3" s="149" t="str">
        <f>" "&amp;List!$B$13</f>
        <v xml:space="preserve"> Úvod</v>
      </c>
      <c r="O3" s="117"/>
      <c r="P3" s="367" t="str">
        <f>Cen!A111</f>
        <v>Bočnice C pure, 270mm, Orion šedá</v>
      </c>
      <c r="Q3" s="367" t="str">
        <f>Cen!B111</f>
        <v>770C2702S</v>
      </c>
      <c r="R3" s="367" t="str">
        <f>Cen!C111</f>
        <v>OG-M</v>
      </c>
      <c r="S3" s="368"/>
      <c r="T3" s="369">
        <f>Cen!F111</f>
        <v>920.62116000000003</v>
      </c>
      <c r="U3" s="37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406</v>
      </c>
      <c r="L4" s="120"/>
      <c r="M4" s="117"/>
      <c r="N4" s="150" t="str">
        <f>" "&amp;List!$B$4</f>
        <v xml:space="preserve"> Výběr zásuvek a výsuvů</v>
      </c>
      <c r="O4" s="117"/>
      <c r="P4" s="367" t="str">
        <f>Cen!A116</f>
        <v>Bočnice C pure, 300mm, Orion šedá</v>
      </c>
      <c r="Q4" s="367" t="str">
        <f>Cen!B116</f>
        <v>770C3002S</v>
      </c>
      <c r="R4" s="367" t="str">
        <f>Cen!C116</f>
        <v>OG-M</v>
      </c>
      <c r="S4" s="368"/>
      <c r="T4" s="369">
        <f>Cen!F116</f>
        <v>920.62116000000003</v>
      </c>
      <c r="U4" s="37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67" t="str">
        <f>Cen!A121</f>
        <v>Bočnice C pure, 350mm, Orion šedá</v>
      </c>
      <c r="Q5" s="367" t="str">
        <f>Cen!B121</f>
        <v>770C3502S</v>
      </c>
      <c r="R5" s="367" t="str">
        <f>Cen!C121</f>
        <v>OG-M</v>
      </c>
      <c r="S5" s="368"/>
      <c r="T5" s="369">
        <f>Cen!F121</f>
        <v>920.62116000000003</v>
      </c>
      <c r="U5" s="37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771</v>
      </c>
      <c r="L6" s="120"/>
      <c r="M6" s="117"/>
      <c r="N6" s="2" t="str">
        <f>List!$B$12&amp;":"</f>
        <v>Pokračovat na:</v>
      </c>
      <c r="O6" s="117"/>
      <c r="P6" s="367" t="str">
        <f>Cen!A126</f>
        <v>Bočnice C pure, 400mm, Orion šedá</v>
      </c>
      <c r="Q6" s="367" t="str">
        <f>Cen!B126</f>
        <v>770C4002S</v>
      </c>
      <c r="R6" s="367" t="str">
        <f>Cen!C126</f>
        <v>OG-M</v>
      </c>
      <c r="S6" s="368"/>
      <c r="T6" s="369">
        <f>Cen!F126</f>
        <v>931.92665999999997</v>
      </c>
      <c r="U6" s="370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/>
      <c r="J7" s="120"/>
      <c r="K7" s="119"/>
      <c r="L7" s="120"/>
      <c r="M7" s="117"/>
      <c r="N7" s="149" t="str">
        <f>" "&amp;List!$B$5</f>
        <v xml:space="preserve"> Výběr doplňků</v>
      </c>
      <c r="O7" s="117"/>
      <c r="P7" s="389" t="str">
        <f>Cen!A131</f>
        <v>Bočnice C pure, 450mm, Orion šedá</v>
      </c>
      <c r="Q7" s="389" t="str">
        <f>Cen!B131</f>
        <v>770C4502S</v>
      </c>
      <c r="R7" s="389" t="str">
        <f>Cen!C131</f>
        <v>OG-M</v>
      </c>
      <c r="S7" s="416">
        <f>SUM(D26, J26, D34, J34)*5</f>
        <v>0</v>
      </c>
      <c r="T7" s="417">
        <f>Cen!F131</f>
        <v>921.30178999999998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416">
        <f>SUM(E26, K26, E34, K34)*5</f>
        <v>0</v>
      </c>
      <c r="T8" s="261">
        <f>Cen!F136</f>
        <v>932.34378000000004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416">
        <f>SUM(F26, L26, F34, L34)*5</f>
        <v>0</v>
      </c>
      <c r="T9" s="261">
        <f>Cen!F141</f>
        <v>1011.04004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52" t="str">
        <f>Cen!A146</f>
        <v>Bočnice C pure, 600mm, Orion šedá</v>
      </c>
      <c r="Q10" s="352" t="str">
        <f>Cen!B146</f>
        <v>770C6002S</v>
      </c>
      <c r="R10" s="352" t="str">
        <f>Cen!C146</f>
        <v>OG-M</v>
      </c>
      <c r="S10" s="353"/>
      <c r="T10" s="354">
        <f>Cen!F146</f>
        <v>1127.97047</v>
      </c>
      <c r="U10" s="355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List!$C$154&amp;":   LW - 90"</f>
        <v>Příčný reling:   LW - 90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17"/>
      <c r="N34" s="117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17"/>
      <c r="N35" s="117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17"/>
      <c r="N36" s="117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17"/>
      <c r="N37" s="117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17"/>
      <c r="N38" s="117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17"/>
      <c r="N39" s="117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17"/>
      <c r="N40" s="117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17"/>
      <c r="N41" s="117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17"/>
      <c r="N42" s="117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11"/>
      <c r="D44" s="351"/>
      <c r="E44" s="351"/>
      <c r="F44" s="351"/>
      <c r="G44" s="351"/>
      <c r="H44" s="351"/>
      <c r="I44" s="290"/>
      <c r="J44" s="290"/>
      <c r="K44" s="290"/>
      <c r="L44" s="290"/>
      <c r="M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11"/>
      <c r="D45" s="351"/>
      <c r="E45" s="351"/>
      <c r="F45" s="351"/>
      <c r="G45" s="351"/>
      <c r="H45" s="351"/>
      <c r="I45" s="290"/>
      <c r="J45" s="290"/>
      <c r="K45" s="290"/>
      <c r="L45" s="290"/>
      <c r="M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11"/>
      <c r="D46" s="351"/>
      <c r="E46" s="351"/>
      <c r="F46" s="351"/>
      <c r="G46" s="351"/>
      <c r="H46" s="351"/>
      <c r="I46" s="290"/>
      <c r="J46" s="290"/>
      <c r="K46" s="290"/>
      <c r="L46" s="290"/>
      <c r="M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11"/>
      <c r="D47" s="351"/>
      <c r="E47" s="351"/>
      <c r="F47" s="351"/>
      <c r="G47" s="351"/>
      <c r="H47" s="351"/>
      <c r="I47" s="290"/>
      <c r="J47" s="290"/>
      <c r="K47" s="290"/>
      <c r="L47" s="290"/>
      <c r="M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B48" s="117"/>
      <c r="C48" s="311"/>
      <c r="D48" s="351"/>
      <c r="E48" s="351"/>
      <c r="F48" s="351"/>
      <c r="G48" s="351"/>
      <c r="H48" s="351"/>
      <c r="I48" s="290"/>
      <c r="J48" s="290"/>
      <c r="K48" s="290"/>
      <c r="L48" s="290"/>
      <c r="M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B49" s="117"/>
      <c r="C49" s="311"/>
      <c r="D49" s="351"/>
      <c r="E49" s="351"/>
      <c r="F49" s="351"/>
      <c r="G49" s="351"/>
      <c r="H49" s="351"/>
      <c r="I49" s="290"/>
      <c r="J49" s="290"/>
      <c r="K49" s="290"/>
      <c r="L49" s="290"/>
      <c r="M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11"/>
      <c r="D50" s="351"/>
      <c r="E50" s="351"/>
      <c r="F50" s="351"/>
      <c r="G50" s="351"/>
      <c r="H50" s="351"/>
      <c r="I50" s="290"/>
      <c r="J50" s="290"/>
      <c r="K50" s="290"/>
      <c r="L50" s="290"/>
      <c r="M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11"/>
      <c r="D51" s="351"/>
      <c r="E51" s="351"/>
      <c r="F51" s="351"/>
      <c r="G51" s="351"/>
      <c r="H51" s="351"/>
      <c r="I51" s="290"/>
      <c r="J51" s="290"/>
      <c r="K51" s="290"/>
      <c r="L51" s="290"/>
      <c r="M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11"/>
      <c r="D52" s="351"/>
      <c r="E52" s="351"/>
      <c r="F52" s="351"/>
      <c r="G52" s="351"/>
      <c r="H52" s="351"/>
      <c r="I52" s="290"/>
      <c r="J52" s="290"/>
      <c r="K52" s="290"/>
      <c r="L52" s="290"/>
      <c r="M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11"/>
      <c r="D53" s="351"/>
      <c r="E53" s="351"/>
      <c r="F53" s="351"/>
      <c r="G53" s="351"/>
      <c r="H53" s="351"/>
      <c r="I53" s="290"/>
      <c r="J53" s="290"/>
      <c r="K53" s="290"/>
      <c r="L53" s="290"/>
      <c r="M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11"/>
      <c r="D54" s="351"/>
      <c r="E54" s="351"/>
      <c r="F54" s="351"/>
      <c r="G54" s="351"/>
      <c r="H54" s="351"/>
      <c r="I54" s="290"/>
      <c r="J54" s="290"/>
      <c r="K54" s="290"/>
      <c r="L54" s="290"/>
      <c r="M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11"/>
      <c r="D55" s="351"/>
      <c r="E55" s="351"/>
      <c r="F55" s="351"/>
      <c r="G55" s="351"/>
      <c r="H55" s="351"/>
      <c r="I55" s="290"/>
      <c r="J55" s="290"/>
      <c r="K55" s="290"/>
      <c r="L55" s="290"/>
      <c r="M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11"/>
      <c r="D56" s="351"/>
      <c r="E56" s="351"/>
      <c r="F56" s="351"/>
      <c r="G56" s="351"/>
      <c r="H56" s="351"/>
      <c r="I56" s="290"/>
      <c r="J56" s="290"/>
      <c r="K56" s="290"/>
      <c r="L56" s="290"/>
      <c r="M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11"/>
      <c r="D57" s="351"/>
      <c r="E57" s="351"/>
      <c r="F57" s="351"/>
      <c r="G57" s="351"/>
      <c r="H57" s="351"/>
      <c r="I57" s="290"/>
      <c r="J57" s="290"/>
      <c r="K57" s="290"/>
      <c r="L57" s="290"/>
      <c r="M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11"/>
      <c r="D58" s="351"/>
      <c r="E58" s="351"/>
      <c r="F58" s="351"/>
      <c r="G58" s="351"/>
      <c r="H58" s="351"/>
      <c r="I58" s="290"/>
      <c r="J58" s="290"/>
      <c r="K58" s="290"/>
      <c r="L58" s="290"/>
      <c r="M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11"/>
      <c r="D59" s="351"/>
      <c r="E59" s="351"/>
      <c r="F59" s="351"/>
      <c r="G59" s="351"/>
      <c r="H59" s="351"/>
      <c r="I59" s="290"/>
      <c r="J59" s="290"/>
      <c r="K59" s="290"/>
      <c r="L59" s="290"/>
      <c r="M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11"/>
      <c r="D60" s="351"/>
      <c r="E60" s="351"/>
      <c r="F60" s="351"/>
      <c r="G60" s="351"/>
      <c r="H60" s="351"/>
      <c r="I60" s="290"/>
      <c r="J60" s="290"/>
      <c r="K60" s="290"/>
      <c r="L60" s="290"/>
      <c r="M60" s="117"/>
      <c r="P60" s="142"/>
      <c r="Q60" s="142"/>
      <c r="R60" s="142"/>
      <c r="S60" s="148"/>
      <c r="T60" s="152"/>
      <c r="U60" s="152"/>
    </row>
    <row r="61" spans="1:22" ht="13" x14ac:dyDescent="0.3">
      <c r="A61" s="175"/>
      <c r="C61" s="289"/>
      <c r="D61" s="175"/>
      <c r="E61" s="175"/>
      <c r="F61" s="175"/>
      <c r="G61" s="175"/>
      <c r="H61" s="175"/>
      <c r="I61" s="283"/>
      <c r="J61" s="283"/>
      <c r="K61" s="283"/>
      <c r="L61" s="283"/>
      <c r="M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3" x14ac:dyDescent="0.3">
      <c r="C62" s="289"/>
      <c r="D62" s="175"/>
      <c r="E62" s="175"/>
      <c r="F62" s="175"/>
      <c r="G62" s="175"/>
      <c r="H62" s="175"/>
      <c r="I62" s="175"/>
      <c r="J62" s="175"/>
      <c r="K62" s="175"/>
      <c r="L62" s="175"/>
      <c r="M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3" x14ac:dyDescent="0.3">
      <c r="C63" s="282"/>
      <c r="I63" s="284"/>
      <c r="J63" s="284"/>
      <c r="K63" s="284"/>
      <c r="L63" s="284"/>
      <c r="M63" s="117"/>
      <c r="P63" s="120"/>
      <c r="Q63" s="120"/>
      <c r="R63" s="120"/>
      <c r="S63" s="121"/>
      <c r="T63" s="116"/>
      <c r="U63" s="116"/>
    </row>
    <row r="64" spans="1:22" ht="13" x14ac:dyDescent="0.3">
      <c r="A64" s="175"/>
      <c r="C64" s="289"/>
      <c r="D64" s="175"/>
      <c r="E64" s="175"/>
      <c r="F64" s="175"/>
      <c r="G64" s="175"/>
      <c r="H64" s="175"/>
      <c r="I64" s="283"/>
      <c r="J64" s="283"/>
      <c r="K64" s="283"/>
      <c r="L64" s="283"/>
      <c r="M64" s="117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SUM(S3:S10)</f>
        <v>0</v>
      </c>
      <c r="T64" s="116">
        <f>Cen!$F329</f>
        <v>47.092230000000001</v>
      </c>
      <c r="U64" s="116">
        <f>S64*T64</f>
        <v>0</v>
      </c>
    </row>
    <row r="65" spans="1:21" ht="13" x14ac:dyDescent="0.3">
      <c r="C65" s="289"/>
      <c r="D65" s="175"/>
      <c r="E65" s="175"/>
      <c r="F65" s="175"/>
      <c r="G65" s="175"/>
      <c r="H65" s="175"/>
      <c r="I65" s="175"/>
      <c r="J65" s="175"/>
      <c r="K65" s="175"/>
      <c r="L65" s="175"/>
      <c r="M65" s="117"/>
      <c r="P65" s="120" t="str">
        <f>Cen!A374</f>
        <v>Sada kování vnitř.výs. C, s relingem, Orion šedá</v>
      </c>
      <c r="Q65" s="120" t="str">
        <f>Cen!B374</f>
        <v>ZI7.3CS0</v>
      </c>
      <c r="R65" s="120" t="str">
        <f>Cen!C374</f>
        <v>OG-M</v>
      </c>
      <c r="S65" s="121">
        <f>SUM(S3:S10)</f>
        <v>0</v>
      </c>
      <c r="T65" s="116">
        <f>Cen!F374</f>
        <v>547.28877999999997</v>
      </c>
      <c r="U65" s="116">
        <f>S65*T65</f>
        <v>0</v>
      </c>
    </row>
    <row r="66" spans="1:21" ht="13" x14ac:dyDescent="0.3">
      <c r="C66" s="282"/>
      <c r="I66" s="284"/>
      <c r="J66" s="284"/>
      <c r="K66" s="284"/>
      <c r="L66" s="284"/>
      <c r="M66" s="117"/>
      <c r="P66" s="120"/>
      <c r="Q66" s="120"/>
      <c r="R66" s="120"/>
      <c r="S66" s="121"/>
      <c r="T66" s="116"/>
      <c r="U66" s="116"/>
    </row>
    <row r="67" spans="1:21" ht="13" x14ac:dyDescent="0.3">
      <c r="C67" s="282"/>
      <c r="I67" s="285"/>
      <c r="J67" s="285"/>
      <c r="K67" s="285"/>
      <c r="L67" s="285"/>
      <c r="P67" s="120" t="str">
        <f>Cen!A389</f>
        <v>Přední díl vnitřní zásuvky, bez drážky, Orion šedá</v>
      </c>
      <c r="Q67" s="120" t="str">
        <f>Cen!B389</f>
        <v>ZV7.1043C01</v>
      </c>
      <c r="R67" s="120" t="str">
        <f>Cen!C389</f>
        <v>OG-M</v>
      </c>
      <c r="S67" s="329">
        <f>ROUNDUP(SUM($D$26, $E$26, $F$26, $D$34, $E$34, $F$34)/3*5, 0)+ROUNDUP(SUM($J$26, $K$26, $L$26, $J$34, $K$34, $L$34)/2*5,0)</f>
        <v>0</v>
      </c>
      <c r="T67" s="116">
        <f>Cen!F389</f>
        <v>467.12466999999998</v>
      </c>
      <c r="U67" s="116">
        <f>S67*T67</f>
        <v>0</v>
      </c>
    </row>
    <row r="68" spans="1:21" ht="14.5" x14ac:dyDescent="0.35">
      <c r="B68" s="24"/>
      <c r="C68" s="282"/>
      <c r="I68" s="283"/>
      <c r="J68" s="283"/>
      <c r="K68" s="283"/>
      <c r="L68" s="283"/>
      <c r="P68" s="120" t="str">
        <f>Cen!A419</f>
        <v>Příčný reling vnitřní zásuvky, Orion šedá</v>
      </c>
      <c r="Q68" s="120" t="str">
        <f>Cen!B419</f>
        <v>ZR7.1080U</v>
      </c>
      <c r="R68" s="120" t="str">
        <f>Cen!C419</f>
        <v>OG-M</v>
      </c>
      <c r="S68" s="329">
        <f>ROUNDUP(SUM($D$26, $E$26, $F$26, $D$34, $E$34, $F$34)/3*4, 0)+ROUNDUP(SUM($J$26, $K$26, $L$26, $J$34, $K$34, $L$34)/2*4,0)</f>
        <v>0</v>
      </c>
      <c r="T68" s="116">
        <f>Cen!F419</f>
        <v>199.21817999999999</v>
      </c>
      <c r="U68" s="116">
        <f>S68*T68</f>
        <v>0</v>
      </c>
    </row>
    <row r="69" spans="1:21" ht="14" x14ac:dyDescent="0.3">
      <c r="B69" s="351"/>
      <c r="C69" s="286"/>
      <c r="D69" s="340"/>
      <c r="E69" s="341"/>
      <c r="F69" s="342"/>
      <c r="G69" s="342"/>
      <c r="H69" s="341"/>
      <c r="I69" s="341"/>
      <c r="J69" s="286"/>
      <c r="K69" s="286"/>
      <c r="L69" s="286"/>
      <c r="P69" s="142"/>
      <c r="Q69" s="142"/>
      <c r="R69" s="142"/>
      <c r="S69" s="148"/>
      <c r="T69" s="152"/>
      <c r="U69" s="152"/>
    </row>
    <row r="70" spans="1:21" ht="14" x14ac:dyDescent="0.3">
      <c r="A70" s="175"/>
      <c r="B70" s="343"/>
      <c r="C70" s="341"/>
      <c r="D70" s="290"/>
      <c r="E70" s="290"/>
      <c r="F70" s="290"/>
      <c r="G70" s="290"/>
      <c r="H70" s="290"/>
      <c r="I70" s="290"/>
      <c r="J70" s="290"/>
      <c r="K70" s="290"/>
      <c r="L70" s="290"/>
      <c r="M70" s="117"/>
      <c r="N70" s="117"/>
      <c r="P70" s="120"/>
      <c r="Q70" s="120"/>
      <c r="R70" s="120"/>
      <c r="S70" s="121"/>
      <c r="T70" s="116"/>
      <c r="U70" s="116"/>
    </row>
    <row r="71" spans="1:21" ht="14" x14ac:dyDescent="0.3">
      <c r="A71" s="175"/>
      <c r="B71" s="343"/>
      <c r="C71" s="341"/>
      <c r="D71" s="290"/>
      <c r="E71" s="290"/>
      <c r="F71" s="290"/>
      <c r="G71" s="290"/>
      <c r="H71" s="290"/>
      <c r="I71" s="290"/>
      <c r="J71" s="290"/>
      <c r="K71" s="290"/>
      <c r="L71" s="290"/>
      <c r="M71" s="117"/>
      <c r="N71" s="117"/>
      <c r="P71" s="120"/>
      <c r="Q71" s="120"/>
      <c r="R71" s="120"/>
      <c r="S71" s="121"/>
      <c r="T71" s="116"/>
      <c r="U71" s="116"/>
    </row>
    <row r="72" spans="1:21" ht="14" x14ac:dyDescent="0.3">
      <c r="A72" s="175"/>
      <c r="B72" s="343"/>
      <c r="C72" s="341"/>
      <c r="D72" s="290"/>
      <c r="E72" s="290"/>
      <c r="F72" s="290"/>
      <c r="G72" s="290"/>
      <c r="H72" s="290"/>
      <c r="I72" s="290"/>
      <c r="J72" s="290"/>
      <c r="K72" s="290"/>
      <c r="L72" s="290"/>
      <c r="M72" s="117"/>
      <c r="N72" s="117"/>
      <c r="P72" s="120"/>
      <c r="Q72" s="120"/>
      <c r="R72" s="120"/>
      <c r="S72" s="121"/>
      <c r="T72" s="116"/>
      <c r="U72" s="116"/>
    </row>
    <row r="73" spans="1:21" ht="14" x14ac:dyDescent="0.3">
      <c r="A73" s="175"/>
      <c r="B73" s="343"/>
      <c r="C73" s="341"/>
      <c r="D73" s="290"/>
      <c r="E73" s="290"/>
      <c r="F73" s="290"/>
      <c r="G73" s="290"/>
      <c r="H73" s="290"/>
      <c r="I73" s="290"/>
      <c r="J73" s="290"/>
      <c r="K73" s="290"/>
      <c r="L73" s="290"/>
      <c r="M73" s="117"/>
      <c r="N73" s="117"/>
      <c r="P73" s="120"/>
      <c r="Q73" s="120"/>
      <c r="R73" s="120"/>
      <c r="S73" s="121"/>
      <c r="T73" s="116"/>
      <c r="U73" s="116"/>
    </row>
    <row r="74" spans="1:21" ht="14" x14ac:dyDescent="0.3">
      <c r="A74" s="175"/>
      <c r="B74" s="343"/>
      <c r="C74" s="341"/>
      <c r="D74" s="290"/>
      <c r="E74" s="290"/>
      <c r="F74" s="290"/>
      <c r="G74" s="290"/>
      <c r="H74" s="290"/>
      <c r="I74" s="290"/>
      <c r="J74" s="290"/>
      <c r="K74" s="290"/>
      <c r="L74" s="290"/>
      <c r="M74" s="117"/>
      <c r="N74" s="117"/>
      <c r="P74" s="120"/>
      <c r="Q74" s="120"/>
      <c r="R74" s="120"/>
      <c r="S74" s="121"/>
      <c r="T74" s="116"/>
      <c r="U74" s="116"/>
    </row>
    <row r="75" spans="1:21" ht="14" x14ac:dyDescent="0.3">
      <c r="A75" s="175"/>
      <c r="B75" s="343"/>
      <c r="C75" s="341"/>
      <c r="D75" s="290"/>
      <c r="E75" s="290"/>
      <c r="F75" s="290"/>
      <c r="G75" s="290"/>
      <c r="H75" s="290"/>
      <c r="I75" s="290"/>
      <c r="J75" s="290"/>
      <c r="K75" s="290"/>
      <c r="L75" s="290"/>
      <c r="M75" s="117"/>
      <c r="N75" s="117"/>
      <c r="P75" s="120"/>
      <c r="Q75" s="120"/>
      <c r="R75" s="120"/>
      <c r="S75" s="121"/>
      <c r="T75" s="116"/>
      <c r="U75" s="116"/>
    </row>
    <row r="76" spans="1:21" ht="14" x14ac:dyDescent="0.3">
      <c r="A76" s="175"/>
      <c r="B76" s="343"/>
      <c r="C76" s="341"/>
      <c r="D76" s="290"/>
      <c r="E76" s="290"/>
      <c r="F76" s="290"/>
      <c r="G76" s="290"/>
      <c r="H76" s="290"/>
      <c r="I76" s="290"/>
      <c r="J76" s="290"/>
      <c r="K76" s="290"/>
      <c r="L76" s="290"/>
      <c r="M76" s="117"/>
      <c r="N76" s="117"/>
      <c r="P76" s="120"/>
      <c r="Q76" s="120"/>
      <c r="R76" s="120"/>
      <c r="S76" s="121"/>
      <c r="T76" s="116"/>
      <c r="U76" s="116"/>
    </row>
    <row r="77" spans="1:21" ht="14" x14ac:dyDescent="0.3">
      <c r="A77" s="175"/>
      <c r="B77" s="343"/>
      <c r="C77" s="341"/>
      <c r="D77" s="290"/>
      <c r="E77" s="290"/>
      <c r="F77" s="290"/>
      <c r="G77" s="290"/>
      <c r="H77" s="290"/>
      <c r="I77" s="290"/>
      <c r="J77" s="290"/>
      <c r="K77" s="290"/>
      <c r="L77" s="290"/>
      <c r="M77" s="117"/>
      <c r="N77" s="117"/>
      <c r="P77" s="120"/>
      <c r="Q77" s="120"/>
      <c r="R77" s="120"/>
      <c r="S77" s="121"/>
      <c r="T77" s="116"/>
      <c r="U77" s="116"/>
    </row>
    <row r="78" spans="1:21" ht="14" x14ac:dyDescent="0.3">
      <c r="A78" s="175"/>
      <c r="B78" s="343"/>
      <c r="C78" s="341"/>
      <c r="D78" s="290"/>
      <c r="E78" s="290"/>
      <c r="F78" s="290"/>
      <c r="G78" s="290"/>
      <c r="H78" s="290"/>
      <c r="I78" s="290"/>
      <c r="J78" s="290"/>
      <c r="K78" s="290"/>
      <c r="L78" s="290"/>
      <c r="M78" s="117"/>
      <c r="N78" s="117"/>
      <c r="P78" s="120"/>
      <c r="Q78" s="120"/>
      <c r="R78" s="120"/>
      <c r="S78" s="121"/>
      <c r="T78" s="116"/>
      <c r="U78" s="116"/>
    </row>
    <row r="79" spans="1:21" ht="14" x14ac:dyDescent="0.3">
      <c r="A79" s="175"/>
      <c r="B79" s="343"/>
      <c r="C79" s="341"/>
      <c r="D79" s="290"/>
      <c r="E79" s="290"/>
      <c r="F79" s="290"/>
      <c r="G79" s="290"/>
      <c r="H79" s="290"/>
      <c r="I79" s="290"/>
      <c r="J79" s="290"/>
      <c r="K79" s="290"/>
      <c r="L79" s="290"/>
      <c r="M79" s="117"/>
      <c r="N79" s="117"/>
      <c r="P79" s="120"/>
      <c r="Q79" s="120"/>
      <c r="R79" s="120"/>
      <c r="S79" s="121"/>
      <c r="T79" s="116"/>
      <c r="U79" s="116"/>
    </row>
    <row r="80" spans="1:21" ht="14" x14ac:dyDescent="0.3">
      <c r="A80" s="175"/>
      <c r="B80" s="343"/>
      <c r="C80" s="341"/>
      <c r="D80" s="290"/>
      <c r="E80" s="290"/>
      <c r="F80" s="290"/>
      <c r="G80" s="290"/>
      <c r="H80" s="290"/>
      <c r="I80" s="290"/>
      <c r="J80" s="290"/>
      <c r="K80" s="290"/>
      <c r="L80" s="290"/>
      <c r="M80" s="117"/>
      <c r="N80" s="117"/>
      <c r="P80" s="120"/>
      <c r="Q80" s="120"/>
      <c r="R80" s="120"/>
      <c r="S80" s="121"/>
      <c r="T80" s="116"/>
      <c r="U80" s="116"/>
    </row>
    <row r="81" spans="1:22" ht="14" x14ac:dyDescent="0.3">
      <c r="A81" s="175"/>
      <c r="B81" s="343"/>
      <c r="C81" s="341"/>
      <c r="D81" s="290"/>
      <c r="E81" s="290"/>
      <c r="F81" s="290"/>
      <c r="G81" s="290"/>
      <c r="H81" s="290"/>
      <c r="I81" s="290"/>
      <c r="J81" s="290"/>
      <c r="K81" s="290"/>
      <c r="L81" s="290"/>
      <c r="M81" s="117"/>
      <c r="N81" s="117"/>
      <c r="P81" s="120"/>
      <c r="Q81" s="120"/>
      <c r="R81" s="120"/>
      <c r="S81" s="121"/>
      <c r="T81" s="116"/>
      <c r="U81" s="116"/>
    </row>
    <row r="82" spans="1:22" ht="14" x14ac:dyDescent="0.3">
      <c r="A82" s="175"/>
      <c r="B82" s="343"/>
      <c r="C82" s="341"/>
      <c r="D82" s="290"/>
      <c r="E82" s="290"/>
      <c r="F82" s="290"/>
      <c r="G82" s="290"/>
      <c r="H82" s="290"/>
      <c r="I82" s="290"/>
      <c r="J82" s="290"/>
      <c r="K82" s="290"/>
      <c r="L82" s="290"/>
      <c r="M82" s="117"/>
      <c r="N82" s="117"/>
      <c r="P82" s="120"/>
      <c r="Q82" s="120"/>
      <c r="R82" s="120"/>
      <c r="S82" s="121"/>
      <c r="T82" s="116"/>
      <c r="U82" s="116"/>
    </row>
    <row r="83" spans="1:22" ht="14" x14ac:dyDescent="0.3">
      <c r="A83" s="175"/>
      <c r="B83" s="343"/>
      <c r="C83" s="341"/>
      <c r="D83" s="290"/>
      <c r="E83" s="290"/>
      <c r="F83" s="290"/>
      <c r="G83" s="290"/>
      <c r="H83" s="290"/>
      <c r="I83" s="290"/>
      <c r="J83" s="290"/>
      <c r="K83" s="290"/>
      <c r="L83" s="290"/>
      <c r="M83" s="117"/>
      <c r="N83" s="117"/>
      <c r="P83" s="120"/>
      <c r="Q83" s="120"/>
      <c r="R83" s="120"/>
      <c r="S83" s="121"/>
      <c r="T83" s="116"/>
      <c r="U83" s="116"/>
    </row>
    <row r="84" spans="1:22" ht="14" x14ac:dyDescent="0.3">
      <c r="A84" s="175"/>
      <c r="B84" s="343"/>
      <c r="C84" s="341"/>
      <c r="D84" s="290"/>
      <c r="E84" s="290"/>
      <c r="F84" s="290"/>
      <c r="G84" s="290"/>
      <c r="H84" s="290"/>
      <c r="I84" s="290"/>
      <c r="J84" s="290"/>
      <c r="K84" s="290"/>
      <c r="L84" s="290"/>
      <c r="M84" s="117"/>
      <c r="N84" s="117"/>
      <c r="P84" s="120"/>
      <c r="Q84" s="120"/>
      <c r="R84" s="120"/>
      <c r="S84" s="121"/>
      <c r="T84" s="116"/>
      <c r="U84" s="116"/>
    </row>
    <row r="85" spans="1:22" ht="14" x14ac:dyDescent="0.3">
      <c r="A85" s="175"/>
      <c r="B85" s="343"/>
      <c r="C85" s="341"/>
      <c r="D85" s="290"/>
      <c r="E85" s="290"/>
      <c r="F85" s="290"/>
      <c r="G85" s="290"/>
      <c r="H85" s="290"/>
      <c r="I85" s="290"/>
      <c r="J85" s="290"/>
      <c r="K85" s="290"/>
      <c r="L85" s="290"/>
      <c r="M85" s="117"/>
      <c r="N85" s="117"/>
      <c r="P85" s="120"/>
      <c r="Q85" s="120"/>
      <c r="R85" s="120"/>
      <c r="S85" s="121"/>
      <c r="T85" s="116"/>
      <c r="U85" s="116"/>
    </row>
    <row r="86" spans="1:22" ht="14" x14ac:dyDescent="0.3">
      <c r="A86" s="175"/>
      <c r="B86" s="343"/>
      <c r="C86" s="341"/>
      <c r="D86" s="290"/>
      <c r="E86" s="290"/>
      <c r="F86" s="290"/>
      <c r="G86" s="290"/>
      <c r="H86" s="290"/>
      <c r="I86" s="290"/>
      <c r="J86" s="290"/>
      <c r="K86" s="290"/>
      <c r="L86" s="290"/>
      <c r="M86" s="117"/>
      <c r="N86" s="117"/>
      <c r="P86" s="120"/>
      <c r="Q86" s="120"/>
      <c r="R86" s="120"/>
      <c r="S86" s="121"/>
      <c r="T86" s="116"/>
      <c r="U86" s="116"/>
    </row>
    <row r="87" spans="1:22" ht="14" x14ac:dyDescent="0.3">
      <c r="A87" s="175"/>
      <c r="B87" s="343"/>
      <c r="C87" s="341"/>
      <c r="D87" s="290"/>
      <c r="E87" s="290"/>
      <c r="F87" s="290"/>
      <c r="G87" s="290"/>
      <c r="H87" s="290"/>
      <c r="I87" s="290"/>
      <c r="J87" s="290"/>
      <c r="K87" s="290"/>
      <c r="L87" s="290"/>
      <c r="M87" s="117"/>
      <c r="N87" s="117"/>
      <c r="P87" s="120"/>
      <c r="Q87" s="120"/>
      <c r="R87" s="120"/>
      <c r="S87" s="121"/>
      <c r="T87" s="116"/>
      <c r="U87" s="116"/>
    </row>
    <row r="88" spans="1:22" ht="14" x14ac:dyDescent="0.3">
      <c r="A88" s="175"/>
      <c r="B88" s="343"/>
      <c r="C88" s="341"/>
      <c r="D88" s="290"/>
      <c r="E88" s="290"/>
      <c r="F88" s="290"/>
      <c r="G88" s="290"/>
      <c r="H88" s="290"/>
      <c r="I88" s="290"/>
      <c r="J88" s="290"/>
      <c r="K88" s="290"/>
      <c r="L88" s="290"/>
      <c r="M88" s="117"/>
      <c r="N88" s="117"/>
      <c r="P88" s="120"/>
      <c r="Q88" s="120"/>
      <c r="R88" s="120"/>
      <c r="S88" s="121"/>
      <c r="T88" s="116"/>
      <c r="U88" s="116"/>
    </row>
    <row r="89" spans="1:22" ht="14" x14ac:dyDescent="0.3">
      <c r="A89" s="175"/>
      <c r="B89" s="343"/>
      <c r="C89" s="341"/>
      <c r="D89" s="290"/>
      <c r="E89" s="290"/>
      <c r="F89" s="290"/>
      <c r="G89" s="290"/>
      <c r="H89" s="290"/>
      <c r="I89" s="290"/>
      <c r="J89" s="290"/>
      <c r="K89" s="290"/>
      <c r="L89" s="290"/>
      <c r="M89" s="117"/>
      <c r="N89" s="117"/>
      <c r="P89" s="120"/>
      <c r="Q89" s="120"/>
      <c r="R89" s="120"/>
      <c r="S89" s="121"/>
      <c r="T89" s="116"/>
      <c r="U89" s="116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2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2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2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2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2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116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3">S96*T96</f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2:21" ht="15.5" x14ac:dyDescent="0.35">
      <c r="B99" s="383"/>
      <c r="C99" s="286"/>
      <c r="D99" s="344"/>
      <c r="E99" s="290"/>
      <c r="F99" s="290"/>
      <c r="G99" s="290"/>
      <c r="H99" s="290"/>
      <c r="I99" s="290"/>
      <c r="J99" s="284"/>
      <c r="K99" s="284"/>
      <c r="L99" s="284"/>
      <c r="P99" s="117"/>
      <c r="Q99" s="117"/>
    </row>
    <row r="100" spans="2:21" ht="14" x14ac:dyDescent="0.3">
      <c r="B100" s="375"/>
      <c r="C100" s="311"/>
      <c r="D100" s="290"/>
      <c r="E100" s="290"/>
      <c r="F100" s="290"/>
      <c r="G100" s="290"/>
      <c r="H100" s="290"/>
      <c r="J100" s="285"/>
      <c r="K100" s="285"/>
      <c r="L100" s="285"/>
      <c r="P100" s="117"/>
      <c r="Q100" s="117"/>
    </row>
    <row r="101" spans="2:21" ht="13" x14ac:dyDescent="0.3">
      <c r="B101" s="175"/>
      <c r="C101" s="282"/>
      <c r="I101" s="283"/>
      <c r="J101" s="283"/>
      <c r="K101" s="283"/>
      <c r="L101" s="283"/>
      <c r="P101" s="117"/>
      <c r="Q101" s="117"/>
    </row>
    <row r="102" spans="2:21" ht="13" x14ac:dyDescent="0.3">
      <c r="B102" s="175"/>
      <c r="C102" s="282"/>
      <c r="I102" s="286"/>
      <c r="J102" s="286"/>
      <c r="K102" s="286"/>
      <c r="L102" s="286"/>
      <c r="P102" s="117"/>
      <c r="Q102" s="117"/>
    </row>
    <row r="103" spans="2:21" ht="13" x14ac:dyDescent="0.3">
      <c r="B103" s="175"/>
      <c r="C103" s="282"/>
      <c r="I103" s="286"/>
      <c r="J103" s="286"/>
      <c r="K103" s="286"/>
      <c r="L103" s="286"/>
      <c r="P103" s="117"/>
      <c r="Q103" s="117"/>
    </row>
    <row r="104" spans="2:21" ht="13" x14ac:dyDescent="0.3">
      <c r="B104" s="286"/>
      <c r="C104" s="282"/>
      <c r="I104" s="286"/>
      <c r="J104" s="286"/>
      <c r="K104" s="286"/>
      <c r="L104" s="286"/>
      <c r="P104" s="117"/>
      <c r="Q104" s="117"/>
    </row>
    <row r="105" spans="2:21" ht="13" x14ac:dyDescent="0.3">
      <c r="B105" s="289"/>
      <c r="C105" s="282"/>
      <c r="I105" s="284"/>
      <c r="J105" s="284"/>
      <c r="K105" s="284"/>
      <c r="L105" s="284"/>
      <c r="P105" s="117"/>
      <c r="Q105" s="117"/>
    </row>
    <row r="106" spans="2:21" x14ac:dyDescent="0.25">
      <c r="B106" s="117"/>
      <c r="I106" s="285"/>
      <c r="J106" s="285"/>
      <c r="K106" s="285"/>
      <c r="L106" s="285"/>
      <c r="P106" s="117"/>
      <c r="Q106" s="117"/>
    </row>
    <row r="107" spans="2:21" ht="13" x14ac:dyDescent="0.3">
      <c r="B107" s="117"/>
      <c r="I107" s="283"/>
      <c r="J107" s="283"/>
      <c r="K107" s="283"/>
      <c r="L107" s="283"/>
      <c r="P107" s="117"/>
      <c r="Q107" s="117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  <row r="152" spans="1:1" x14ac:dyDescent="0.25">
      <c r="A152" s="823"/>
    </row>
    <row r="153" spans="1:1" x14ac:dyDescent="0.25">
      <c r="A153" s="823"/>
    </row>
    <row r="154" spans="1:1" x14ac:dyDescent="0.25">
      <c r="A154" s="823"/>
    </row>
    <row r="155" spans="1:1" x14ac:dyDescent="0.25">
      <c r="A155" s="823"/>
    </row>
    <row r="156" spans="1:1" x14ac:dyDescent="0.25">
      <c r="A156" s="823"/>
    </row>
    <row r="157" spans="1:1" x14ac:dyDescent="0.25">
      <c r="A157" s="823"/>
    </row>
    <row r="158" spans="1:1" x14ac:dyDescent="0.25">
      <c r="A158" s="823"/>
    </row>
    <row r="159" spans="1:1" x14ac:dyDescent="0.25">
      <c r="A159" s="823"/>
    </row>
    <row r="160" spans="1:1" x14ac:dyDescent="0.25">
      <c r="A160" s="823"/>
    </row>
    <row r="161" spans="1:1" x14ac:dyDescent="0.25">
      <c r="A161" s="823"/>
    </row>
    <row r="162" spans="1:1" x14ac:dyDescent="0.25">
      <c r="A162" s="823"/>
    </row>
    <row r="163" spans="1:1" x14ac:dyDescent="0.25">
      <c r="A163" s="823"/>
    </row>
    <row r="164" spans="1:1" x14ac:dyDescent="0.25">
      <c r="A164" s="823"/>
    </row>
    <row r="165" spans="1:1" x14ac:dyDescent="0.25">
      <c r="A165" s="823"/>
    </row>
    <row r="166" spans="1:1" x14ac:dyDescent="0.25">
      <c r="A166" s="823"/>
    </row>
    <row r="167" spans="1:1" x14ac:dyDescent="0.25">
      <c r="A167" s="823"/>
    </row>
    <row r="168" spans="1:1" x14ac:dyDescent="0.25">
      <c r="A168" s="823"/>
    </row>
    <row r="169" spans="1:1" x14ac:dyDescent="0.25">
      <c r="A169" s="823"/>
    </row>
    <row r="170" spans="1:1" x14ac:dyDescent="0.25">
      <c r="A170" s="823"/>
    </row>
    <row r="171" spans="1:1" x14ac:dyDescent="0.25">
      <c r="A171" s="823"/>
    </row>
    <row r="172" spans="1:1" x14ac:dyDescent="0.25">
      <c r="A172" s="823"/>
    </row>
    <row r="173" spans="1:1" x14ac:dyDescent="0.25">
      <c r="A173" s="823"/>
    </row>
  </sheetData>
  <sheetProtection algorithmName="SHA-512" hashValue="KaJfFrcMb7EvzdATRl8Fe34H1nbj3Z+mCrsUo6USfeNo4FGquPyE+r42qNKioq7TMNfmPuPVfZZ4C7WHhM6WTg==" saltValue="4Pb1oINxVyXV+X12WLeorg==" spinCount="100000" sheet="1" objects="1" scenarios="1"/>
  <mergeCells count="1">
    <mergeCell ref="A132:A173"/>
  </mergeCells>
  <phoneticPr fontId="52" type="noConversion"/>
  <hyperlinks>
    <hyperlink ref="N3" location="Form!A1" tooltip=" " display="Form!A1" xr:uid="{00000000-0004-0000-1800-000000000000}"/>
    <hyperlink ref="N4" location="Menu!A1" tooltip=" " display="Menu!A1" xr:uid="{00000000-0004-0000-1800-000001000000}"/>
    <hyperlink ref="N7" location="Acs!A1" tooltip=" " display="Acs!A1" xr:uid="{00000000-0004-0000-1800-000002000000}"/>
    <hyperlink ref="N8" location="SD!A1" tooltip=" " display="SD!A1" xr:uid="{00000000-0004-0000-1800-000003000000}"/>
    <hyperlink ref="N10" location="Sum!A1" tooltip=" " display="Sum!A1" xr:uid="{00000000-0004-0000-1800-000004000000}"/>
    <hyperlink ref="N11" location="Ord!A1" tooltip=" " display="Ord!A1" xr:uid="{00000000-0004-0000-1800-000005000000}"/>
    <hyperlink ref="N9" location="AL!A1" tooltip=" " display="AL!A1" xr:uid="{00000000-0004-0000-18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6">
    <tabColor theme="5" tint="0.39997558519241921"/>
  </sheetPr>
  <dimension ref="A1:Y163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5xC"</f>
        <v>SPACE-TOWER, sestava 5xC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List!$B$72</f>
        <v>přední reling</v>
      </c>
      <c r="M3" s="117"/>
      <c r="N3" s="149" t="str">
        <f>" "&amp;List!$B$13</f>
        <v xml:space="preserve"> Úvod</v>
      </c>
      <c r="O3" s="117"/>
      <c r="P3" s="367"/>
      <c r="Q3" s="367"/>
      <c r="R3" s="367" t="str">
        <f>Cen!C111</f>
        <v>OG-M</v>
      </c>
      <c r="S3" s="368"/>
      <c r="T3" s="369"/>
      <c r="U3" s="37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406</v>
      </c>
      <c r="L4" s="120"/>
      <c r="M4" s="117"/>
      <c r="N4" s="150" t="str">
        <f>" "&amp;List!$B$4</f>
        <v xml:space="preserve"> Výběr zásuvek a výsuvů</v>
      </c>
      <c r="O4" s="117"/>
      <c r="P4" s="367"/>
      <c r="Q4" s="367"/>
      <c r="R4" s="367" t="str">
        <f>Cen!C116</f>
        <v>OG-M</v>
      </c>
      <c r="S4" s="368"/>
      <c r="T4" s="369"/>
      <c r="U4" s="37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67" t="str">
        <f>Cen!A166</f>
        <v>Bočnice C free, 350mm, Orion šedá</v>
      </c>
      <c r="Q5" s="367" t="str">
        <f>Cen!B166</f>
        <v>780C3502S</v>
      </c>
      <c r="R5" s="367" t="str">
        <f>Cen!C121</f>
        <v>OG-M</v>
      </c>
      <c r="S5" s="368"/>
      <c r="T5" s="369">
        <f>Cen!F166</f>
        <v>957.21118000000001</v>
      </c>
      <c r="U5" s="37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772</v>
      </c>
      <c r="L6" s="120"/>
      <c r="M6" s="117"/>
      <c r="N6" s="2" t="str">
        <f>List!$B$12&amp;":"</f>
        <v>Pokračovat na:</v>
      </c>
      <c r="O6" s="117"/>
      <c r="P6" s="367" t="str">
        <f>Cen!A171</f>
        <v>Bočnice C free, 400mm, Orion šedá</v>
      </c>
      <c r="Q6" s="367" t="str">
        <f>Cen!B171</f>
        <v>780C4002S</v>
      </c>
      <c r="R6" s="367" t="str">
        <f>Cen!C126</f>
        <v>OG-M</v>
      </c>
      <c r="S6" s="368"/>
      <c r="T6" s="369">
        <f>Cen!F171</f>
        <v>964.26940999999999</v>
      </c>
      <c r="U6" s="370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/>
      <c r="J7" s="120"/>
      <c r="K7" s="119"/>
      <c r="L7" s="120"/>
      <c r="M7" s="117"/>
      <c r="N7" s="149" t="str">
        <f>" "&amp;List!$B$5</f>
        <v xml:space="preserve"> Výběr doplňků</v>
      </c>
      <c r="O7" s="117"/>
      <c r="P7" s="389" t="str">
        <f>Cen!A176</f>
        <v>Bočnice C free, 450mm, Orion šedá</v>
      </c>
      <c r="Q7" s="389" t="str">
        <f>Cen!B176</f>
        <v>780C4502S</v>
      </c>
      <c r="R7" s="389" t="str">
        <f>Cen!C131</f>
        <v>OG-M</v>
      </c>
      <c r="S7" s="416">
        <f>SUM(D26, J26, D34, J34)*5</f>
        <v>0</v>
      </c>
      <c r="T7" s="417">
        <f>Cen!F176</f>
        <v>971.33302000000003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Cen!C136</f>
        <v>OG-M</v>
      </c>
      <c r="S8" s="416">
        <f>SUM(E26, K26, E34, K34)*5</f>
        <v>0</v>
      </c>
      <c r="T8" s="261">
        <f>Cen!F181</f>
        <v>978.39665000000002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Cen!C141</f>
        <v>OG-M</v>
      </c>
      <c r="S9" s="416">
        <f>SUM(F26, L26, F34, L34)*5</f>
        <v>0</v>
      </c>
      <c r="T9" s="261">
        <f>Cen!F186</f>
        <v>1034.8882699999999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67" t="str">
        <f>Cen!A191</f>
        <v>Bočnice C free, 600mm, Orion šedá</v>
      </c>
      <c r="Q10" s="367" t="str">
        <f>Cen!B191</f>
        <v>780C6002S</v>
      </c>
      <c r="R10" s="352" t="str">
        <f>Cen!C146</f>
        <v>OG-M</v>
      </c>
      <c r="S10" s="353"/>
      <c r="T10" s="369">
        <f>Cen!F191</f>
        <v>1123.16077</v>
      </c>
      <c r="U10" s="370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367" t="str">
        <f>Cen!A196</f>
        <v>Bočnice C free, 650mm, Orion šedá</v>
      </c>
      <c r="Q11" s="367" t="str">
        <f>Cen!B196</f>
        <v>780C6502S</v>
      </c>
      <c r="R11" s="120"/>
      <c r="S11" s="121"/>
      <c r="T11" s="369">
        <f>Cen!F196</f>
        <v>1156.3666000000001</v>
      </c>
      <c r="U11" s="370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List!$C$154&amp;":   LW - 90"</f>
        <v>Příčný reling:   LW - 90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17"/>
      <c r="N34" s="117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17"/>
      <c r="N35" s="117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17"/>
      <c r="N36" s="117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17"/>
      <c r="N37" s="117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17"/>
      <c r="N38" s="117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17"/>
      <c r="N39" s="117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17"/>
      <c r="N40" s="117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17"/>
      <c r="N41" s="117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17"/>
      <c r="N42" s="117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11"/>
      <c r="D44" s="351"/>
      <c r="E44" s="351"/>
      <c r="F44" s="351"/>
      <c r="G44" s="351"/>
      <c r="H44" s="351"/>
      <c r="I44" s="290"/>
      <c r="J44" s="290"/>
      <c r="K44" s="290"/>
      <c r="L44" s="290"/>
      <c r="M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11"/>
      <c r="D45" s="351"/>
      <c r="E45" s="351"/>
      <c r="F45" s="351"/>
      <c r="G45" s="351"/>
      <c r="H45" s="351"/>
      <c r="I45" s="290"/>
      <c r="J45" s="290"/>
      <c r="K45" s="290"/>
      <c r="L45" s="290"/>
      <c r="M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11"/>
      <c r="D46" s="351"/>
      <c r="E46" s="351"/>
      <c r="F46" s="351"/>
      <c r="G46" s="351"/>
      <c r="H46" s="351"/>
      <c r="I46" s="290"/>
      <c r="J46" s="290"/>
      <c r="K46" s="290"/>
      <c r="L46" s="290"/>
      <c r="M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11"/>
      <c r="D47" s="351"/>
      <c r="E47" s="351"/>
      <c r="F47" s="351"/>
      <c r="G47" s="351"/>
      <c r="H47" s="351"/>
      <c r="I47" s="290"/>
      <c r="J47" s="290"/>
      <c r="K47" s="290"/>
      <c r="L47" s="290"/>
      <c r="M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11"/>
      <c r="D48" s="351"/>
      <c r="E48" s="351"/>
      <c r="F48" s="351"/>
      <c r="G48" s="351"/>
      <c r="H48" s="351"/>
      <c r="I48" s="290"/>
      <c r="J48" s="290"/>
      <c r="K48" s="290"/>
      <c r="L48" s="290"/>
      <c r="M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11"/>
      <c r="D49" s="351"/>
      <c r="E49" s="351"/>
      <c r="F49" s="351"/>
      <c r="G49" s="351"/>
      <c r="H49" s="351"/>
      <c r="I49" s="290"/>
      <c r="J49" s="290"/>
      <c r="K49" s="290"/>
      <c r="L49" s="290"/>
      <c r="M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11"/>
      <c r="D50" s="351"/>
      <c r="E50" s="351"/>
      <c r="F50" s="351"/>
      <c r="G50" s="351"/>
      <c r="H50" s="351"/>
      <c r="I50" s="290"/>
      <c r="J50" s="290"/>
      <c r="K50" s="290"/>
      <c r="L50" s="290"/>
      <c r="M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11"/>
      <c r="D51" s="351"/>
      <c r="E51" s="351"/>
      <c r="F51" s="351"/>
      <c r="G51" s="351"/>
      <c r="H51" s="351"/>
      <c r="I51" s="290"/>
      <c r="J51" s="290"/>
      <c r="K51" s="290"/>
      <c r="L51" s="290"/>
      <c r="M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11"/>
      <c r="D52" s="351"/>
      <c r="E52" s="351"/>
      <c r="F52" s="351"/>
      <c r="G52" s="351"/>
      <c r="H52" s="351"/>
      <c r="I52" s="290"/>
      <c r="J52" s="290"/>
      <c r="K52" s="290"/>
      <c r="L52" s="290"/>
      <c r="M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11"/>
      <c r="D53" s="351"/>
      <c r="E53" s="351"/>
      <c r="F53" s="351"/>
      <c r="G53" s="351"/>
      <c r="H53" s="351"/>
      <c r="I53" s="290"/>
      <c r="J53" s="290"/>
      <c r="K53" s="290"/>
      <c r="L53" s="290"/>
      <c r="M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11"/>
      <c r="D54" s="351"/>
      <c r="E54" s="351"/>
      <c r="F54" s="351"/>
      <c r="G54" s="351"/>
      <c r="H54" s="351"/>
      <c r="I54" s="290"/>
      <c r="J54" s="290"/>
      <c r="K54" s="290"/>
      <c r="L54" s="290"/>
      <c r="M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11"/>
      <c r="D55" s="351"/>
      <c r="E55" s="351"/>
      <c r="F55" s="351"/>
      <c r="G55" s="351"/>
      <c r="H55" s="351"/>
      <c r="I55" s="290"/>
      <c r="J55" s="290"/>
      <c r="K55" s="290"/>
      <c r="L55" s="290"/>
      <c r="M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11"/>
      <c r="D56" s="351"/>
      <c r="E56" s="351"/>
      <c r="F56" s="351"/>
      <c r="G56" s="351"/>
      <c r="H56" s="351"/>
      <c r="I56" s="290"/>
      <c r="J56" s="290"/>
      <c r="K56" s="290"/>
      <c r="L56" s="290"/>
      <c r="M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11"/>
      <c r="D57" s="351"/>
      <c r="E57" s="351"/>
      <c r="F57" s="351"/>
      <c r="G57" s="351"/>
      <c r="H57" s="351"/>
      <c r="I57" s="290"/>
      <c r="J57" s="290"/>
      <c r="K57" s="290"/>
      <c r="L57" s="290"/>
      <c r="M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11"/>
      <c r="D58" s="351"/>
      <c r="E58" s="351"/>
      <c r="F58" s="351"/>
      <c r="G58" s="351"/>
      <c r="H58" s="351"/>
      <c r="I58" s="290"/>
      <c r="J58" s="290"/>
      <c r="K58" s="290"/>
      <c r="L58" s="290"/>
      <c r="M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11"/>
      <c r="D59" s="351"/>
      <c r="E59" s="351"/>
      <c r="F59" s="351"/>
      <c r="G59" s="351"/>
      <c r="H59" s="351"/>
      <c r="I59" s="290"/>
      <c r="J59" s="290"/>
      <c r="K59" s="290"/>
      <c r="L59" s="290"/>
      <c r="M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11"/>
      <c r="D60" s="351"/>
      <c r="E60" s="351"/>
      <c r="F60" s="351"/>
      <c r="G60" s="351"/>
      <c r="H60" s="351"/>
      <c r="I60" s="290"/>
      <c r="J60" s="290"/>
      <c r="K60" s="290"/>
      <c r="L60" s="290"/>
      <c r="M60" s="117"/>
      <c r="P60" s="142"/>
      <c r="Q60" s="142"/>
      <c r="R60" s="142"/>
      <c r="S60" s="148"/>
      <c r="T60" s="152"/>
      <c r="U60" s="152"/>
    </row>
    <row r="61" spans="1:22" ht="14" x14ac:dyDescent="0.3">
      <c r="A61" s="175"/>
      <c r="C61" s="311"/>
      <c r="D61" s="351"/>
      <c r="E61" s="351"/>
      <c r="F61" s="351"/>
      <c r="G61" s="351"/>
      <c r="H61" s="351"/>
      <c r="I61" s="290"/>
      <c r="J61" s="290"/>
      <c r="K61" s="290"/>
      <c r="L61" s="290"/>
      <c r="M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4" x14ac:dyDescent="0.3">
      <c r="A62" s="175"/>
      <c r="C62" s="311"/>
      <c r="D62" s="351"/>
      <c r="E62" s="351"/>
      <c r="F62" s="351"/>
      <c r="G62" s="351"/>
      <c r="H62" s="351"/>
      <c r="I62" s="290"/>
      <c r="J62" s="290"/>
      <c r="K62" s="290"/>
      <c r="L62" s="290"/>
      <c r="M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4" x14ac:dyDescent="0.3">
      <c r="A63" s="175"/>
      <c r="C63" s="311"/>
      <c r="D63" s="351"/>
      <c r="E63" s="351"/>
      <c r="F63" s="351"/>
      <c r="G63" s="351"/>
      <c r="H63" s="351"/>
      <c r="I63" s="290"/>
      <c r="J63" s="290"/>
      <c r="K63" s="290"/>
      <c r="L63" s="290"/>
      <c r="M63" s="117"/>
      <c r="P63" s="142"/>
      <c r="Q63" s="142"/>
      <c r="R63" s="142"/>
      <c r="S63" s="148"/>
      <c r="T63" s="152"/>
      <c r="U63" s="152"/>
    </row>
    <row r="64" spans="1:22" ht="13" x14ac:dyDescent="0.3">
      <c r="A64" s="175"/>
      <c r="C64" s="289"/>
      <c r="D64" s="175"/>
      <c r="E64" s="175"/>
      <c r="F64" s="175"/>
      <c r="G64" s="175"/>
      <c r="H64" s="175"/>
      <c r="I64" s="283"/>
      <c r="J64" s="283"/>
      <c r="K64" s="283"/>
      <c r="L64" s="283"/>
      <c r="M64" s="117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SUM(S3:S10)</f>
        <v>0</v>
      </c>
      <c r="T64" s="116">
        <f>Cen!$F329</f>
        <v>47.092230000000001</v>
      </c>
      <c r="U64" s="116">
        <f>S64*T64</f>
        <v>0</v>
      </c>
    </row>
    <row r="65" spans="2:21" ht="13" x14ac:dyDescent="0.3">
      <c r="C65" s="289"/>
      <c r="D65" s="175"/>
      <c r="E65" s="175"/>
      <c r="F65" s="175"/>
      <c r="G65" s="175"/>
      <c r="H65" s="175"/>
      <c r="I65" s="175"/>
      <c r="J65" s="175"/>
      <c r="K65" s="175"/>
      <c r="L65" s="175"/>
      <c r="M65" s="117"/>
      <c r="P65" s="120" t="str">
        <f>Cen!A374</f>
        <v>Sada kování vnitř.výs. C, s relingem, Orion šedá</v>
      </c>
      <c r="Q65" s="120" t="str">
        <f>Cen!B374</f>
        <v>ZI7.3CS0</v>
      </c>
      <c r="R65" s="120" t="str">
        <f>Cen!C374</f>
        <v>OG-M</v>
      </c>
      <c r="S65" s="121">
        <f>SUM(S3:S10)</f>
        <v>0</v>
      </c>
      <c r="T65" s="116">
        <f>Cen!F374</f>
        <v>547.28877999999997</v>
      </c>
      <c r="U65" s="116">
        <f>S65*T65</f>
        <v>0</v>
      </c>
    </row>
    <row r="66" spans="2:21" ht="13" x14ac:dyDescent="0.3">
      <c r="B66" s="117"/>
      <c r="C66" s="282"/>
      <c r="I66" s="284"/>
      <c r="J66" s="284"/>
      <c r="K66" s="284"/>
      <c r="L66" s="284"/>
      <c r="M66" s="117"/>
      <c r="P66" s="120"/>
      <c r="Q66" s="120"/>
      <c r="R66" s="120"/>
      <c r="S66" s="121"/>
      <c r="T66" s="116"/>
      <c r="U66" s="116"/>
    </row>
    <row r="67" spans="2:21" ht="13" x14ac:dyDescent="0.3">
      <c r="B67" s="117"/>
      <c r="C67" s="282"/>
      <c r="I67" s="285"/>
      <c r="J67" s="285"/>
      <c r="K67" s="285"/>
      <c r="L67" s="285"/>
      <c r="P67" s="120" t="str">
        <f>Cen!A389</f>
        <v>Přední díl vnitřní zásuvky, bez drážky, Orion šedá</v>
      </c>
      <c r="Q67" s="120" t="str">
        <f>Cen!B389</f>
        <v>ZV7.1043C01</v>
      </c>
      <c r="R67" s="120" t="str">
        <f>Cen!C389</f>
        <v>OG-M</v>
      </c>
      <c r="S67" s="329">
        <f>ROUNDUP(SUM($D$26, $E$26, $F$26, $D$34, $E$34, $F$34)/3*5, 0)+ROUNDUP(SUM($J$26, $K$26, $L$26, $J$34, $K$34, $L$34)/2*5,0)</f>
        <v>0</v>
      </c>
      <c r="T67" s="116">
        <f>Cen!F389</f>
        <v>467.12466999999998</v>
      </c>
      <c r="U67" s="116">
        <f>S67*T67</f>
        <v>0</v>
      </c>
    </row>
    <row r="68" spans="2:21" ht="14.5" x14ac:dyDescent="0.35">
      <c r="B68" s="24"/>
      <c r="C68" s="282"/>
      <c r="I68" s="283"/>
      <c r="J68" s="283"/>
      <c r="K68" s="283"/>
      <c r="L68" s="283"/>
      <c r="P68" s="120" t="str">
        <f>Cen!A419</f>
        <v>Příčný reling vnitřní zásuvky, Orion šedá</v>
      </c>
      <c r="Q68" s="120" t="str">
        <f>Cen!B419</f>
        <v>ZR7.1080U</v>
      </c>
      <c r="R68" s="120" t="str">
        <f>Cen!C419</f>
        <v>OG-M</v>
      </c>
      <c r="S68" s="329">
        <f>ROUNDUP(SUM($D$26, $E$26, $F$26, $D$34, $E$34, $F$34)/3*4, 0)+ROUNDUP(SUM($J$26, $K$26, $L$26, $J$34, $K$34, $L$34)/2*4,0)</f>
        <v>0</v>
      </c>
      <c r="T68" s="116">
        <f>Cen!F419</f>
        <v>199.21817999999999</v>
      </c>
      <c r="U68" s="116">
        <f>S68*T68</f>
        <v>0</v>
      </c>
    </row>
    <row r="69" spans="2:21" ht="14" x14ac:dyDescent="0.3">
      <c r="B69" s="117"/>
      <c r="C69" s="286"/>
      <c r="D69" s="340"/>
      <c r="E69" s="341"/>
      <c r="F69" s="342"/>
      <c r="G69" s="342"/>
      <c r="H69" s="341"/>
      <c r="I69" s="341"/>
      <c r="J69" s="286"/>
      <c r="K69" s="286"/>
      <c r="L69" s="286"/>
      <c r="P69" s="142"/>
      <c r="Q69" s="142"/>
      <c r="R69" s="142"/>
      <c r="S69" s="148"/>
      <c r="T69" s="152"/>
      <c r="U69" s="152"/>
    </row>
    <row r="70" spans="2:21" ht="13" x14ac:dyDescent="0.3">
      <c r="B70" s="117"/>
      <c r="C70" s="282"/>
      <c r="I70" s="283"/>
      <c r="J70" s="283"/>
      <c r="K70" s="283"/>
      <c r="L70" s="283"/>
      <c r="P70" s="117"/>
      <c r="Q70" s="117"/>
    </row>
    <row r="71" spans="2:21" ht="13" x14ac:dyDescent="0.3">
      <c r="B71" s="117"/>
      <c r="C71" s="282"/>
      <c r="I71" s="283"/>
      <c r="J71" s="283"/>
      <c r="K71" s="283"/>
      <c r="L71" s="283"/>
      <c r="P71" s="117"/>
      <c r="Q71" s="117"/>
    </row>
    <row r="72" spans="2:21" ht="13" x14ac:dyDescent="0.3">
      <c r="B72" s="117"/>
      <c r="C72" s="282"/>
      <c r="I72" s="283"/>
      <c r="J72" s="283"/>
      <c r="K72" s="283"/>
      <c r="L72" s="283"/>
      <c r="P72" s="117"/>
      <c r="Q72" s="117"/>
    </row>
    <row r="73" spans="2:21" ht="13" x14ac:dyDescent="0.3">
      <c r="B73" s="117"/>
      <c r="C73" s="282"/>
      <c r="I73" s="283"/>
      <c r="J73" s="283"/>
      <c r="K73" s="283"/>
      <c r="L73" s="283"/>
      <c r="P73" s="117"/>
      <c r="Q73" s="117"/>
    </row>
    <row r="74" spans="2:21" ht="13" x14ac:dyDescent="0.3">
      <c r="B74" s="117"/>
      <c r="C74" s="282"/>
      <c r="I74" s="283"/>
      <c r="J74" s="283"/>
      <c r="K74" s="283"/>
      <c r="L74" s="283"/>
      <c r="P74" s="117"/>
      <c r="Q74" s="117"/>
    </row>
    <row r="75" spans="2:21" ht="13" x14ac:dyDescent="0.3">
      <c r="B75" s="117"/>
      <c r="C75" s="282"/>
      <c r="I75" s="283"/>
      <c r="J75" s="283"/>
      <c r="K75" s="283"/>
      <c r="L75" s="283"/>
      <c r="P75" s="117"/>
      <c r="Q75" s="117"/>
    </row>
    <row r="76" spans="2:21" ht="13" x14ac:dyDescent="0.3">
      <c r="B76" s="117"/>
      <c r="C76" s="282"/>
      <c r="I76" s="283"/>
      <c r="J76" s="283"/>
      <c r="K76" s="283"/>
      <c r="L76" s="283"/>
      <c r="P76" s="117"/>
      <c r="Q76" s="117"/>
    </row>
    <row r="77" spans="2:21" ht="13" x14ac:dyDescent="0.3">
      <c r="B77" s="117"/>
      <c r="C77" s="282"/>
      <c r="I77" s="283"/>
      <c r="J77" s="283"/>
      <c r="K77" s="283"/>
      <c r="L77" s="283"/>
      <c r="P77" s="117"/>
      <c r="Q77" s="117"/>
    </row>
    <row r="78" spans="2:21" ht="13" x14ac:dyDescent="0.3">
      <c r="B78" s="117"/>
      <c r="C78" s="282"/>
      <c r="I78" s="283"/>
      <c r="J78" s="283"/>
      <c r="K78" s="283"/>
      <c r="L78" s="283"/>
      <c r="P78" s="117"/>
      <c r="Q78" s="117"/>
    </row>
    <row r="79" spans="2:21" ht="13" x14ac:dyDescent="0.3">
      <c r="B79" s="117"/>
      <c r="C79" s="282"/>
      <c r="I79" s="283"/>
      <c r="J79" s="283"/>
      <c r="K79" s="283"/>
      <c r="L79" s="283"/>
      <c r="P79" s="117"/>
      <c r="Q79" s="117"/>
    </row>
    <row r="80" spans="2:21" ht="15.5" x14ac:dyDescent="0.35">
      <c r="B80" s="383"/>
      <c r="G80" s="2"/>
      <c r="P80" s="205" t="str">
        <f>Cen!A232</f>
        <v>Boční zásuvné prvky, sklo, pro 350 mm</v>
      </c>
      <c r="Q80" s="205" t="str">
        <f>Cen!B232</f>
        <v>ZE7S238G</v>
      </c>
      <c r="R80" s="205" t="str">
        <f>Cen!C232</f>
        <v>KLA</v>
      </c>
      <c r="S80" s="255">
        <f t="shared" ref="S80:S86" si="12">S5</f>
        <v>0</v>
      </c>
      <c r="T80" s="594">
        <f>Cen!F232</f>
        <v>625.33465999999999</v>
      </c>
      <c r="U80" s="256">
        <f>S80*T80</f>
        <v>0</v>
      </c>
    </row>
    <row r="81" spans="1:22" ht="14" x14ac:dyDescent="0.3">
      <c r="B81" s="375"/>
      <c r="G81" s="2"/>
      <c r="P81" s="125" t="str">
        <f>Cen!A233</f>
        <v>Boční zásuvné prvky, sklo, pro 400 mm</v>
      </c>
      <c r="Q81" s="125" t="str">
        <f>Cen!B233</f>
        <v>ZE7S288G</v>
      </c>
      <c r="R81" s="125" t="str">
        <f>Cen!C233</f>
        <v>KLA</v>
      </c>
      <c r="S81" s="257">
        <f t="shared" si="12"/>
        <v>0</v>
      </c>
      <c r="T81" s="261">
        <f>Cen!F233</f>
        <v>660.74360999999999</v>
      </c>
      <c r="U81" s="258">
        <f t="shared" ref="U81:U86" si="13">S81*T81</f>
        <v>0</v>
      </c>
    </row>
    <row r="82" spans="1:22" x14ac:dyDescent="0.25">
      <c r="B82" s="175"/>
      <c r="G82" s="2"/>
      <c r="P82" s="125" t="str">
        <f>Cen!A234</f>
        <v>Boční zásuvné prvky, sklo, pro 450 mm</v>
      </c>
      <c r="Q82" s="125" t="str">
        <f>Cen!B234</f>
        <v>ZE7S338G</v>
      </c>
      <c r="R82" s="125" t="str">
        <f>Cen!C234</f>
        <v>KLA</v>
      </c>
      <c r="S82" s="257">
        <f t="shared" si="12"/>
        <v>0</v>
      </c>
      <c r="T82" s="261">
        <f>Cen!F234</f>
        <v>696.15254000000004</v>
      </c>
      <c r="U82" s="258">
        <f t="shared" si="13"/>
        <v>0</v>
      </c>
    </row>
    <row r="83" spans="1:22" x14ac:dyDescent="0.25">
      <c r="B83" s="175"/>
      <c r="G83" s="2"/>
      <c r="P83" s="125" t="str">
        <f>Cen!A235</f>
        <v>Boční zásuvné prvky, sklo, pro 500 mm</v>
      </c>
      <c r="Q83" s="125" t="str">
        <f>Cen!B235</f>
        <v>ZE7S388G</v>
      </c>
      <c r="R83" s="125" t="str">
        <f>Cen!C235</f>
        <v>KLA</v>
      </c>
      <c r="S83" s="257">
        <f t="shared" si="12"/>
        <v>0</v>
      </c>
      <c r="T83" s="261">
        <f>Cen!F235</f>
        <v>731.56149000000005</v>
      </c>
      <c r="U83" s="258">
        <f t="shared" si="13"/>
        <v>0</v>
      </c>
    </row>
    <row r="84" spans="1:22" x14ac:dyDescent="0.25">
      <c r="B84" s="286"/>
      <c r="G84" s="2"/>
      <c r="P84" s="125" t="str">
        <f>Cen!A236</f>
        <v>Boční zásuvné prvky, sklo, pro 550 mm</v>
      </c>
      <c r="Q84" s="125" t="str">
        <f>Cen!B236</f>
        <v>ZE7S438G</v>
      </c>
      <c r="R84" s="125" t="str">
        <f>Cen!C236</f>
        <v>KLA</v>
      </c>
      <c r="S84" s="257">
        <f t="shared" si="12"/>
        <v>0</v>
      </c>
      <c r="T84" s="261">
        <f>Cen!F236</f>
        <v>802.35667000000001</v>
      </c>
      <c r="U84" s="258">
        <f t="shared" si="13"/>
        <v>0</v>
      </c>
    </row>
    <row r="85" spans="1:22" ht="13" x14ac:dyDescent="0.3">
      <c r="B85" s="289"/>
      <c r="G85" s="2"/>
      <c r="P85" s="125" t="str">
        <f>Cen!A237</f>
        <v>Boční zásuvné prvky, sklo, pro 600 mm</v>
      </c>
      <c r="Q85" s="125" t="str">
        <f>Cen!B237</f>
        <v>ZE7S488G</v>
      </c>
      <c r="R85" s="125" t="str">
        <f>Cen!C237</f>
        <v>KLA</v>
      </c>
      <c r="S85" s="257">
        <f t="shared" si="12"/>
        <v>0</v>
      </c>
      <c r="T85" s="261">
        <f>Cen!F237</f>
        <v>873.15183000000002</v>
      </c>
      <c r="U85" s="258">
        <f t="shared" si="13"/>
        <v>0</v>
      </c>
    </row>
    <row r="86" spans="1:22" ht="13" thickBot="1" x14ac:dyDescent="0.3">
      <c r="G86" s="2"/>
      <c r="P86" s="595" t="str">
        <f>Cen!A238</f>
        <v>Boční zásuvné prvky, sklo, pro 650 mm</v>
      </c>
      <c r="Q86" s="595" t="str">
        <f>Cen!B238</f>
        <v>ZE7S538G</v>
      </c>
      <c r="R86" s="595" t="str">
        <f>Cen!C238</f>
        <v>KLA</v>
      </c>
      <c r="S86" s="596">
        <f t="shared" si="12"/>
        <v>0</v>
      </c>
      <c r="T86" s="597">
        <f>Cen!F238</f>
        <v>943.94700999999998</v>
      </c>
      <c r="U86" s="598">
        <f t="shared" si="13"/>
        <v>0</v>
      </c>
    </row>
    <row r="87" spans="1:22" ht="13" x14ac:dyDescent="0.3">
      <c r="C87" s="282"/>
      <c r="I87" s="283"/>
      <c r="J87" s="283"/>
      <c r="K87" s="283"/>
      <c r="L87" s="283"/>
      <c r="P87" s="117"/>
      <c r="Q87" s="117"/>
    </row>
    <row r="88" spans="1:22" ht="13" x14ac:dyDescent="0.3">
      <c r="C88" s="282"/>
      <c r="I88" s="283"/>
      <c r="J88" s="283"/>
      <c r="K88" s="283"/>
      <c r="L88" s="283"/>
      <c r="P88" s="117"/>
      <c r="Q88" s="117"/>
    </row>
    <row r="89" spans="1:22" ht="13" x14ac:dyDescent="0.3">
      <c r="C89" s="282"/>
      <c r="I89" s="283"/>
      <c r="J89" s="283"/>
      <c r="K89" s="283"/>
      <c r="L89" s="283"/>
      <c r="P89" s="117"/>
      <c r="Q89" s="117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4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4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4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4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4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116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5">S96*T96</f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  <row r="152" spans="1:1" x14ac:dyDescent="0.25">
      <c r="A152" s="823"/>
    </row>
    <row r="153" spans="1:1" x14ac:dyDescent="0.25">
      <c r="A153" s="823"/>
    </row>
    <row r="154" spans="1:1" x14ac:dyDescent="0.25">
      <c r="A154" s="823"/>
    </row>
    <row r="155" spans="1:1" x14ac:dyDescent="0.25">
      <c r="A155" s="823"/>
    </row>
    <row r="156" spans="1:1" x14ac:dyDescent="0.25">
      <c r="A156" s="823"/>
    </row>
    <row r="157" spans="1:1" x14ac:dyDescent="0.25">
      <c r="A157" s="823"/>
    </row>
    <row r="158" spans="1:1" x14ac:dyDescent="0.25">
      <c r="A158" s="823"/>
    </row>
    <row r="159" spans="1:1" x14ac:dyDescent="0.25">
      <c r="A159" s="823"/>
    </row>
    <row r="160" spans="1:1" x14ac:dyDescent="0.25">
      <c r="A160" s="823"/>
    </row>
    <row r="161" spans="1:1" x14ac:dyDescent="0.25">
      <c r="A161" s="823"/>
    </row>
    <row r="162" spans="1:1" x14ac:dyDescent="0.25">
      <c r="A162" s="823"/>
    </row>
    <row r="163" spans="1:1" x14ac:dyDescent="0.25">
      <c r="A163" s="823"/>
    </row>
  </sheetData>
  <sheetProtection algorithmName="SHA-512" hashValue="gx1KwbMBTrp2P87Eu9mOGZzcJLNqTtKPVTY/k8PfvL6KCyOcsiiaWUaB6nWKFU6BtF4gmxfzz9P93Uing8T6dQ==" saltValue="2WS/0indd+nqD+ACOLOUIQ==" spinCount="100000" sheet="1" objects="1" scenarios="1"/>
  <mergeCells count="1">
    <mergeCell ref="A122:A163"/>
  </mergeCells>
  <hyperlinks>
    <hyperlink ref="N3" location="Form!A1" tooltip=" " display="Form!A1" xr:uid="{00000000-0004-0000-1900-000000000000}"/>
    <hyperlink ref="N4" location="Menu!A1" tooltip=" " display="Menu!A1" xr:uid="{00000000-0004-0000-1900-000001000000}"/>
    <hyperlink ref="N7" location="Acs!A1" tooltip=" " display="Acs!A1" xr:uid="{00000000-0004-0000-1900-000002000000}"/>
    <hyperlink ref="N8" location="SD!A1" tooltip=" " display="SD!A1" xr:uid="{00000000-0004-0000-1900-000003000000}"/>
    <hyperlink ref="N10" location="Sum!A1" tooltip=" " display="Sum!A1" xr:uid="{00000000-0004-0000-1900-000004000000}"/>
    <hyperlink ref="N11" location="Ord!A1" tooltip=" " display="Ord!A1" xr:uid="{00000000-0004-0000-1900-000005000000}"/>
    <hyperlink ref="N9" location="AL!A1" tooltip=" " display="AL!A1" xr:uid="{00000000-0004-0000-19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71" r:id="rId4" name="Drop Down 3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5" name="Drop Down 4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1">
    <tabColor theme="2" tint="-0.499984740745262"/>
  </sheetPr>
  <dimension ref="A1:Y162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4xC/1xM"</f>
        <v>SPACE-TOWER, sestava 4xC/1xM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List!$B$69&amp;" / "&amp;List!$B$70&amp;" "&amp;List!$B$67&amp;"** "</f>
        <v xml:space="preserve">vysoký / nízký přední zásuvný prvek** </v>
      </c>
      <c r="M3" s="117"/>
      <c r="N3" s="149" t="str">
        <f>" "&amp;List!$B$13</f>
        <v xml:space="preserve"> Úvod</v>
      </c>
      <c r="O3" s="117"/>
      <c r="P3" s="389" t="str">
        <f>Cen!A51</f>
        <v>Bočnice M 450mm, Orion šedá</v>
      </c>
      <c r="Q3" s="389" t="str">
        <f>Cen!B51</f>
        <v>770M4502S</v>
      </c>
      <c r="R3" s="389" t="str">
        <f>Cen!C111</f>
        <v>OG-M</v>
      </c>
      <c r="S3" s="416">
        <f>SUM(D26, J26, D34, J34)</f>
        <v>0</v>
      </c>
      <c r="T3" s="417">
        <f>Cen!F51</f>
        <v>588.37465999999995</v>
      </c>
      <c r="U3" s="39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719</v>
      </c>
      <c r="L4" s="120"/>
      <c r="M4" s="117"/>
      <c r="N4" s="150" t="str">
        <f>" "&amp;List!$B$4</f>
        <v xml:space="preserve"> Výběr zásuvek a výsuvů</v>
      </c>
      <c r="O4" s="117"/>
      <c r="P4" s="389" t="str">
        <f>Cen!A56</f>
        <v>Bočnice M 500mm, Orion šedá</v>
      </c>
      <c r="Q4" s="389" t="str">
        <f>Cen!B56</f>
        <v>770M5002S</v>
      </c>
      <c r="R4" s="389" t="str">
        <f>Cen!C116</f>
        <v>OG-M</v>
      </c>
      <c r="S4" s="416">
        <f>SUM(E26, K26, E34, K34)</f>
        <v>0</v>
      </c>
      <c r="T4" s="417">
        <f>Cen!F56</f>
        <v>595.274</v>
      </c>
      <c r="U4" s="39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89" t="str">
        <f>Cen!A61</f>
        <v>Bočnice M 550mm, Orion šedá</v>
      </c>
      <c r="Q5" s="389" t="str">
        <f>Cen!B61</f>
        <v>770M5502S</v>
      </c>
      <c r="R5" s="389" t="str">
        <f>Cen!C121</f>
        <v>OG-M</v>
      </c>
      <c r="S5" s="416">
        <f>SUM(F26, L26, F34, L34)</f>
        <v>0</v>
      </c>
      <c r="T5" s="417">
        <f>Cen!F61</f>
        <v>665.94478000000004</v>
      </c>
      <c r="U5" s="39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771</v>
      </c>
      <c r="L6" s="120"/>
      <c r="M6" s="117"/>
      <c r="N6" s="2" t="str">
        <f>List!$B$12&amp;":"</f>
        <v>Pokračovat na:</v>
      </c>
      <c r="O6" s="117"/>
      <c r="P6" s="352" t="str">
        <f>Cen!A66</f>
        <v>Bočnice M 600mm, Orion šedá</v>
      </c>
      <c r="Q6" s="352" t="str">
        <f>Cen!B66</f>
        <v>770M6002S</v>
      </c>
      <c r="R6" s="367" t="str">
        <f>Cen!C126</f>
        <v>OG-M</v>
      </c>
      <c r="S6" s="368"/>
      <c r="T6" s="354">
        <f>Cen!F66</f>
        <v>754.21731</v>
      </c>
      <c r="U6" s="355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 t="str">
        <f>List!$B$36&amp;":"</f>
        <v>sklo:</v>
      </c>
      <c r="J7" s="120"/>
      <c r="K7" s="119" t="str">
        <f>List!$B$37</f>
        <v>čiré</v>
      </c>
      <c r="L7" s="120"/>
      <c r="M7" s="117"/>
      <c r="N7" s="149" t="str">
        <f>" "&amp;List!$B$5</f>
        <v xml:space="preserve"> Výběr doplňků</v>
      </c>
      <c r="O7" s="117"/>
      <c r="P7" s="389" t="str">
        <f>Cen!A131</f>
        <v>Bočnice C pure, 450mm, Orion šedá</v>
      </c>
      <c r="Q7" s="389" t="str">
        <f>Cen!B131</f>
        <v>770C4502S</v>
      </c>
      <c r="R7" s="389" t="str">
        <f>Cen!C131</f>
        <v>OG-M</v>
      </c>
      <c r="S7" s="416">
        <f>SUM(D26, J26, D34, J34)*4</f>
        <v>0</v>
      </c>
      <c r="T7" s="417">
        <f>Cen!F131</f>
        <v>921.30178999999998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416">
        <f>SUM(E26, K26, E34, K34)*4</f>
        <v>0</v>
      </c>
      <c r="T8" s="261">
        <f>Cen!F136</f>
        <v>932.34378000000004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416">
        <f>SUM(F26, L26, F34, L34)*4</f>
        <v>0</v>
      </c>
      <c r="T9" s="261">
        <f>Cen!F141</f>
        <v>1011.04004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52" t="str">
        <f>Cen!A146</f>
        <v>Bočnice C pure, 600mm, Orion šedá</v>
      </c>
      <c r="Q10" s="352" t="str">
        <f>Cen!B146</f>
        <v>770C6002S</v>
      </c>
      <c r="R10" s="352" t="str">
        <f>Cen!C146</f>
        <v>OG-M</v>
      </c>
      <c r="S10" s="353"/>
      <c r="T10" s="354">
        <f>Cen!F146</f>
        <v>1127.97047</v>
      </c>
      <c r="U10" s="355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List!$C$66&amp;":   LW - 80"</f>
        <v>Přední zásuvné prvky:   LW - 80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42"/>
      <c r="N34" s="142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42"/>
      <c r="N35" s="142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42"/>
      <c r="N37" s="142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42"/>
      <c r="N38" s="142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41"/>
      <c r="D44" s="290"/>
      <c r="E44" s="290"/>
      <c r="F44" s="290"/>
      <c r="G44" s="290"/>
      <c r="H44" s="290"/>
      <c r="I44" s="290"/>
      <c r="J44" s="290"/>
      <c r="K44" s="290"/>
      <c r="L44" s="290"/>
      <c r="M44" s="117"/>
      <c r="N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41"/>
      <c r="D45" s="290"/>
      <c r="E45" s="290"/>
      <c r="F45" s="290"/>
      <c r="G45" s="290"/>
      <c r="H45" s="290"/>
      <c r="I45" s="290"/>
      <c r="J45" s="290"/>
      <c r="K45" s="290"/>
      <c r="L45" s="290"/>
      <c r="M45" s="117"/>
      <c r="N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41"/>
      <c r="D46" s="290"/>
      <c r="E46" s="290"/>
      <c r="F46" s="290"/>
      <c r="G46" s="290"/>
      <c r="H46" s="290"/>
      <c r="I46" s="290"/>
      <c r="J46" s="290"/>
      <c r="K46" s="290"/>
      <c r="L46" s="290"/>
      <c r="M46" s="117"/>
      <c r="N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41"/>
      <c r="D47" s="290"/>
      <c r="E47" s="290"/>
      <c r="F47" s="290"/>
      <c r="G47" s="290"/>
      <c r="H47" s="290"/>
      <c r="I47" s="290"/>
      <c r="J47" s="290"/>
      <c r="K47" s="290"/>
      <c r="L47" s="290"/>
      <c r="M47" s="117"/>
      <c r="N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41"/>
      <c r="D48" s="290"/>
      <c r="E48" s="290"/>
      <c r="F48" s="290"/>
      <c r="G48" s="290"/>
      <c r="H48" s="290"/>
      <c r="I48" s="290"/>
      <c r="J48" s="290"/>
      <c r="K48" s="290"/>
      <c r="L48" s="290"/>
      <c r="M48" s="117"/>
      <c r="N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41"/>
      <c r="D49" s="290"/>
      <c r="E49" s="290"/>
      <c r="F49" s="290"/>
      <c r="G49" s="290"/>
      <c r="H49" s="290"/>
      <c r="I49" s="290"/>
      <c r="J49" s="290"/>
      <c r="K49" s="290"/>
      <c r="L49" s="290"/>
      <c r="M49" s="117"/>
      <c r="N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41"/>
      <c r="D50" s="290"/>
      <c r="E50" s="290"/>
      <c r="F50" s="290"/>
      <c r="G50" s="290"/>
      <c r="H50" s="290"/>
      <c r="I50" s="290"/>
      <c r="J50" s="290"/>
      <c r="K50" s="290"/>
      <c r="L50" s="290"/>
      <c r="M50" s="117"/>
      <c r="N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41"/>
      <c r="D51" s="290"/>
      <c r="E51" s="290"/>
      <c r="F51" s="290"/>
      <c r="G51" s="290"/>
      <c r="H51" s="290"/>
      <c r="I51" s="290"/>
      <c r="J51" s="290"/>
      <c r="K51" s="290"/>
      <c r="L51" s="290"/>
      <c r="M51" s="117"/>
      <c r="N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41"/>
      <c r="D52" s="290"/>
      <c r="E52" s="290"/>
      <c r="F52" s="290"/>
      <c r="G52" s="290"/>
      <c r="H52" s="290"/>
      <c r="I52" s="290"/>
      <c r="J52" s="290"/>
      <c r="K52" s="290"/>
      <c r="L52" s="290"/>
      <c r="M52" s="117"/>
      <c r="N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41"/>
      <c r="D53" s="290"/>
      <c r="E53" s="290"/>
      <c r="F53" s="290"/>
      <c r="G53" s="290"/>
      <c r="H53" s="290"/>
      <c r="I53" s="290"/>
      <c r="J53" s="290"/>
      <c r="K53" s="290"/>
      <c r="L53" s="290"/>
      <c r="M53" s="117"/>
      <c r="N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41"/>
      <c r="D54" s="290"/>
      <c r="E54" s="290"/>
      <c r="F54" s="290"/>
      <c r="G54" s="290"/>
      <c r="H54" s="290"/>
      <c r="I54" s="290"/>
      <c r="J54" s="290"/>
      <c r="K54" s="290"/>
      <c r="L54" s="290"/>
      <c r="M54" s="117"/>
      <c r="N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41"/>
      <c r="D55" s="290"/>
      <c r="E55" s="290"/>
      <c r="F55" s="290"/>
      <c r="G55" s="290"/>
      <c r="H55" s="290"/>
      <c r="I55" s="290"/>
      <c r="J55" s="290"/>
      <c r="K55" s="290"/>
      <c r="L55" s="290"/>
      <c r="M55" s="117"/>
      <c r="N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41"/>
      <c r="D56" s="290"/>
      <c r="E56" s="290"/>
      <c r="F56" s="290"/>
      <c r="G56" s="290"/>
      <c r="H56" s="290"/>
      <c r="I56" s="290"/>
      <c r="J56" s="290"/>
      <c r="K56" s="290"/>
      <c r="L56" s="290"/>
      <c r="M56" s="117"/>
      <c r="N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41"/>
      <c r="D57" s="290"/>
      <c r="E57" s="290"/>
      <c r="F57" s="290"/>
      <c r="G57" s="290"/>
      <c r="H57" s="290"/>
      <c r="I57" s="290"/>
      <c r="J57" s="290"/>
      <c r="K57" s="290"/>
      <c r="L57" s="290"/>
      <c r="M57" s="117"/>
      <c r="N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41"/>
      <c r="D58" s="290"/>
      <c r="E58" s="290"/>
      <c r="F58" s="290"/>
      <c r="G58" s="290"/>
      <c r="H58" s="290"/>
      <c r="I58" s="290"/>
      <c r="J58" s="290"/>
      <c r="K58" s="290"/>
      <c r="L58" s="290"/>
      <c r="M58" s="117"/>
      <c r="N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41"/>
      <c r="D59" s="290"/>
      <c r="E59" s="290"/>
      <c r="F59" s="290"/>
      <c r="G59" s="290"/>
      <c r="H59" s="290"/>
      <c r="I59" s="290"/>
      <c r="J59" s="290"/>
      <c r="K59" s="290"/>
      <c r="L59" s="290"/>
      <c r="M59" s="117"/>
      <c r="N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41"/>
      <c r="D60" s="290"/>
      <c r="E60" s="290"/>
      <c r="F60" s="290"/>
      <c r="G60" s="290"/>
      <c r="H60" s="290"/>
      <c r="I60" s="290"/>
      <c r="J60" s="290"/>
      <c r="K60" s="290"/>
      <c r="L60" s="290"/>
      <c r="M60" s="117"/>
      <c r="N60" s="117"/>
      <c r="P60" s="142"/>
      <c r="Q60" s="142"/>
      <c r="R60" s="142"/>
      <c r="S60" s="148"/>
      <c r="T60" s="152"/>
      <c r="U60" s="152"/>
    </row>
    <row r="61" spans="1:22" ht="14" x14ac:dyDescent="0.3">
      <c r="A61" s="175"/>
      <c r="C61" s="341"/>
      <c r="D61" s="290"/>
      <c r="E61" s="290"/>
      <c r="F61" s="290"/>
      <c r="G61" s="290"/>
      <c r="H61" s="290"/>
      <c r="I61" s="290"/>
      <c r="J61" s="290"/>
      <c r="K61" s="290"/>
      <c r="L61" s="290"/>
      <c r="M61" s="117"/>
      <c r="N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4" x14ac:dyDescent="0.3">
      <c r="A62" s="175"/>
      <c r="C62" s="341"/>
      <c r="D62" s="290"/>
      <c r="E62" s="290"/>
      <c r="F62" s="290"/>
      <c r="G62" s="290"/>
      <c r="H62" s="290"/>
      <c r="I62" s="290"/>
      <c r="J62" s="290"/>
      <c r="K62" s="290"/>
      <c r="L62" s="290"/>
      <c r="M62" s="117"/>
      <c r="N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4" x14ac:dyDescent="0.3">
      <c r="A63" s="175"/>
      <c r="C63" s="341"/>
      <c r="D63" s="290"/>
      <c r="E63" s="290"/>
      <c r="F63" s="290"/>
      <c r="G63" s="290"/>
      <c r="H63" s="290"/>
      <c r="I63" s="290"/>
      <c r="J63" s="290"/>
      <c r="K63" s="290"/>
      <c r="L63" s="290"/>
      <c r="M63" s="117"/>
      <c r="N63" s="117"/>
      <c r="P63" s="142"/>
      <c r="Q63" s="142"/>
      <c r="R63" s="142"/>
      <c r="S63" s="148"/>
      <c r="T63" s="152"/>
      <c r="U63" s="152"/>
    </row>
    <row r="64" spans="1:22" ht="14" x14ac:dyDescent="0.3">
      <c r="A64" s="175"/>
      <c r="C64" s="311"/>
      <c r="D64" s="351"/>
      <c r="E64" s="351"/>
      <c r="F64" s="351"/>
      <c r="G64" s="351"/>
      <c r="H64" s="351"/>
      <c r="I64" s="290"/>
      <c r="J64" s="290"/>
      <c r="K64" s="290"/>
      <c r="L64" s="290"/>
      <c r="M64" s="117"/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SUM(S3:S6)</f>
        <v>0</v>
      </c>
      <c r="T64" s="116">
        <f>Cen!F319</f>
        <v>35.345579999999998</v>
      </c>
      <c r="U64" s="116">
        <f t="shared" ref="U64:U73" si="12">S64*T64</f>
        <v>0</v>
      </c>
    </row>
    <row r="65" spans="1:21" ht="13" x14ac:dyDescent="0.3">
      <c r="A65" s="175"/>
      <c r="C65" s="289"/>
      <c r="D65" s="175"/>
      <c r="E65" s="175"/>
      <c r="F65" s="175"/>
      <c r="G65" s="175"/>
      <c r="H65" s="175"/>
      <c r="I65" s="283"/>
      <c r="J65" s="283"/>
      <c r="K65" s="283"/>
      <c r="L65" s="283"/>
      <c r="M65" s="117"/>
      <c r="P65" s="120" t="str">
        <f>Cen!A329</f>
        <v>Držáky zadní stěny C, Orion šedá</v>
      </c>
      <c r="Q65" s="120" t="str">
        <f>Cen!B329</f>
        <v>ZB7C000S</v>
      </c>
      <c r="R65" s="120" t="str">
        <f>Cen!C329</f>
        <v>OG-M</v>
      </c>
      <c r="S65" s="121">
        <f>SUM(S7:S10)</f>
        <v>0</v>
      </c>
      <c r="T65" s="116">
        <f>Cen!$F329</f>
        <v>47.092230000000001</v>
      </c>
      <c r="U65" s="116">
        <f t="shared" si="12"/>
        <v>0</v>
      </c>
    </row>
    <row r="66" spans="1:21" ht="13" x14ac:dyDescent="0.3">
      <c r="B66" s="117"/>
      <c r="C66" s="289"/>
      <c r="D66" s="175"/>
      <c r="E66" s="175"/>
      <c r="F66" s="175"/>
      <c r="G66" s="175"/>
      <c r="H66" s="175"/>
      <c r="I66" s="175"/>
      <c r="J66" s="175"/>
      <c r="K66" s="175"/>
      <c r="L66" s="175"/>
      <c r="M66" s="117"/>
      <c r="P66" s="120" t="str">
        <f>Cen!A369</f>
        <v>Sada kování vnitř.výs. C, se zás.prvkem, Orion šedá</v>
      </c>
      <c r="Q66" s="120" t="str">
        <f>Cen!B369</f>
        <v>ZI7.2CS0</v>
      </c>
      <c r="R66" s="120" t="str">
        <f>Cen!C369</f>
        <v>OG-M</v>
      </c>
      <c r="S66" s="121">
        <f>SUM(S7:S10)</f>
        <v>0</v>
      </c>
      <c r="T66" s="116">
        <f>Cen!F369</f>
        <v>585.05386999999996</v>
      </c>
      <c r="U66" s="116">
        <f t="shared" si="12"/>
        <v>0</v>
      </c>
    </row>
    <row r="67" spans="1:21" ht="13" x14ac:dyDescent="0.3">
      <c r="B67" s="117"/>
      <c r="C67" s="282"/>
      <c r="I67" s="284"/>
      <c r="J67" s="284"/>
      <c r="K67" s="284"/>
      <c r="L67" s="284"/>
      <c r="M67" s="117"/>
      <c r="P67" s="120" t="str">
        <f>Cen!A360</f>
        <v>Sada kování vnitřní zásuvky M, Orion šedá</v>
      </c>
      <c r="Q67" s="120" t="str">
        <f>Cen!B360</f>
        <v>ZI7.0MS0</v>
      </c>
      <c r="R67" s="120" t="str">
        <f>Cen!C360</f>
        <v>OG-M</v>
      </c>
      <c r="S67" s="121">
        <f>SUM(S3:S6)</f>
        <v>0</v>
      </c>
      <c r="T67" s="116">
        <f>Cen!F360</f>
        <v>413.54563999999999</v>
      </c>
      <c r="U67" s="116">
        <f t="shared" si="12"/>
        <v>0</v>
      </c>
    </row>
    <row r="68" spans="1:21" ht="14.5" x14ac:dyDescent="0.35">
      <c r="B68" s="24"/>
      <c r="C68" s="282"/>
      <c r="I68" s="285"/>
      <c r="J68" s="285"/>
      <c r="K68" s="285"/>
      <c r="L68" s="285"/>
      <c r="P68" s="120" t="str">
        <f>Cen!A384</f>
        <v>Přední díl vnitřní zásuvky, s drážkou, Orion šedá</v>
      </c>
      <c r="Q68" s="120" t="str">
        <f>Cen!B384</f>
        <v>ZV7.1043MN1</v>
      </c>
      <c r="R68" s="120" t="str">
        <f>Cen!C384</f>
        <v>OG-M</v>
      </c>
      <c r="S68" s="329">
        <f>ROUNDUP(SUM($D$26, $E$26, $F$26, $D$34, $E$34, $F$34)/3*4, 0)+ROUNDUP(SUM($J$26, $K$26, $L$26, $J$34, $K$34, $L$34)/2*4,0)</f>
        <v>0</v>
      </c>
      <c r="T68" s="116">
        <f>Cen!F384</f>
        <v>446.52434</v>
      </c>
      <c r="U68" s="116">
        <f t="shared" si="12"/>
        <v>0</v>
      </c>
    </row>
    <row r="69" spans="1:21" ht="13" x14ac:dyDescent="0.3">
      <c r="B69" s="117"/>
      <c r="C69" s="282"/>
      <c r="I69" s="283"/>
      <c r="J69" s="283"/>
      <c r="K69" s="283"/>
      <c r="L69" s="283"/>
      <c r="P69" s="120" t="str">
        <f>Cen!A389</f>
        <v>Přední díl vnitřní zásuvky, bez drážky, Orion šedá</v>
      </c>
      <c r="Q69" s="120" t="str">
        <f>Cen!B389</f>
        <v>ZV7.1043C01</v>
      </c>
      <c r="R69" s="120" t="str">
        <f>Cen!C389</f>
        <v>OG-M</v>
      </c>
      <c r="S69" s="329">
        <f>ROUNDUP(SUM($D$26, $E$26, $F$26, $D$34, $E$34, $F$34)/3*1, 0)+ROUNDUP(SUM($J$26, $K$26, $L$26, $J$34, $K$34, $L$34)/2*1,0)</f>
        <v>0</v>
      </c>
      <c r="T69" s="120">
        <f>Cen!F389</f>
        <v>467.12466999999998</v>
      </c>
      <c r="U69" s="116">
        <f t="shared" si="12"/>
        <v>0</v>
      </c>
    </row>
    <row r="70" spans="1:21" ht="14" x14ac:dyDescent="0.3">
      <c r="B70" s="117"/>
      <c r="C70" s="286"/>
      <c r="D70" s="340"/>
      <c r="E70" s="341"/>
      <c r="F70" s="342"/>
      <c r="G70" s="342"/>
      <c r="H70" s="341"/>
      <c r="I70" s="341"/>
      <c r="J70" s="286"/>
      <c r="K70" s="286"/>
      <c r="L70" s="286"/>
      <c r="P70" s="124" t="str">
        <f>Cen!A403</f>
        <v>Přední zásuvný prvek vysoký, sklo, KB 450mm</v>
      </c>
      <c r="Q70" s="124" t="str">
        <f>Cen!B403</f>
        <v>ZE7W332G</v>
      </c>
      <c r="R70" s="124" t="str">
        <f>Cen!C403</f>
        <v>KLA</v>
      </c>
      <c r="S70" s="327">
        <f>SUM($D$26:$F$26, $D$34:$F$34)*3</f>
        <v>0</v>
      </c>
      <c r="T70" s="328">
        <f>Cen!F403</f>
        <v>389.35672</v>
      </c>
      <c r="U70" s="328">
        <f t="shared" si="12"/>
        <v>0</v>
      </c>
    </row>
    <row r="71" spans="1:21" ht="14" x14ac:dyDescent="0.3">
      <c r="B71" s="117"/>
      <c r="C71" s="286"/>
      <c r="D71" s="344"/>
      <c r="E71" s="290"/>
      <c r="F71" s="290"/>
      <c r="G71" s="290"/>
      <c r="H71" s="290"/>
      <c r="I71" s="290"/>
      <c r="J71" s="284"/>
      <c r="K71" s="284"/>
      <c r="L71" s="284"/>
      <c r="P71" s="125" t="str">
        <f>Cen!A404</f>
        <v>Přední zásuvný prvek vysoký, sklo, KB 600mm</v>
      </c>
      <c r="Q71" s="125" t="str">
        <f>Cen!B404</f>
        <v>ZE7W482G</v>
      </c>
      <c r="R71" s="125" t="str">
        <f>Cen!C404</f>
        <v>KLA</v>
      </c>
      <c r="S71" s="257">
        <f>SUM($J$26:$L$26, $J$34:$L$34)*3</f>
        <v>0</v>
      </c>
      <c r="T71" s="258">
        <f>Cen!F404</f>
        <v>442.47012999999998</v>
      </c>
      <c r="U71" s="258">
        <f t="shared" si="12"/>
        <v>0</v>
      </c>
    </row>
    <row r="72" spans="1:21" ht="14" x14ac:dyDescent="0.3">
      <c r="B72" s="375"/>
      <c r="C72" s="286"/>
      <c r="D72" s="344"/>
      <c r="E72" s="290"/>
      <c r="F72" s="290"/>
      <c r="G72" s="290"/>
      <c r="H72" s="290"/>
      <c r="I72" s="290"/>
      <c r="J72" s="284"/>
      <c r="K72" s="284"/>
      <c r="L72" s="284"/>
      <c r="P72" s="352" t="str">
        <f>Cen!A405</f>
        <v>Přední zásuvný prvek vysoký, sklo, KB 900mm</v>
      </c>
      <c r="Q72" s="352" t="str">
        <f>Cen!B405</f>
        <v>ZE7W782G</v>
      </c>
      <c r="R72" s="352" t="str">
        <f>Cen!C405</f>
        <v>KLA</v>
      </c>
      <c r="S72" s="353">
        <f>H71</f>
        <v>0</v>
      </c>
      <c r="T72" s="355">
        <f>Cen!F405</f>
        <v>737.45001999999988</v>
      </c>
      <c r="U72" s="355">
        <f t="shared" si="12"/>
        <v>0</v>
      </c>
    </row>
    <row r="73" spans="1:21" ht="14" x14ac:dyDescent="0.3">
      <c r="B73" s="175"/>
      <c r="C73" s="311"/>
      <c r="D73" s="290"/>
      <c r="E73" s="290"/>
      <c r="F73" s="290"/>
      <c r="G73" s="290"/>
      <c r="H73" s="290"/>
      <c r="J73" s="285"/>
      <c r="K73" s="285"/>
      <c r="L73" s="285"/>
      <c r="P73" s="422" t="str">
        <f>Cen!A406</f>
        <v>Přední zásuvný prvek vysoký, sklo, KB 1200mm</v>
      </c>
      <c r="Q73" s="422" t="str">
        <f>Cen!B406</f>
        <v>ZE7W1082G</v>
      </c>
      <c r="R73" s="422" t="str">
        <f>Cen!C406</f>
        <v>KLA</v>
      </c>
      <c r="S73" s="410">
        <f>I71</f>
        <v>0</v>
      </c>
      <c r="T73" s="423">
        <f>Cen!F406</f>
        <v>949.83555999999999</v>
      </c>
      <c r="U73" s="423">
        <f t="shared" si="12"/>
        <v>0</v>
      </c>
    </row>
    <row r="74" spans="1:21" ht="13" x14ac:dyDescent="0.3">
      <c r="B74" s="175"/>
      <c r="C74" s="282"/>
      <c r="I74" s="283"/>
      <c r="J74" s="283"/>
      <c r="K74" s="283"/>
      <c r="L74" s="283"/>
      <c r="P74" s="120"/>
      <c r="Q74" s="120"/>
      <c r="R74" s="120"/>
      <c r="S74" s="121"/>
      <c r="T74" s="116"/>
      <c r="U74" s="116"/>
    </row>
    <row r="75" spans="1:21" ht="14" x14ac:dyDescent="0.3">
      <c r="B75" s="175"/>
      <c r="C75" s="286"/>
      <c r="D75" s="340"/>
      <c r="E75" s="341"/>
      <c r="F75" s="342"/>
      <c r="G75" s="342"/>
      <c r="H75" s="341"/>
      <c r="I75" s="341"/>
      <c r="J75" s="286"/>
      <c r="K75" s="286"/>
      <c r="L75" s="286"/>
      <c r="P75" s="124" t="str">
        <f>Cen!A411</f>
        <v>Přední zásuvný prvek nízký, sklo, KB 450mm</v>
      </c>
      <c r="Q75" s="124" t="str">
        <f>Cen!B411</f>
        <v>ZE7V332G</v>
      </c>
      <c r="R75" s="124" t="str">
        <f>Cen!C411</f>
        <v>KLA</v>
      </c>
      <c r="S75" s="327">
        <f>SUM($D$26:$F$26, $D$34:$F$34)</f>
        <v>0</v>
      </c>
      <c r="T75" s="328">
        <f>Cen!F411</f>
        <v>241.88919000000001</v>
      </c>
      <c r="U75" s="328">
        <f>S75*T75</f>
        <v>0</v>
      </c>
    </row>
    <row r="76" spans="1:21" ht="14" x14ac:dyDescent="0.3">
      <c r="B76" s="286"/>
      <c r="C76" s="286"/>
      <c r="D76" s="344"/>
      <c r="E76" s="290"/>
      <c r="F76" s="290"/>
      <c r="G76" s="290"/>
      <c r="H76" s="290"/>
      <c r="I76" s="290"/>
      <c r="J76" s="284"/>
      <c r="K76" s="284"/>
      <c r="L76" s="284"/>
      <c r="P76" s="125" t="str">
        <f>Cen!A412</f>
        <v>Přední zásuvný prvek nízký, sklo, KB 600mm</v>
      </c>
      <c r="Q76" s="125" t="str">
        <f>Cen!B412</f>
        <v>ZE7V482G</v>
      </c>
      <c r="R76" s="125" t="str">
        <f>Cen!C412</f>
        <v>KLA</v>
      </c>
      <c r="S76" s="257">
        <f>SUM($J$26:$L$26, $J$34:$L$34)</f>
        <v>0</v>
      </c>
      <c r="T76" s="258">
        <f>Cen!F412</f>
        <v>277.28676999999999</v>
      </c>
      <c r="U76" s="258">
        <f>S76*T76</f>
        <v>0</v>
      </c>
    </row>
    <row r="77" spans="1:21" ht="14" x14ac:dyDescent="0.3">
      <c r="B77" s="343"/>
      <c r="C77" s="286"/>
      <c r="D77" s="344"/>
      <c r="E77" s="290"/>
      <c r="F77" s="290"/>
      <c r="G77" s="290"/>
      <c r="H77" s="290"/>
      <c r="I77" s="290"/>
      <c r="J77" s="284"/>
      <c r="K77" s="284"/>
      <c r="L77" s="284"/>
      <c r="P77" s="352" t="str">
        <f>Cen!A413</f>
        <v>Přední zásuvný prvek nízký, sklo, KB 900mm</v>
      </c>
      <c r="Q77" s="352" t="str">
        <f>Cen!B413</f>
        <v>ZE7V782G</v>
      </c>
      <c r="R77" s="352" t="str">
        <f>Cen!C413</f>
        <v>KLA</v>
      </c>
      <c r="S77" s="353">
        <f>H76</f>
        <v>0</v>
      </c>
      <c r="T77" s="355">
        <f>Cen!F413</f>
        <v>489.67230000000001</v>
      </c>
      <c r="U77" s="355">
        <f>S77*T77</f>
        <v>0</v>
      </c>
    </row>
    <row r="78" spans="1:21" ht="14" x14ac:dyDescent="0.3">
      <c r="B78" s="343"/>
      <c r="C78" s="311"/>
      <c r="D78" s="290"/>
      <c r="E78" s="290"/>
      <c r="F78" s="290"/>
      <c r="G78" s="290"/>
      <c r="H78" s="290"/>
      <c r="J78" s="285"/>
      <c r="K78" s="285"/>
      <c r="L78" s="285"/>
      <c r="P78" s="422" t="str">
        <f>Cen!A414</f>
        <v>Přední zásuvný prvek nízký, sklo, KB 1200mm</v>
      </c>
      <c r="Q78" s="422" t="str">
        <f>Cen!B414</f>
        <v>ZE7V1082G</v>
      </c>
      <c r="R78" s="422" t="str">
        <f>Cen!C414</f>
        <v>KLA</v>
      </c>
      <c r="S78" s="410">
        <f>I76</f>
        <v>0</v>
      </c>
      <c r="T78" s="423">
        <f>Cen!F414</f>
        <v>631.26264000000003</v>
      </c>
      <c r="U78" s="423">
        <f>S78*T78</f>
        <v>0</v>
      </c>
    </row>
    <row r="79" spans="1:21" ht="14" x14ac:dyDescent="0.3">
      <c r="B79" s="310"/>
      <c r="C79" s="282"/>
      <c r="I79" s="283"/>
      <c r="J79" s="283"/>
      <c r="K79" s="283"/>
      <c r="L79" s="283"/>
      <c r="P79" s="117"/>
      <c r="Q79" s="117"/>
    </row>
    <row r="80" spans="1:21" ht="14" x14ac:dyDescent="0.3">
      <c r="B80" s="310"/>
      <c r="C80" s="282"/>
      <c r="I80" s="283"/>
      <c r="J80" s="283"/>
      <c r="K80" s="283"/>
      <c r="L80" s="283"/>
      <c r="P80" s="117"/>
      <c r="Q80" s="117"/>
    </row>
    <row r="81" spans="1:22" ht="14" x14ac:dyDescent="0.3">
      <c r="B81" s="310"/>
      <c r="C81" s="282"/>
      <c r="I81" s="283"/>
      <c r="J81" s="283"/>
      <c r="K81" s="283"/>
      <c r="L81" s="283"/>
      <c r="P81" s="117"/>
      <c r="Q81" s="117"/>
    </row>
    <row r="82" spans="1:22" ht="14" x14ac:dyDescent="0.3">
      <c r="B82" s="310"/>
      <c r="C82" s="282"/>
      <c r="I82" s="283"/>
      <c r="J82" s="283"/>
      <c r="K82" s="283"/>
      <c r="L82" s="283"/>
      <c r="P82" s="117"/>
      <c r="Q82" s="117"/>
    </row>
    <row r="83" spans="1:22" ht="14" x14ac:dyDescent="0.3">
      <c r="B83" s="310"/>
      <c r="C83" s="282"/>
      <c r="I83" s="283"/>
      <c r="J83" s="283"/>
      <c r="K83" s="283"/>
      <c r="L83" s="283"/>
      <c r="P83" s="117"/>
      <c r="Q83" s="117"/>
    </row>
    <row r="84" spans="1:22" ht="14" x14ac:dyDescent="0.3">
      <c r="B84" s="310"/>
      <c r="C84" s="282"/>
      <c r="I84" s="283"/>
      <c r="J84" s="283"/>
      <c r="K84" s="283"/>
      <c r="L84" s="283"/>
      <c r="P84" s="117"/>
      <c r="Q84" s="117"/>
    </row>
    <row r="85" spans="1:22" ht="14" x14ac:dyDescent="0.3">
      <c r="B85" s="310"/>
      <c r="C85" s="282"/>
      <c r="I85" s="283"/>
      <c r="J85" s="283"/>
      <c r="K85" s="283"/>
      <c r="L85" s="283"/>
      <c r="P85" s="117"/>
      <c r="Q85" s="117"/>
    </row>
    <row r="86" spans="1:22" ht="14" x14ac:dyDescent="0.3">
      <c r="B86" s="310"/>
      <c r="C86" s="282"/>
      <c r="I86" s="283"/>
      <c r="J86" s="283"/>
      <c r="K86" s="283"/>
      <c r="L86" s="283"/>
      <c r="P86" s="117"/>
      <c r="Q86" s="117"/>
    </row>
    <row r="87" spans="1:22" ht="14" x14ac:dyDescent="0.3">
      <c r="B87" s="310"/>
      <c r="C87" s="282"/>
      <c r="I87" s="283"/>
      <c r="J87" s="283"/>
      <c r="K87" s="283"/>
      <c r="L87" s="283"/>
      <c r="P87" s="117"/>
      <c r="Q87" s="117"/>
    </row>
    <row r="88" spans="1:22" ht="14" x14ac:dyDescent="0.3">
      <c r="B88" s="310"/>
      <c r="C88" s="282"/>
      <c r="I88" s="283"/>
      <c r="J88" s="283"/>
      <c r="K88" s="283"/>
      <c r="L88" s="283"/>
      <c r="P88" s="117"/>
      <c r="Q88" s="117"/>
    </row>
    <row r="89" spans="1:22" ht="14" x14ac:dyDescent="0.3">
      <c r="B89" s="310"/>
      <c r="C89" s="282"/>
      <c r="I89" s="283"/>
      <c r="J89" s="283"/>
      <c r="K89" s="283"/>
      <c r="L89" s="283"/>
      <c r="P89" s="117"/>
      <c r="Q89" s="117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3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3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3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3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3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116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4">S96*T96</f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2:21" ht="13" x14ac:dyDescent="0.3">
      <c r="C99" s="282"/>
      <c r="I99" s="286"/>
      <c r="J99" s="286"/>
      <c r="K99" s="286"/>
      <c r="L99" s="286"/>
      <c r="P99" s="117"/>
      <c r="Q99" s="117"/>
    </row>
    <row r="100" spans="2:21" ht="13" x14ac:dyDescent="0.3">
      <c r="B100" s="117"/>
      <c r="C100" s="282"/>
      <c r="I100" s="284"/>
      <c r="J100" s="284"/>
      <c r="K100" s="284"/>
      <c r="L100" s="284"/>
      <c r="P100" s="117"/>
      <c r="Q100" s="117"/>
    </row>
    <row r="101" spans="2:21" x14ac:dyDescent="0.25">
      <c r="B101" s="117"/>
      <c r="I101" s="285"/>
      <c r="J101" s="285"/>
      <c r="K101" s="285"/>
      <c r="L101" s="285"/>
      <c r="P101" s="117"/>
      <c r="Q101" s="117"/>
    </row>
    <row r="102" spans="2:21" ht="13" x14ac:dyDescent="0.3">
      <c r="B102" s="117"/>
      <c r="I102" s="283"/>
      <c r="J102" s="283"/>
      <c r="K102" s="283"/>
      <c r="L102" s="283"/>
      <c r="P102" s="117"/>
      <c r="Q102" s="117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  <row r="152" spans="1:1" x14ac:dyDescent="0.25">
      <c r="A152" s="823"/>
    </row>
    <row r="153" spans="1:1" x14ac:dyDescent="0.25">
      <c r="A153" s="823"/>
    </row>
    <row r="154" spans="1:1" x14ac:dyDescent="0.25">
      <c r="A154" s="823"/>
    </row>
    <row r="155" spans="1:1" x14ac:dyDescent="0.25">
      <c r="A155" s="823"/>
    </row>
    <row r="156" spans="1:1" x14ac:dyDescent="0.25">
      <c r="A156" s="823"/>
    </row>
    <row r="157" spans="1:1" x14ac:dyDescent="0.25">
      <c r="A157" s="823"/>
    </row>
    <row r="158" spans="1:1" x14ac:dyDescent="0.25">
      <c r="A158" s="823"/>
    </row>
    <row r="159" spans="1:1" x14ac:dyDescent="0.25">
      <c r="A159" s="823"/>
    </row>
    <row r="160" spans="1:1" x14ac:dyDescent="0.25">
      <c r="A160" s="823"/>
    </row>
    <row r="161" spans="1:1" x14ac:dyDescent="0.25">
      <c r="A161" s="823"/>
    </row>
    <row r="162" spans="1:1" x14ac:dyDescent="0.25">
      <c r="A162" s="823"/>
    </row>
  </sheetData>
  <sheetProtection algorithmName="SHA-512" hashValue="+RuKO46y/Y7eiiMxBGHZyksxq4jCBArrfcmbaqq85gRjQ7YL+7cnoP6c7BIx2DFDSU45eLUHMr4dA/hgl3IRRQ==" saltValue="/h1P0HBelN/EyZala90Dyg==" spinCount="100000" sheet="1" objects="1" scenarios="1"/>
  <mergeCells count="1">
    <mergeCell ref="A121:A162"/>
  </mergeCells>
  <phoneticPr fontId="52" type="noConversion"/>
  <hyperlinks>
    <hyperlink ref="N3" location="Form!A1" tooltip=" " display="Form!A1" xr:uid="{00000000-0004-0000-1A00-000000000000}"/>
    <hyperlink ref="N4" location="Menu!A1" tooltip=" " display="Menu!A1" xr:uid="{00000000-0004-0000-1A00-000001000000}"/>
    <hyperlink ref="N7" location="Acs!A1" tooltip=" " display="Acs!A1" xr:uid="{00000000-0004-0000-1A00-000002000000}"/>
    <hyperlink ref="N8" location="SD!A1" tooltip=" " display="SD!A1" xr:uid="{00000000-0004-0000-1A00-000003000000}"/>
    <hyperlink ref="N10" location="Sum!A1" tooltip=" " display="Sum!A1" xr:uid="{00000000-0004-0000-1A00-000004000000}"/>
    <hyperlink ref="N11" location="Ord!A1" tooltip=" " display="Ord!A1" xr:uid="{00000000-0004-0000-1A00-000005000000}"/>
    <hyperlink ref="N9" location="AL!A1" tooltip=" " display="AL!A1" xr:uid="{00000000-0004-0000-1A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5" r:id="rId4" name="Drop Down 3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5" name="Drop Down 4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7">
    <tabColor theme="5" tint="0.39997558519241921"/>
  </sheetPr>
  <dimension ref="A1:Y151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4xC/1xM"</f>
        <v>SPACE-TOWER, sestava 4xC/1xM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List!$B$69&amp;" / "&amp;List!$B$70&amp;" "&amp;List!$B$67&amp;"** "</f>
        <v xml:space="preserve">vysoký / nízký přední zásuvný prvek** </v>
      </c>
      <c r="M3" s="117"/>
      <c r="N3" s="149" t="str">
        <f>" "&amp;List!$B$13</f>
        <v xml:space="preserve"> Úvod</v>
      </c>
      <c r="O3" s="117"/>
      <c r="P3" s="389" t="str">
        <f>Cen!A51</f>
        <v>Bočnice M 450mm, Orion šedá</v>
      </c>
      <c r="Q3" s="389" t="str">
        <f>Cen!B51</f>
        <v>770M4502S</v>
      </c>
      <c r="R3" s="367" t="str">
        <f>Cen!C111</f>
        <v>OG-M</v>
      </c>
      <c r="S3" s="416">
        <f>SUM(D26, J26, D34, J34)</f>
        <v>0</v>
      </c>
      <c r="T3" s="417">
        <f>Cen!F51</f>
        <v>588.37465999999995</v>
      </c>
      <c r="U3" s="39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719</v>
      </c>
      <c r="L4" s="120"/>
      <c r="M4" s="117"/>
      <c r="N4" s="150" t="str">
        <f>" "&amp;List!$B$4</f>
        <v xml:space="preserve"> Výběr zásuvek a výsuvů</v>
      </c>
      <c r="O4" s="117"/>
      <c r="P4" s="389" t="str">
        <f>Cen!A56</f>
        <v>Bočnice M 500mm, Orion šedá</v>
      </c>
      <c r="Q4" s="389" t="str">
        <f>Cen!B56</f>
        <v>770M5002S</v>
      </c>
      <c r="R4" s="367" t="str">
        <f>Cen!C116</f>
        <v>OG-M</v>
      </c>
      <c r="S4" s="416">
        <f>SUM(E26, K26, E34, K34)</f>
        <v>0</v>
      </c>
      <c r="T4" s="417">
        <f>Cen!F56</f>
        <v>595.274</v>
      </c>
      <c r="U4" s="39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89" t="str">
        <f>Cen!A61</f>
        <v>Bočnice M 550mm, Orion šedá</v>
      </c>
      <c r="Q5" s="389" t="str">
        <f>Cen!B61</f>
        <v>770M5502S</v>
      </c>
      <c r="R5" s="367" t="str">
        <f>Cen!C121</f>
        <v>OG-M</v>
      </c>
      <c r="S5" s="416">
        <f>SUM(F26, L26, F34, L34)</f>
        <v>0</v>
      </c>
      <c r="T5" s="417">
        <f>Cen!F61</f>
        <v>665.94478000000004</v>
      </c>
      <c r="U5" s="39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772</v>
      </c>
      <c r="L6" s="120"/>
      <c r="M6" s="117"/>
      <c r="N6" s="2" t="str">
        <f>List!$B$12&amp;":"</f>
        <v>Pokračovat na:</v>
      </c>
      <c r="O6" s="117"/>
      <c r="P6" s="352" t="str">
        <f>Cen!A66</f>
        <v>Bočnice M 600mm, Orion šedá</v>
      </c>
      <c r="Q6" s="352" t="str">
        <f>Cen!B66</f>
        <v>770M6002S</v>
      </c>
      <c r="R6" s="367" t="str">
        <f>Cen!C126</f>
        <v>OG-M</v>
      </c>
      <c r="S6" s="368"/>
      <c r="T6" s="354">
        <f>Cen!F66</f>
        <v>754.21731</v>
      </c>
      <c r="U6" s="355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 t="str">
        <f>List!$B$36&amp;":"</f>
        <v>sklo:</v>
      </c>
      <c r="J7" s="120"/>
      <c r="K7" s="119" t="str">
        <f>List!$B$37</f>
        <v>čiré</v>
      </c>
      <c r="L7" s="120"/>
      <c r="M7" s="117"/>
      <c r="N7" s="149" t="str">
        <f>" "&amp;List!$B$5</f>
        <v xml:space="preserve"> Výběr doplňků</v>
      </c>
      <c r="O7" s="117"/>
      <c r="P7" s="389" t="str">
        <f>Cen!A176</f>
        <v>Bočnice C free, 450mm, Orion šedá</v>
      </c>
      <c r="Q7" s="389" t="str">
        <f>Cen!B176</f>
        <v>780C4502S</v>
      </c>
      <c r="R7" s="389" t="str">
        <f>Cen!C131</f>
        <v>OG-M</v>
      </c>
      <c r="S7" s="416">
        <f>SUM(D26, J26, D34, J34)*4</f>
        <v>0</v>
      </c>
      <c r="T7" s="417">
        <f>Cen!F176</f>
        <v>971.33302000000003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Cen!C136</f>
        <v>OG-M</v>
      </c>
      <c r="S8" s="416">
        <f>SUM(E26, K26, E34, K34)*4</f>
        <v>0</v>
      </c>
      <c r="T8" s="261">
        <f>Cen!F181</f>
        <v>978.39665000000002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Cen!C141</f>
        <v>OG-M</v>
      </c>
      <c r="S9" s="416">
        <f>SUM(F26, L26, F34, L34)*4</f>
        <v>0</v>
      </c>
      <c r="T9" s="261">
        <f>Cen!F186</f>
        <v>1034.8882699999999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67" t="str">
        <f>Cen!A191</f>
        <v>Bočnice C free, 600mm, Orion šedá</v>
      </c>
      <c r="Q10" s="367" t="str">
        <f>Cen!B191</f>
        <v>780C6002S</v>
      </c>
      <c r="R10" s="352" t="str">
        <f>Cen!C146</f>
        <v>OG-M</v>
      </c>
      <c r="S10" s="353"/>
      <c r="T10" s="369">
        <f>Cen!F191</f>
        <v>1123.16077</v>
      </c>
      <c r="U10" s="370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List!$C$66&amp;":   LW - 80"</f>
        <v>Přední zásuvné prvky:   LW - 80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42"/>
      <c r="N34" s="142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42"/>
      <c r="N35" s="142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42"/>
      <c r="N37" s="142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42"/>
      <c r="N38" s="142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41"/>
      <c r="D44" s="290"/>
      <c r="E44" s="290"/>
      <c r="F44" s="290"/>
      <c r="G44" s="290"/>
      <c r="H44" s="290"/>
      <c r="I44" s="290"/>
      <c r="J44" s="290"/>
      <c r="K44" s="290"/>
      <c r="L44" s="290"/>
      <c r="M44" s="117"/>
      <c r="N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41"/>
      <c r="D45" s="290"/>
      <c r="E45" s="290"/>
      <c r="F45" s="290"/>
      <c r="G45" s="290"/>
      <c r="H45" s="290"/>
      <c r="I45" s="290"/>
      <c r="J45" s="290"/>
      <c r="K45" s="290"/>
      <c r="L45" s="290"/>
      <c r="M45" s="117"/>
      <c r="N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41"/>
      <c r="D46" s="290"/>
      <c r="E46" s="290"/>
      <c r="F46" s="290"/>
      <c r="G46" s="290"/>
      <c r="H46" s="290"/>
      <c r="I46" s="290"/>
      <c r="J46" s="290"/>
      <c r="K46" s="290"/>
      <c r="L46" s="290"/>
      <c r="M46" s="117"/>
      <c r="N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41"/>
      <c r="D47" s="290"/>
      <c r="E47" s="290"/>
      <c r="F47" s="290"/>
      <c r="G47" s="290"/>
      <c r="H47" s="290"/>
      <c r="I47" s="290"/>
      <c r="J47" s="290"/>
      <c r="K47" s="290"/>
      <c r="L47" s="290"/>
      <c r="M47" s="117"/>
      <c r="N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41"/>
      <c r="D48" s="290"/>
      <c r="E48" s="290"/>
      <c r="F48" s="290"/>
      <c r="G48" s="290"/>
      <c r="H48" s="290"/>
      <c r="I48" s="290"/>
      <c r="J48" s="290"/>
      <c r="K48" s="290"/>
      <c r="L48" s="290"/>
      <c r="M48" s="117"/>
      <c r="N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41"/>
      <c r="D49" s="290"/>
      <c r="E49" s="290"/>
      <c r="F49" s="290"/>
      <c r="G49" s="290"/>
      <c r="H49" s="290"/>
      <c r="I49" s="290"/>
      <c r="J49" s="290"/>
      <c r="K49" s="290"/>
      <c r="L49" s="290"/>
      <c r="M49" s="117"/>
      <c r="N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41"/>
      <c r="D50" s="290"/>
      <c r="E50" s="290"/>
      <c r="F50" s="290"/>
      <c r="G50" s="290"/>
      <c r="H50" s="290"/>
      <c r="I50" s="290"/>
      <c r="J50" s="290"/>
      <c r="K50" s="290"/>
      <c r="L50" s="290"/>
      <c r="M50" s="117"/>
      <c r="N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41"/>
      <c r="D51" s="290"/>
      <c r="E51" s="290"/>
      <c r="F51" s="290"/>
      <c r="G51" s="290"/>
      <c r="H51" s="290"/>
      <c r="I51" s="290"/>
      <c r="J51" s="290"/>
      <c r="K51" s="290"/>
      <c r="L51" s="290"/>
      <c r="M51" s="117"/>
      <c r="N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41"/>
      <c r="D52" s="290"/>
      <c r="E52" s="290"/>
      <c r="F52" s="290"/>
      <c r="G52" s="290"/>
      <c r="H52" s="290"/>
      <c r="I52" s="290"/>
      <c r="J52" s="290"/>
      <c r="K52" s="290"/>
      <c r="L52" s="290"/>
      <c r="M52" s="117"/>
      <c r="N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41"/>
      <c r="D53" s="290"/>
      <c r="E53" s="290"/>
      <c r="F53" s="290"/>
      <c r="G53" s="290"/>
      <c r="H53" s="290"/>
      <c r="I53" s="290"/>
      <c r="J53" s="290"/>
      <c r="K53" s="290"/>
      <c r="L53" s="290"/>
      <c r="M53" s="117"/>
      <c r="N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41"/>
      <c r="D54" s="290"/>
      <c r="E54" s="290"/>
      <c r="F54" s="290"/>
      <c r="G54" s="290"/>
      <c r="H54" s="290"/>
      <c r="I54" s="290"/>
      <c r="J54" s="290"/>
      <c r="K54" s="290"/>
      <c r="L54" s="290"/>
      <c r="M54" s="117"/>
      <c r="N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41"/>
      <c r="D55" s="290"/>
      <c r="E55" s="290"/>
      <c r="F55" s="290"/>
      <c r="G55" s="290"/>
      <c r="H55" s="290"/>
      <c r="I55" s="290"/>
      <c r="J55" s="290"/>
      <c r="K55" s="290"/>
      <c r="L55" s="290"/>
      <c r="M55" s="117"/>
      <c r="N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41"/>
      <c r="D56" s="290"/>
      <c r="E56" s="290"/>
      <c r="F56" s="290"/>
      <c r="G56" s="290"/>
      <c r="H56" s="290"/>
      <c r="I56" s="290"/>
      <c r="J56" s="290"/>
      <c r="K56" s="290"/>
      <c r="L56" s="290"/>
      <c r="M56" s="117"/>
      <c r="N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41"/>
      <c r="D57" s="290"/>
      <c r="E57" s="290"/>
      <c r="F57" s="290"/>
      <c r="G57" s="290"/>
      <c r="H57" s="290"/>
      <c r="I57" s="290"/>
      <c r="J57" s="290"/>
      <c r="K57" s="290"/>
      <c r="L57" s="290"/>
      <c r="M57" s="117"/>
      <c r="N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41"/>
      <c r="D58" s="290"/>
      <c r="E58" s="290"/>
      <c r="F58" s="290"/>
      <c r="G58" s="290"/>
      <c r="H58" s="290"/>
      <c r="I58" s="290"/>
      <c r="J58" s="290"/>
      <c r="K58" s="290"/>
      <c r="L58" s="290"/>
      <c r="M58" s="117"/>
      <c r="N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41"/>
      <c r="D59" s="290"/>
      <c r="E59" s="290"/>
      <c r="F59" s="290"/>
      <c r="G59" s="290"/>
      <c r="H59" s="290"/>
      <c r="I59" s="290"/>
      <c r="J59" s="290"/>
      <c r="K59" s="290"/>
      <c r="L59" s="290"/>
      <c r="M59" s="117"/>
      <c r="N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41"/>
      <c r="D60" s="290"/>
      <c r="E60" s="290"/>
      <c r="F60" s="290"/>
      <c r="G60" s="290"/>
      <c r="H60" s="290"/>
      <c r="I60" s="290"/>
      <c r="J60" s="290"/>
      <c r="K60" s="290"/>
      <c r="L60" s="290"/>
      <c r="M60" s="117"/>
      <c r="N60" s="117"/>
      <c r="P60" s="142"/>
      <c r="Q60" s="142"/>
      <c r="R60" s="142"/>
      <c r="S60" s="148"/>
      <c r="T60" s="152"/>
      <c r="U60" s="152"/>
    </row>
    <row r="61" spans="1:22" ht="14" x14ac:dyDescent="0.3">
      <c r="A61" s="175"/>
      <c r="C61" s="341"/>
      <c r="D61" s="290"/>
      <c r="E61" s="290"/>
      <c r="F61" s="290"/>
      <c r="G61" s="290"/>
      <c r="H61" s="290"/>
      <c r="I61" s="290"/>
      <c r="J61" s="290"/>
      <c r="K61" s="290"/>
      <c r="L61" s="290"/>
      <c r="M61" s="117"/>
      <c r="N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4" x14ac:dyDescent="0.3">
      <c r="A62" s="175"/>
      <c r="C62" s="341"/>
      <c r="D62" s="290"/>
      <c r="E62" s="290"/>
      <c r="F62" s="290"/>
      <c r="G62" s="290"/>
      <c r="H62" s="290"/>
      <c r="I62" s="290"/>
      <c r="J62" s="290"/>
      <c r="K62" s="290"/>
      <c r="L62" s="290"/>
      <c r="M62" s="117"/>
      <c r="N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4" x14ac:dyDescent="0.3">
      <c r="A63" s="175"/>
      <c r="C63" s="341"/>
      <c r="D63" s="290"/>
      <c r="E63" s="290"/>
      <c r="F63" s="290"/>
      <c r="G63" s="290"/>
      <c r="H63" s="290"/>
      <c r="I63" s="290"/>
      <c r="J63" s="290"/>
      <c r="K63" s="290"/>
      <c r="L63" s="290"/>
      <c r="M63" s="117"/>
      <c r="N63" s="117"/>
      <c r="P63" s="142"/>
      <c r="Q63" s="142"/>
      <c r="R63" s="142"/>
      <c r="S63" s="148"/>
      <c r="T63" s="152"/>
      <c r="U63" s="152"/>
    </row>
    <row r="64" spans="1:22" ht="14" x14ac:dyDescent="0.3">
      <c r="A64" s="175"/>
      <c r="C64" s="311"/>
      <c r="D64" s="351"/>
      <c r="E64" s="351"/>
      <c r="F64" s="351"/>
      <c r="G64" s="351"/>
      <c r="H64" s="351"/>
      <c r="I64" s="290"/>
      <c r="J64" s="290"/>
      <c r="K64" s="290"/>
      <c r="L64" s="290"/>
      <c r="M64" s="117"/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SUM(S3:S6)</f>
        <v>0</v>
      </c>
      <c r="T64" s="116">
        <f>Cen!F319</f>
        <v>35.345579999999998</v>
      </c>
      <c r="U64" s="116">
        <f t="shared" ref="U64:U73" si="12">S64*T64</f>
        <v>0</v>
      </c>
    </row>
    <row r="65" spans="1:21" ht="13" x14ac:dyDescent="0.3">
      <c r="A65" s="175"/>
      <c r="C65" s="289"/>
      <c r="D65" s="175"/>
      <c r="E65" s="175"/>
      <c r="F65" s="175"/>
      <c r="G65" s="175"/>
      <c r="H65" s="175"/>
      <c r="I65" s="283"/>
      <c r="J65" s="283"/>
      <c r="K65" s="283"/>
      <c r="L65" s="283"/>
      <c r="M65" s="117"/>
      <c r="P65" s="120" t="str">
        <f>Cen!A329</f>
        <v>Držáky zadní stěny C, Orion šedá</v>
      </c>
      <c r="Q65" s="120" t="str">
        <f>Cen!B329</f>
        <v>ZB7C000S</v>
      </c>
      <c r="R65" s="120" t="str">
        <f>Cen!C329</f>
        <v>OG-M</v>
      </c>
      <c r="S65" s="121">
        <f>SUM(S7:S10)</f>
        <v>0</v>
      </c>
      <c r="T65" s="116">
        <f>Cen!$F329</f>
        <v>47.092230000000001</v>
      </c>
      <c r="U65" s="116">
        <f t="shared" si="12"/>
        <v>0</v>
      </c>
    </row>
    <row r="66" spans="1:21" ht="13" x14ac:dyDescent="0.3">
      <c r="B66" s="117"/>
      <c r="C66" s="289"/>
      <c r="D66" s="175"/>
      <c r="E66" s="175"/>
      <c r="F66" s="175"/>
      <c r="G66" s="175"/>
      <c r="H66" s="175"/>
      <c r="I66" s="175"/>
      <c r="J66" s="175"/>
      <c r="K66" s="175"/>
      <c r="L66" s="175"/>
      <c r="M66" s="117"/>
      <c r="P66" s="120" t="str">
        <f>Cen!A369</f>
        <v>Sada kování vnitř.výs. C, se zás.prvkem, Orion šedá</v>
      </c>
      <c r="Q66" s="120" t="str">
        <f>Cen!B369</f>
        <v>ZI7.2CS0</v>
      </c>
      <c r="R66" s="120" t="str">
        <f>Cen!C369</f>
        <v>OG-M</v>
      </c>
      <c r="S66" s="121">
        <f>SUM(S7:S10)</f>
        <v>0</v>
      </c>
      <c r="T66" s="116">
        <f>Cen!F369</f>
        <v>585.05386999999996</v>
      </c>
      <c r="U66" s="116">
        <f t="shared" si="12"/>
        <v>0</v>
      </c>
    </row>
    <row r="67" spans="1:21" ht="13" x14ac:dyDescent="0.3">
      <c r="B67" s="117"/>
      <c r="C67" s="282"/>
      <c r="I67" s="284"/>
      <c r="J67" s="284"/>
      <c r="K67" s="284"/>
      <c r="L67" s="284"/>
      <c r="M67" s="117"/>
      <c r="P67" s="120" t="str">
        <f>Cen!A360</f>
        <v>Sada kování vnitřní zásuvky M, Orion šedá</v>
      </c>
      <c r="Q67" s="120" t="str">
        <f>Cen!B360</f>
        <v>ZI7.0MS0</v>
      </c>
      <c r="R67" s="120" t="str">
        <f>Cen!C360</f>
        <v>OG-M</v>
      </c>
      <c r="S67" s="121">
        <f>SUM(S3:S6)</f>
        <v>0</v>
      </c>
      <c r="T67" s="116">
        <f>Cen!F360</f>
        <v>413.54563999999999</v>
      </c>
      <c r="U67" s="116">
        <f t="shared" si="12"/>
        <v>0</v>
      </c>
    </row>
    <row r="68" spans="1:21" ht="14.5" x14ac:dyDescent="0.35">
      <c r="B68" s="24"/>
      <c r="C68" s="282"/>
      <c r="I68" s="285"/>
      <c r="J68" s="285"/>
      <c r="K68" s="285"/>
      <c r="L68" s="285"/>
      <c r="P68" s="120" t="str">
        <f>Cen!A384</f>
        <v>Přední díl vnitřní zásuvky, s drážkou, Orion šedá</v>
      </c>
      <c r="Q68" s="120" t="str">
        <f>Cen!B384</f>
        <v>ZV7.1043MN1</v>
      </c>
      <c r="R68" s="120" t="str">
        <f>Cen!C384</f>
        <v>OG-M</v>
      </c>
      <c r="S68" s="329">
        <f>ROUNDUP(SUM($D$26/3*5, $E$26/3*5, $F$26/3*5, $D$34/3*5, $E$34/3*5, $F$34/3*5),0)+ROUNDUP(SUM($J$26/2*5, $K$26/2*5, $L$26/2*5, $J$34/2*5, $K$34/2*5, $L$34/2*5),0)</f>
        <v>0</v>
      </c>
      <c r="T68" s="116">
        <f>Cen!F384</f>
        <v>446.52434</v>
      </c>
      <c r="U68" s="116">
        <f t="shared" si="12"/>
        <v>0</v>
      </c>
    </row>
    <row r="69" spans="1:21" ht="13" x14ac:dyDescent="0.3">
      <c r="B69" s="117"/>
      <c r="C69" s="282"/>
      <c r="I69" s="283"/>
      <c r="J69" s="283"/>
      <c r="K69" s="283"/>
      <c r="L69" s="283"/>
      <c r="P69" s="120" t="str">
        <f>Cen!A389</f>
        <v>Přední díl vnitřní zásuvky, bez drážky, Orion šedá</v>
      </c>
      <c r="Q69" s="120" t="str">
        <f>Cen!B389</f>
        <v>ZV7.1043C01</v>
      </c>
      <c r="R69" s="120" t="str">
        <f>Cen!C389</f>
        <v>OG-M</v>
      </c>
      <c r="S69" s="329">
        <f>ROUNDUP(SUM($D$26, $E$26, $F$26, $D$34, $E$34, $F$34)/3*1, 0)+ROUNDUP(SUM($J$26, $K$26, $L$26, $J$34, $K$34, $L$34)/2*1,0)</f>
        <v>0</v>
      </c>
      <c r="T69" s="120">
        <f>Cen!F389</f>
        <v>467.12466999999998</v>
      </c>
      <c r="U69" s="116">
        <f t="shared" si="12"/>
        <v>0</v>
      </c>
    </row>
    <row r="70" spans="1:21" ht="14" x14ac:dyDescent="0.3">
      <c r="B70" s="117"/>
      <c r="C70" s="286"/>
      <c r="D70" s="340"/>
      <c r="E70" s="341"/>
      <c r="F70" s="342"/>
      <c r="G70" s="342"/>
      <c r="H70" s="341"/>
      <c r="I70" s="341"/>
      <c r="J70" s="286"/>
      <c r="K70" s="286"/>
      <c r="L70" s="286"/>
      <c r="P70" s="124" t="str">
        <f>Cen!A403</f>
        <v>Přední zásuvný prvek vysoký, sklo, KB 450mm</v>
      </c>
      <c r="Q70" s="124" t="str">
        <f>Cen!B403</f>
        <v>ZE7W332G</v>
      </c>
      <c r="R70" s="124" t="str">
        <f>Cen!C403</f>
        <v>KLA</v>
      </c>
      <c r="S70" s="327">
        <f>SUM($D$26:$F$26, $D$34:$F$34)*3</f>
        <v>0</v>
      </c>
      <c r="T70" s="328">
        <f>Cen!F403</f>
        <v>389.35672</v>
      </c>
      <c r="U70" s="328">
        <f t="shared" si="12"/>
        <v>0</v>
      </c>
    </row>
    <row r="71" spans="1:21" ht="14" x14ac:dyDescent="0.3">
      <c r="B71" s="117"/>
      <c r="C71" s="286"/>
      <c r="D71" s="344"/>
      <c r="E71" s="290"/>
      <c r="F71" s="290"/>
      <c r="G71" s="290"/>
      <c r="H71" s="290"/>
      <c r="I71" s="290"/>
      <c r="J71" s="284"/>
      <c r="K71" s="284"/>
      <c r="L71" s="284"/>
      <c r="P71" s="125" t="str">
        <f>Cen!A404</f>
        <v>Přední zásuvný prvek vysoký, sklo, KB 600mm</v>
      </c>
      <c r="Q71" s="125" t="str">
        <f>Cen!B404</f>
        <v>ZE7W482G</v>
      </c>
      <c r="R71" s="125" t="str">
        <f>Cen!C404</f>
        <v>KLA</v>
      </c>
      <c r="S71" s="257">
        <f>SUM($J$26:$L$26, $J$34:$L$34)*3</f>
        <v>0</v>
      </c>
      <c r="T71" s="258">
        <f>Cen!F404</f>
        <v>442.47012999999998</v>
      </c>
      <c r="U71" s="258">
        <f t="shared" si="12"/>
        <v>0</v>
      </c>
    </row>
    <row r="72" spans="1:21" ht="14" x14ac:dyDescent="0.3">
      <c r="B72" s="375"/>
      <c r="C72" s="286"/>
      <c r="D72" s="344"/>
      <c r="E72" s="290"/>
      <c r="F72" s="290"/>
      <c r="G72" s="290"/>
      <c r="H72" s="290"/>
      <c r="I72" s="290"/>
      <c r="J72" s="284"/>
      <c r="K72" s="284"/>
      <c r="L72" s="284"/>
      <c r="P72" s="352" t="str">
        <f>Cen!A405</f>
        <v>Přední zásuvný prvek vysoký, sklo, KB 900mm</v>
      </c>
      <c r="Q72" s="352" t="str">
        <f>Cen!B405</f>
        <v>ZE7W782G</v>
      </c>
      <c r="R72" s="352" t="str">
        <f>Cen!C405</f>
        <v>KLA</v>
      </c>
      <c r="S72" s="353">
        <f>H71</f>
        <v>0</v>
      </c>
      <c r="T72" s="355">
        <f>Cen!F405</f>
        <v>737.45001999999988</v>
      </c>
      <c r="U72" s="355">
        <f t="shared" si="12"/>
        <v>0</v>
      </c>
    </row>
    <row r="73" spans="1:21" ht="14" x14ac:dyDescent="0.3">
      <c r="B73" s="117"/>
      <c r="C73" s="311"/>
      <c r="D73" s="290"/>
      <c r="E73" s="290"/>
      <c r="F73" s="290"/>
      <c r="G73" s="290"/>
      <c r="H73" s="290"/>
      <c r="J73" s="285"/>
      <c r="K73" s="285"/>
      <c r="L73" s="285"/>
      <c r="P73" s="422" t="str">
        <f>Cen!A406</f>
        <v>Přední zásuvný prvek vysoký, sklo, KB 1200mm</v>
      </c>
      <c r="Q73" s="422" t="str">
        <f>Cen!B406</f>
        <v>ZE7W1082G</v>
      </c>
      <c r="R73" s="422" t="str">
        <f>Cen!C406</f>
        <v>KLA</v>
      </c>
      <c r="S73" s="410">
        <f>I71</f>
        <v>0</v>
      </c>
      <c r="T73" s="423">
        <f>Cen!F406</f>
        <v>949.83555999999999</v>
      </c>
      <c r="U73" s="423">
        <f t="shared" si="12"/>
        <v>0</v>
      </c>
    </row>
    <row r="74" spans="1:21" ht="13" x14ac:dyDescent="0.3">
      <c r="B74" s="117"/>
      <c r="C74" s="282"/>
      <c r="I74" s="283"/>
      <c r="J74" s="283"/>
      <c r="K74" s="283"/>
      <c r="L74" s="283"/>
      <c r="P74" s="120"/>
      <c r="Q74" s="120"/>
      <c r="R74" s="120"/>
      <c r="S74" s="121"/>
      <c r="T74" s="116"/>
      <c r="U74" s="116"/>
    </row>
    <row r="75" spans="1:21" ht="14" x14ac:dyDescent="0.3">
      <c r="B75" s="117"/>
      <c r="C75" s="286"/>
      <c r="D75" s="340"/>
      <c r="E75" s="341"/>
      <c r="F75" s="342"/>
      <c r="G75" s="342"/>
      <c r="H75" s="341"/>
      <c r="I75" s="341"/>
      <c r="J75" s="286"/>
      <c r="K75" s="286"/>
      <c r="L75" s="286"/>
      <c r="P75" s="124" t="str">
        <f>Cen!A411</f>
        <v>Přední zásuvný prvek nízký, sklo, KB 450mm</v>
      </c>
      <c r="Q75" s="124" t="str">
        <f>Cen!B411</f>
        <v>ZE7V332G</v>
      </c>
      <c r="R75" s="124" t="str">
        <f>Cen!C411</f>
        <v>KLA</v>
      </c>
      <c r="S75" s="327">
        <f>SUM($D$26:$F$26, $D$34:$F$34)</f>
        <v>0</v>
      </c>
      <c r="T75" s="328">
        <f>Cen!F411</f>
        <v>241.88919000000001</v>
      </c>
      <c r="U75" s="328">
        <f>S75*T75</f>
        <v>0</v>
      </c>
    </row>
    <row r="76" spans="1:21" ht="14" x14ac:dyDescent="0.3">
      <c r="B76" s="286"/>
      <c r="C76" s="286"/>
      <c r="D76" s="344"/>
      <c r="E76" s="290"/>
      <c r="F76" s="290"/>
      <c r="G76" s="290"/>
      <c r="H76" s="290"/>
      <c r="I76" s="290"/>
      <c r="J76" s="284"/>
      <c r="K76" s="284"/>
      <c r="L76" s="284"/>
      <c r="P76" s="125" t="str">
        <f>Cen!A412</f>
        <v>Přední zásuvný prvek nízký, sklo, KB 600mm</v>
      </c>
      <c r="Q76" s="125" t="str">
        <f>Cen!B412</f>
        <v>ZE7V482G</v>
      </c>
      <c r="R76" s="125" t="str">
        <f>Cen!C412</f>
        <v>KLA</v>
      </c>
      <c r="S76" s="257">
        <f>SUM($J$26:$L$26, $J$34:$L$34)</f>
        <v>0</v>
      </c>
      <c r="T76" s="258">
        <f>Cen!F412</f>
        <v>277.28676999999999</v>
      </c>
      <c r="U76" s="258">
        <f>S76*T76</f>
        <v>0</v>
      </c>
    </row>
    <row r="77" spans="1:21" ht="14" x14ac:dyDescent="0.3">
      <c r="B77" s="343"/>
      <c r="C77" s="286"/>
      <c r="D77" s="344"/>
      <c r="E77" s="290"/>
      <c r="F77" s="290"/>
      <c r="G77" s="290"/>
      <c r="H77" s="290"/>
      <c r="I77" s="290"/>
      <c r="J77" s="284"/>
      <c r="K77" s="284"/>
      <c r="L77" s="284"/>
      <c r="P77" s="352" t="str">
        <f>Cen!A413</f>
        <v>Přední zásuvný prvek nízký, sklo, KB 900mm</v>
      </c>
      <c r="Q77" s="352" t="str">
        <f>Cen!B413</f>
        <v>ZE7V782G</v>
      </c>
      <c r="R77" s="352" t="str">
        <f>Cen!C413</f>
        <v>KLA</v>
      </c>
      <c r="S77" s="353">
        <f>H76</f>
        <v>0</v>
      </c>
      <c r="T77" s="355">
        <f>Cen!F413</f>
        <v>489.67230000000001</v>
      </c>
      <c r="U77" s="355">
        <f>S77*T77</f>
        <v>0</v>
      </c>
    </row>
    <row r="78" spans="1:21" ht="14" x14ac:dyDescent="0.3">
      <c r="B78" s="343"/>
      <c r="C78" s="311"/>
      <c r="D78" s="290"/>
      <c r="E78" s="290"/>
      <c r="F78" s="290"/>
      <c r="G78" s="290"/>
      <c r="H78" s="290"/>
      <c r="J78" s="285"/>
      <c r="K78" s="285"/>
      <c r="L78" s="285"/>
      <c r="P78" s="422" t="str">
        <f>Cen!A414</f>
        <v>Přední zásuvný prvek nízký, sklo, KB 1200mm</v>
      </c>
      <c r="Q78" s="422" t="str">
        <f>Cen!B414</f>
        <v>ZE7V1082G</v>
      </c>
      <c r="R78" s="422" t="str">
        <f>Cen!C414</f>
        <v>KLA</v>
      </c>
      <c r="S78" s="410">
        <f>I76</f>
        <v>0</v>
      </c>
      <c r="T78" s="423">
        <f>Cen!F414</f>
        <v>631.26264000000003</v>
      </c>
      <c r="U78" s="423">
        <f>S78*T78</f>
        <v>0</v>
      </c>
    </row>
    <row r="79" spans="1:21" ht="14" x14ac:dyDescent="0.3">
      <c r="B79" s="310"/>
      <c r="C79" s="282"/>
      <c r="I79" s="283"/>
      <c r="J79" s="283"/>
      <c r="K79" s="283"/>
      <c r="L79" s="283"/>
      <c r="P79" s="117"/>
      <c r="Q79" s="117"/>
    </row>
    <row r="80" spans="1:21" x14ac:dyDescent="0.25">
      <c r="G80" s="2"/>
      <c r="P80" s="205" t="str">
        <f>Cen!A232</f>
        <v>Boční zásuvné prvky, sklo, pro 350 mm</v>
      </c>
      <c r="Q80" s="205" t="str">
        <f>Cen!B232</f>
        <v>ZE7S238G</v>
      </c>
      <c r="R80" s="205" t="str">
        <f>Cen!C232</f>
        <v>KLA</v>
      </c>
      <c r="S80" s="255"/>
      <c r="T80" s="594">
        <f>Cen!F232</f>
        <v>625.33465999999999</v>
      </c>
      <c r="U80" s="256">
        <f>S80*T80</f>
        <v>0</v>
      </c>
    </row>
    <row r="81" spans="1:22" x14ac:dyDescent="0.25">
      <c r="G81" s="2"/>
      <c r="P81" s="125" t="str">
        <f>Cen!A233</f>
        <v>Boční zásuvné prvky, sklo, pro 400 mm</v>
      </c>
      <c r="Q81" s="125" t="str">
        <f>Cen!B233</f>
        <v>ZE7S288G</v>
      </c>
      <c r="R81" s="125" t="str">
        <f>Cen!C233</f>
        <v>KLA</v>
      </c>
      <c r="S81" s="257"/>
      <c r="T81" s="261">
        <f>Cen!F233</f>
        <v>660.74360999999999</v>
      </c>
      <c r="U81" s="258">
        <f t="shared" ref="U81:U86" si="13">S81*T81</f>
        <v>0</v>
      </c>
    </row>
    <row r="82" spans="1:22" x14ac:dyDescent="0.25">
      <c r="G82" s="2"/>
      <c r="P82" s="125" t="str">
        <f>Cen!A234</f>
        <v>Boční zásuvné prvky, sklo, pro 450 mm</v>
      </c>
      <c r="Q82" s="125" t="str">
        <f>Cen!B234</f>
        <v>ZE7S338G</v>
      </c>
      <c r="R82" s="125" t="str">
        <f>Cen!C234</f>
        <v>KLA</v>
      </c>
      <c r="S82" s="257">
        <f>S7</f>
        <v>0</v>
      </c>
      <c r="T82" s="261">
        <f>Cen!F234</f>
        <v>696.15254000000004</v>
      </c>
      <c r="U82" s="258">
        <f t="shared" si="13"/>
        <v>0</v>
      </c>
    </row>
    <row r="83" spans="1:22" x14ac:dyDescent="0.25">
      <c r="G83" s="2"/>
      <c r="P83" s="125" t="str">
        <f>Cen!A235</f>
        <v>Boční zásuvné prvky, sklo, pro 500 mm</v>
      </c>
      <c r="Q83" s="125" t="str">
        <f>Cen!B235</f>
        <v>ZE7S388G</v>
      </c>
      <c r="R83" s="125" t="str">
        <f>Cen!C235</f>
        <v>KLA</v>
      </c>
      <c r="S83" s="257">
        <f>S8</f>
        <v>0</v>
      </c>
      <c r="T83" s="261">
        <f>Cen!F235</f>
        <v>731.56149000000005</v>
      </c>
      <c r="U83" s="258">
        <f t="shared" si="13"/>
        <v>0</v>
      </c>
    </row>
    <row r="84" spans="1:22" x14ac:dyDescent="0.25">
      <c r="G84" s="2"/>
      <c r="P84" s="125" t="str">
        <f>Cen!A236</f>
        <v>Boční zásuvné prvky, sklo, pro 550 mm</v>
      </c>
      <c r="Q84" s="125" t="str">
        <f>Cen!B236</f>
        <v>ZE7S438G</v>
      </c>
      <c r="R84" s="125" t="str">
        <f>Cen!C236</f>
        <v>KLA</v>
      </c>
      <c r="S84" s="257">
        <f>S9</f>
        <v>0</v>
      </c>
      <c r="T84" s="261">
        <f>Cen!F236</f>
        <v>802.35667000000001</v>
      </c>
      <c r="U84" s="258">
        <f t="shared" si="13"/>
        <v>0</v>
      </c>
    </row>
    <row r="85" spans="1:22" x14ac:dyDescent="0.25">
      <c r="G85" s="2"/>
      <c r="P85" s="125" t="str">
        <f>Cen!A237</f>
        <v>Boční zásuvné prvky, sklo, pro 600 mm</v>
      </c>
      <c r="Q85" s="125" t="str">
        <f>Cen!B237</f>
        <v>ZE7S488G</v>
      </c>
      <c r="R85" s="125" t="str">
        <f>Cen!C237</f>
        <v>KLA</v>
      </c>
      <c r="S85" s="257">
        <f>S10</f>
        <v>0</v>
      </c>
      <c r="T85" s="261">
        <f>Cen!F237</f>
        <v>873.15183000000002</v>
      </c>
      <c r="U85" s="258">
        <f t="shared" si="13"/>
        <v>0</v>
      </c>
    </row>
    <row r="86" spans="1:22" ht="13" thickBot="1" x14ac:dyDescent="0.3">
      <c r="G86" s="2"/>
      <c r="P86" s="595" t="str">
        <f>Cen!A238</f>
        <v>Boční zásuvné prvky, sklo, pro 650 mm</v>
      </c>
      <c r="Q86" s="595" t="str">
        <f>Cen!B238</f>
        <v>ZE7S538G</v>
      </c>
      <c r="R86" s="595" t="str">
        <f>Cen!C238</f>
        <v>KLA</v>
      </c>
      <c r="S86" s="596">
        <f>S11</f>
        <v>0</v>
      </c>
      <c r="T86" s="597">
        <f>Cen!F238</f>
        <v>943.94700999999998</v>
      </c>
      <c r="U86" s="598">
        <f t="shared" si="13"/>
        <v>0</v>
      </c>
    </row>
    <row r="87" spans="1:22" ht="14" x14ac:dyDescent="0.3">
      <c r="A87" s="175"/>
      <c r="C87" s="341"/>
      <c r="D87" s="290"/>
      <c r="E87" s="290"/>
      <c r="F87" s="290"/>
      <c r="G87" s="290"/>
      <c r="H87" s="290"/>
      <c r="I87" s="290"/>
      <c r="J87" s="290"/>
      <c r="K87" s="290"/>
      <c r="L87" s="290"/>
      <c r="M87" s="117"/>
      <c r="N87" s="117"/>
      <c r="P87" s="120"/>
      <c r="Q87" s="120"/>
      <c r="R87" s="120"/>
      <c r="S87" s="121"/>
      <c r="T87" s="116"/>
      <c r="U87" s="116"/>
    </row>
    <row r="88" spans="1:22" ht="14" x14ac:dyDescent="0.3">
      <c r="A88" s="175"/>
      <c r="C88" s="341"/>
      <c r="D88" s="290"/>
      <c r="E88" s="290"/>
      <c r="F88" s="290"/>
      <c r="G88" s="290"/>
      <c r="H88" s="290"/>
      <c r="I88" s="290"/>
      <c r="J88" s="290"/>
      <c r="K88" s="290"/>
      <c r="L88" s="290"/>
      <c r="M88" s="117"/>
      <c r="N88" s="117"/>
      <c r="P88" s="120"/>
      <c r="Q88" s="120"/>
      <c r="R88" s="120"/>
      <c r="S88" s="121"/>
      <c r="T88" s="116"/>
      <c r="U88" s="116"/>
    </row>
    <row r="89" spans="1:22" ht="14" x14ac:dyDescent="0.3">
      <c r="A89" s="175"/>
      <c r="C89" s="341"/>
      <c r="D89" s="290"/>
      <c r="E89" s="290"/>
      <c r="F89" s="290"/>
      <c r="G89" s="290"/>
      <c r="H89" s="290"/>
      <c r="I89" s="290"/>
      <c r="J89" s="290"/>
      <c r="K89" s="290"/>
      <c r="L89" s="290"/>
      <c r="M89" s="117"/>
      <c r="N89" s="117"/>
      <c r="P89" s="120"/>
      <c r="Q89" s="120"/>
      <c r="R89" s="120"/>
      <c r="S89" s="121"/>
      <c r="T89" s="116"/>
      <c r="U89" s="116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4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4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4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4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4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116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5">S96*T96</f>
        <v>0</v>
      </c>
    </row>
    <row r="97" spans="1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1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1:21" x14ac:dyDescent="0.25">
      <c r="B99" s="117"/>
      <c r="I99" s="285"/>
      <c r="J99" s="285"/>
      <c r="K99" s="285"/>
      <c r="L99" s="285"/>
      <c r="P99" s="117"/>
      <c r="Q99" s="117"/>
    </row>
    <row r="100" spans="1:21" ht="13" x14ac:dyDescent="0.3">
      <c r="B100" s="117"/>
      <c r="I100" s="283"/>
      <c r="J100" s="283"/>
      <c r="K100" s="283"/>
      <c r="L100" s="283"/>
      <c r="P100" s="117"/>
      <c r="Q100" s="117"/>
    </row>
    <row r="110" spans="1:21" x14ac:dyDescent="0.25">
      <c r="A110" s="823"/>
    </row>
    <row r="111" spans="1:21" x14ac:dyDescent="0.25">
      <c r="A111" s="823"/>
    </row>
    <row r="112" spans="1:21" x14ac:dyDescent="0.25">
      <c r="A112" s="823"/>
    </row>
    <row r="113" spans="1:1" x14ac:dyDescent="0.25">
      <c r="A113" s="823"/>
    </row>
    <row r="114" spans="1:1" x14ac:dyDescent="0.25">
      <c r="A114" s="823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</sheetData>
  <sheetProtection algorithmName="SHA-512" hashValue="992zS/0pINsdFZDPg1Zi9+GrhZN4p70r9EaMvueBSJ7JwZ+GchsfFeWFEqp8BmS4F2ttLahPdq7gl2yunYqNKA==" saltValue="L2yFr3IouWlv2T0dqIfJyA==" spinCount="100000" sheet="1" objects="1" scenarios="1"/>
  <mergeCells count="1">
    <mergeCell ref="A110:A151"/>
  </mergeCells>
  <hyperlinks>
    <hyperlink ref="N3" location="Form!A1" tooltip=" " display="Form!A1" xr:uid="{00000000-0004-0000-1B00-000000000000}"/>
    <hyperlink ref="N4" location="Menu!A1" tooltip=" " display="Menu!A1" xr:uid="{00000000-0004-0000-1B00-000001000000}"/>
    <hyperlink ref="N7" location="Acs!A1" tooltip=" " display="Acs!A1" xr:uid="{00000000-0004-0000-1B00-000002000000}"/>
    <hyperlink ref="N8" location="SD!A1" tooltip=" " display="SD!A1" xr:uid="{00000000-0004-0000-1B00-000003000000}"/>
    <hyperlink ref="N10" location="Sum!A1" tooltip=" " display="Sum!A1" xr:uid="{00000000-0004-0000-1B00-000004000000}"/>
    <hyperlink ref="N11" location="Ord!A1" tooltip=" " display="Ord!A1" xr:uid="{00000000-0004-0000-1B00-000005000000}"/>
    <hyperlink ref="N9" location="AL!A1" tooltip=" " display="AL!A1" xr:uid="{00000000-0004-0000-1B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Drop Down 1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Drop Down 2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82">
    <tabColor theme="2" tint="-0.499984740745262"/>
  </sheetPr>
  <dimension ref="A1:Y166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4xC/1xM"</f>
        <v>SPACE-TOWER, sestava 4xC/1xM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List!$B$72</f>
        <v>přední reling</v>
      </c>
      <c r="M3" s="117"/>
      <c r="N3" s="149" t="str">
        <f>" "&amp;List!$B$13</f>
        <v xml:space="preserve"> Úvod</v>
      </c>
      <c r="O3" s="117"/>
      <c r="P3" s="389" t="str">
        <f>Cen!A51</f>
        <v>Bočnice M 450mm, Orion šedá</v>
      </c>
      <c r="Q3" s="389" t="str">
        <f>Cen!B51</f>
        <v>770M4502S</v>
      </c>
      <c r="R3" s="389" t="str">
        <f>Cen!C111</f>
        <v>OG-M</v>
      </c>
      <c r="S3" s="416">
        <f>SUM(D26, J26, D34, J34)</f>
        <v>0</v>
      </c>
      <c r="T3" s="417">
        <f>Cen!F51</f>
        <v>588.37465999999995</v>
      </c>
      <c r="U3" s="390">
        <f t="shared" ref="U3:U10" si="0">S3*T3</f>
        <v>0</v>
      </c>
      <c r="W3" s="117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719</v>
      </c>
      <c r="L4" s="120"/>
      <c r="M4" s="117"/>
      <c r="N4" s="150" t="str">
        <f>" "&amp;List!$B$4</f>
        <v xml:space="preserve"> Výběr zásuvek a výsuvů</v>
      </c>
      <c r="O4" s="117"/>
      <c r="P4" s="389" t="str">
        <f>Cen!A56</f>
        <v>Bočnice M 500mm, Orion šedá</v>
      </c>
      <c r="Q4" s="389" t="str">
        <f>Cen!B56</f>
        <v>770M5002S</v>
      </c>
      <c r="R4" s="389" t="str">
        <f>Cen!C116</f>
        <v>OG-M</v>
      </c>
      <c r="S4" s="416">
        <f>SUM(E26, K26, E34, K34)</f>
        <v>0</v>
      </c>
      <c r="T4" s="417">
        <f>Cen!F56</f>
        <v>595.274</v>
      </c>
      <c r="U4" s="39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89" t="str">
        <f>Cen!A61</f>
        <v>Bočnice M 550mm, Orion šedá</v>
      </c>
      <c r="Q5" s="389" t="str">
        <f>Cen!B61</f>
        <v>770M5502S</v>
      </c>
      <c r="R5" s="389" t="str">
        <f>Cen!C121</f>
        <v>OG-M</v>
      </c>
      <c r="S5" s="416">
        <f>SUM(F26, L26, F34, L34)</f>
        <v>0</v>
      </c>
      <c r="T5" s="417">
        <f>Cen!F61</f>
        <v>665.94478000000004</v>
      </c>
      <c r="U5" s="39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771</v>
      </c>
      <c r="L6" s="120"/>
      <c r="M6" s="117"/>
      <c r="N6" s="2" t="str">
        <f>List!$B$12&amp;":"</f>
        <v>Pokračovat na:</v>
      </c>
      <c r="O6" s="117"/>
      <c r="P6" s="352" t="str">
        <f>Cen!A66</f>
        <v>Bočnice M 600mm, Orion šedá</v>
      </c>
      <c r="Q6" s="352" t="str">
        <f>Cen!B66</f>
        <v>770M6002S</v>
      </c>
      <c r="R6" s="367" t="str">
        <f>Cen!C126</f>
        <v>OG-M</v>
      </c>
      <c r="S6" s="368"/>
      <c r="T6" s="354">
        <f>Cen!F66</f>
        <v>754.21731</v>
      </c>
      <c r="U6" s="355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/>
      <c r="J7" s="120"/>
      <c r="K7" s="119"/>
      <c r="L7" s="120"/>
      <c r="M7" s="117"/>
      <c r="N7" s="149" t="str">
        <f>" "&amp;List!$B$5</f>
        <v xml:space="preserve"> Výběr doplňků</v>
      </c>
      <c r="O7" s="117"/>
      <c r="P7" s="389" t="str">
        <f>Cen!A131</f>
        <v>Bočnice C pure, 450mm, Orion šedá</v>
      </c>
      <c r="Q7" s="389" t="str">
        <f>Cen!B131</f>
        <v>770C4502S</v>
      </c>
      <c r="R7" s="389" t="str">
        <f>Cen!C131</f>
        <v>OG-M</v>
      </c>
      <c r="S7" s="416">
        <f>SUM(D26, J26, D34, J34)*4</f>
        <v>0</v>
      </c>
      <c r="T7" s="417">
        <f>Cen!F131</f>
        <v>921.30178999999998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416">
        <f>SUM(E26, K26, E34, K34)*4</f>
        <v>0</v>
      </c>
      <c r="T8" s="261">
        <f>Cen!F136</f>
        <v>932.34378000000004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416">
        <f>SUM(F26, L26, F34, L34)*4</f>
        <v>0</v>
      </c>
      <c r="T9" s="261">
        <f>Cen!F141</f>
        <v>1011.04004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52" t="str">
        <f>Cen!A146</f>
        <v>Bočnice C pure, 600mm, Orion šedá</v>
      </c>
      <c r="Q10" s="352" t="str">
        <f>Cen!B146</f>
        <v>770C6002S</v>
      </c>
      <c r="R10" s="352" t="str">
        <f>Cen!C146</f>
        <v>OG-M</v>
      </c>
      <c r="S10" s="353"/>
      <c r="T10" s="354">
        <f>Cen!F146</f>
        <v>1127.97047</v>
      </c>
      <c r="U10" s="355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List!$C$154&amp;":   LW - 90"</f>
        <v>Příčný reling:   LW - 90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G24" s="175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42"/>
      <c r="N34" s="142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42"/>
      <c r="N35" s="142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42"/>
      <c r="N37" s="142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42"/>
      <c r="N38" s="142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 t="str">
        <f>"    *** "&amp;List!$B$173&amp;": "&amp;List!$C$69&amp;" 3x, "&amp;List!$C$70&amp;" 2x"</f>
        <v xml:space="preserve">    *** Složení čelních zásuvných prvků: vysoký 3x, nízký 2x</v>
      </c>
      <c r="C44" s="341"/>
      <c r="D44" s="290"/>
      <c r="E44" s="290"/>
      <c r="F44" s="290"/>
      <c r="G44" s="290"/>
      <c r="H44" s="290"/>
      <c r="I44" s="290"/>
      <c r="J44" s="290"/>
      <c r="K44" s="290"/>
      <c r="L44" s="290"/>
      <c r="M44" s="117"/>
      <c r="N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 "&amp;List!$B$174</f>
        <v xml:space="preserve">         Chcete-li jiné složení zásuvných prvků, upravte počty v objednávce</v>
      </c>
      <c r="C45" s="341"/>
      <c r="D45" s="290"/>
      <c r="E45" s="290"/>
      <c r="F45" s="290"/>
      <c r="G45" s="290"/>
      <c r="H45" s="290"/>
      <c r="I45" s="290"/>
      <c r="J45" s="290"/>
      <c r="K45" s="290"/>
      <c r="L45" s="290"/>
      <c r="M45" s="117"/>
      <c r="N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 "&amp;List!$B$176</f>
        <v xml:space="preserve">         Máte-li zásuvné prvky vlastní, upravte počty v objednávce</v>
      </c>
      <c r="C46" s="341"/>
      <c r="D46" s="290"/>
      <c r="E46" s="290"/>
      <c r="F46" s="290"/>
      <c r="G46" s="290"/>
      <c r="H46" s="290"/>
      <c r="I46" s="290"/>
      <c r="J46" s="290"/>
      <c r="K46" s="290"/>
      <c r="L46" s="290"/>
      <c r="M46" s="117"/>
      <c r="N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41"/>
      <c r="D47" s="290"/>
      <c r="E47" s="290"/>
      <c r="F47" s="290"/>
      <c r="G47" s="290"/>
      <c r="H47" s="290"/>
      <c r="I47" s="290"/>
      <c r="J47" s="290"/>
      <c r="K47" s="290"/>
      <c r="L47" s="290"/>
      <c r="M47" s="117"/>
      <c r="N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41"/>
      <c r="D48" s="290"/>
      <c r="E48" s="290"/>
      <c r="F48" s="290"/>
      <c r="G48" s="290"/>
      <c r="H48" s="290"/>
      <c r="I48" s="290"/>
      <c r="J48" s="290"/>
      <c r="K48" s="290"/>
      <c r="L48" s="290"/>
      <c r="M48" s="117"/>
      <c r="N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41"/>
      <c r="D49" s="290"/>
      <c r="E49" s="290"/>
      <c r="F49" s="290"/>
      <c r="G49" s="290"/>
      <c r="H49" s="290"/>
      <c r="I49" s="290"/>
      <c r="J49" s="290"/>
      <c r="K49" s="290"/>
      <c r="L49" s="290"/>
      <c r="M49" s="117"/>
      <c r="N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41"/>
      <c r="D50" s="290"/>
      <c r="E50" s="290"/>
      <c r="F50" s="290"/>
      <c r="G50" s="290"/>
      <c r="H50" s="290"/>
      <c r="I50" s="290"/>
      <c r="J50" s="290"/>
      <c r="K50" s="290"/>
      <c r="L50" s="290"/>
      <c r="M50" s="117"/>
      <c r="N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41"/>
      <c r="D51" s="290"/>
      <c r="E51" s="290"/>
      <c r="F51" s="290"/>
      <c r="G51" s="290"/>
      <c r="H51" s="290"/>
      <c r="I51" s="290"/>
      <c r="J51" s="290"/>
      <c r="K51" s="290"/>
      <c r="L51" s="290"/>
      <c r="M51" s="117"/>
      <c r="N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41"/>
      <c r="D52" s="290"/>
      <c r="E52" s="290"/>
      <c r="F52" s="290"/>
      <c r="G52" s="290"/>
      <c r="H52" s="290"/>
      <c r="I52" s="290"/>
      <c r="J52" s="290"/>
      <c r="K52" s="290"/>
      <c r="L52" s="290"/>
      <c r="M52" s="117"/>
      <c r="N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41"/>
      <c r="D53" s="290"/>
      <c r="E53" s="290"/>
      <c r="F53" s="290"/>
      <c r="G53" s="290"/>
      <c r="H53" s="290"/>
      <c r="I53" s="290"/>
      <c r="J53" s="290"/>
      <c r="K53" s="290"/>
      <c r="L53" s="290"/>
      <c r="M53" s="117"/>
      <c r="N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41"/>
      <c r="D54" s="290"/>
      <c r="E54" s="290"/>
      <c r="F54" s="290"/>
      <c r="G54" s="290"/>
      <c r="H54" s="290"/>
      <c r="I54" s="290"/>
      <c r="J54" s="290"/>
      <c r="K54" s="290"/>
      <c r="L54" s="290"/>
      <c r="M54" s="117"/>
      <c r="N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41"/>
      <c r="D55" s="290"/>
      <c r="E55" s="290"/>
      <c r="F55" s="290"/>
      <c r="G55" s="290"/>
      <c r="H55" s="290"/>
      <c r="I55" s="290"/>
      <c r="J55" s="290"/>
      <c r="K55" s="290"/>
      <c r="L55" s="290"/>
      <c r="M55" s="117"/>
      <c r="N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41"/>
      <c r="D56" s="290"/>
      <c r="E56" s="290"/>
      <c r="F56" s="290"/>
      <c r="G56" s="290"/>
      <c r="H56" s="290"/>
      <c r="I56" s="290"/>
      <c r="J56" s="290"/>
      <c r="K56" s="290"/>
      <c r="L56" s="290"/>
      <c r="M56" s="117"/>
      <c r="N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41"/>
      <c r="D57" s="290"/>
      <c r="E57" s="290"/>
      <c r="F57" s="290"/>
      <c r="G57" s="290"/>
      <c r="H57" s="290"/>
      <c r="I57" s="290"/>
      <c r="J57" s="290"/>
      <c r="K57" s="290"/>
      <c r="L57" s="290"/>
      <c r="M57" s="117"/>
      <c r="N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41"/>
      <c r="D58" s="290"/>
      <c r="E58" s="290"/>
      <c r="F58" s="290"/>
      <c r="G58" s="290"/>
      <c r="H58" s="290"/>
      <c r="I58" s="290"/>
      <c r="J58" s="290"/>
      <c r="K58" s="290"/>
      <c r="L58" s="290"/>
      <c r="M58" s="117"/>
      <c r="N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41"/>
      <c r="D59" s="290"/>
      <c r="E59" s="290"/>
      <c r="F59" s="290"/>
      <c r="G59" s="290"/>
      <c r="H59" s="290"/>
      <c r="I59" s="290"/>
      <c r="J59" s="290"/>
      <c r="K59" s="290"/>
      <c r="L59" s="290"/>
      <c r="M59" s="117"/>
      <c r="N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41"/>
      <c r="D60" s="290"/>
      <c r="E60" s="290"/>
      <c r="F60" s="290"/>
      <c r="G60" s="290"/>
      <c r="H60" s="290"/>
      <c r="I60" s="290"/>
      <c r="J60" s="290"/>
      <c r="K60" s="290"/>
      <c r="L60" s="290"/>
      <c r="M60" s="117"/>
      <c r="N60" s="117"/>
      <c r="P60" s="142"/>
      <c r="Q60" s="142"/>
      <c r="R60" s="142"/>
      <c r="S60" s="148"/>
      <c r="T60" s="152"/>
      <c r="U60" s="152"/>
    </row>
    <row r="61" spans="1:22" ht="14" x14ac:dyDescent="0.3">
      <c r="A61" s="175"/>
      <c r="C61" s="341"/>
      <c r="D61" s="290"/>
      <c r="E61" s="290"/>
      <c r="F61" s="290"/>
      <c r="G61" s="290"/>
      <c r="H61" s="290"/>
      <c r="I61" s="290"/>
      <c r="J61" s="290"/>
      <c r="K61" s="290"/>
      <c r="L61" s="290"/>
      <c r="M61" s="117"/>
      <c r="N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4" x14ac:dyDescent="0.3">
      <c r="A62" s="175"/>
      <c r="C62" s="341"/>
      <c r="D62" s="290"/>
      <c r="E62" s="290"/>
      <c r="F62" s="290"/>
      <c r="G62" s="290"/>
      <c r="H62" s="290"/>
      <c r="I62" s="290"/>
      <c r="J62" s="290"/>
      <c r="K62" s="290"/>
      <c r="L62" s="290"/>
      <c r="M62" s="117"/>
      <c r="N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4" x14ac:dyDescent="0.3">
      <c r="A63" s="175"/>
      <c r="C63" s="341"/>
      <c r="D63" s="290"/>
      <c r="E63" s="290"/>
      <c r="F63" s="290"/>
      <c r="G63" s="290"/>
      <c r="H63" s="290"/>
      <c r="I63" s="290"/>
      <c r="J63" s="290"/>
      <c r="K63" s="290"/>
      <c r="L63" s="290"/>
      <c r="M63" s="117"/>
      <c r="N63" s="117"/>
      <c r="P63" s="142"/>
      <c r="Q63" s="142"/>
      <c r="R63" s="142"/>
      <c r="S63" s="148"/>
      <c r="T63" s="152"/>
      <c r="U63" s="152"/>
    </row>
    <row r="64" spans="1:22" ht="14" x14ac:dyDescent="0.3">
      <c r="A64" s="175"/>
      <c r="C64" s="311"/>
      <c r="D64" s="351"/>
      <c r="E64" s="351"/>
      <c r="F64" s="351"/>
      <c r="G64" s="351"/>
      <c r="H64" s="351"/>
      <c r="I64" s="290"/>
      <c r="J64" s="290"/>
      <c r="K64" s="290"/>
      <c r="L64" s="290"/>
      <c r="M64" s="117"/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SUM(S3:S6)</f>
        <v>0</v>
      </c>
      <c r="T64" s="116">
        <f>Cen!F319</f>
        <v>35.345579999999998</v>
      </c>
      <c r="U64" s="116">
        <f t="shared" ref="U64:U69" si="12">S64*T64</f>
        <v>0</v>
      </c>
    </row>
    <row r="65" spans="1:21" ht="13" x14ac:dyDescent="0.3">
      <c r="A65" s="175"/>
      <c r="C65" s="289"/>
      <c r="D65" s="175"/>
      <c r="E65" s="175"/>
      <c r="F65" s="175"/>
      <c r="G65" s="175"/>
      <c r="H65" s="175"/>
      <c r="I65" s="283"/>
      <c r="J65" s="283"/>
      <c r="K65" s="283"/>
      <c r="L65" s="283"/>
      <c r="M65" s="117"/>
      <c r="P65" s="120" t="str">
        <f>Cen!A329</f>
        <v>Držáky zadní stěny C, Orion šedá</v>
      </c>
      <c r="Q65" s="120" t="str">
        <f>Cen!B329</f>
        <v>ZB7C000S</v>
      </c>
      <c r="R65" s="120" t="str">
        <f>Cen!C329</f>
        <v>OG-M</v>
      </c>
      <c r="S65" s="121">
        <f>SUM(S7:S10)</f>
        <v>0</v>
      </c>
      <c r="T65" s="116">
        <f>Cen!$F329</f>
        <v>47.092230000000001</v>
      </c>
      <c r="U65" s="116">
        <f t="shared" si="12"/>
        <v>0</v>
      </c>
    </row>
    <row r="66" spans="1:21" ht="13" x14ac:dyDescent="0.3">
      <c r="B66" s="117"/>
      <c r="C66" s="289"/>
      <c r="D66" s="175"/>
      <c r="E66" s="175"/>
      <c r="F66" s="175"/>
      <c r="G66" s="175"/>
      <c r="H66" s="175"/>
      <c r="I66" s="175"/>
      <c r="J66" s="175"/>
      <c r="K66" s="175"/>
      <c r="L66" s="175"/>
      <c r="M66" s="117"/>
      <c r="P66" s="120" t="str">
        <f>Cen!A374</f>
        <v>Sada kování vnitř.výs. C, s relingem, Orion šedá</v>
      </c>
      <c r="Q66" s="120" t="str">
        <f>Cen!B374</f>
        <v>ZI7.3CS0</v>
      </c>
      <c r="R66" s="120" t="str">
        <f>Cen!C374</f>
        <v>OG-M</v>
      </c>
      <c r="S66" s="121">
        <f>SUM(S7:S10)</f>
        <v>0</v>
      </c>
      <c r="T66" s="116">
        <f>Cen!F374</f>
        <v>547.28877999999997</v>
      </c>
      <c r="U66" s="116">
        <f t="shared" si="12"/>
        <v>0</v>
      </c>
    </row>
    <row r="67" spans="1:21" ht="13" x14ac:dyDescent="0.3">
      <c r="B67" s="117"/>
      <c r="C67" s="282"/>
      <c r="I67" s="284"/>
      <c r="J67" s="284"/>
      <c r="K67" s="284"/>
      <c r="L67" s="284"/>
      <c r="M67" s="117"/>
      <c r="P67" s="120" t="str">
        <f>Cen!A360</f>
        <v>Sada kování vnitřní zásuvky M, Orion šedá</v>
      </c>
      <c r="Q67" s="120" t="str">
        <f>Cen!B360</f>
        <v>ZI7.0MS0</v>
      </c>
      <c r="R67" s="120" t="str">
        <f>Cen!C360</f>
        <v>OG-M</v>
      </c>
      <c r="S67" s="121">
        <f>SUM(S3:S6)</f>
        <v>0</v>
      </c>
      <c r="T67" s="116">
        <f>Cen!F360</f>
        <v>413.54563999999999</v>
      </c>
      <c r="U67" s="116">
        <f t="shared" si="12"/>
        <v>0</v>
      </c>
    </row>
    <row r="68" spans="1:21" ht="14.5" x14ac:dyDescent="0.35">
      <c r="B68" s="24"/>
      <c r="C68" s="282"/>
      <c r="I68" s="285"/>
      <c r="J68" s="285"/>
      <c r="K68" s="285"/>
      <c r="L68" s="285"/>
      <c r="P68" s="120" t="str">
        <f>Cen!A389</f>
        <v>Přední díl vnitřní zásuvky, bez drážky, Orion šedá</v>
      </c>
      <c r="Q68" s="120" t="str">
        <f>Cen!B389</f>
        <v>ZV7.1043C01</v>
      </c>
      <c r="R68" s="120" t="str">
        <f>Cen!C389</f>
        <v>OG-M</v>
      </c>
      <c r="S68" s="329">
        <f>ROUNDUP(SUM($D$26, $E$26, $F$26, $D$34, $E$34, $F$34)/3*5, 0)+ROUNDUP(SUM($J$26, $K$26, $L$26, $J$34, $K$34, $L$34)/2*5,0)</f>
        <v>0</v>
      </c>
      <c r="T68" s="116">
        <f>Cen!F389</f>
        <v>467.12466999999998</v>
      </c>
      <c r="U68" s="116">
        <f t="shared" si="12"/>
        <v>0</v>
      </c>
    </row>
    <row r="69" spans="1:21" ht="14" x14ac:dyDescent="0.3">
      <c r="B69" s="351"/>
      <c r="C69" s="282"/>
      <c r="I69" s="283"/>
      <c r="J69" s="283"/>
      <c r="K69" s="283"/>
      <c r="L69" s="283"/>
      <c r="P69" s="120" t="str">
        <f>Cen!A419</f>
        <v>Příčný reling vnitřní zásuvky, Orion šedá</v>
      </c>
      <c r="Q69" s="120" t="str">
        <f>Cen!B419</f>
        <v>ZR7.1080U</v>
      </c>
      <c r="R69" s="120" t="str">
        <f>Cen!C419</f>
        <v>OG-M</v>
      </c>
      <c r="S69" s="329">
        <f>ROUNDUP(SUM($D$26, $E$26, $F$26, $D$34, $E$34, $F$34)/3*4, 0)+ROUNDUP(SUM($J$26, $K$26, $L$26, $J$34, $K$34, $L$34)/2*4,0)</f>
        <v>0</v>
      </c>
      <c r="T69" s="116">
        <f>Cen!F419</f>
        <v>199.21817999999999</v>
      </c>
      <c r="U69" s="116">
        <f t="shared" si="12"/>
        <v>0</v>
      </c>
    </row>
    <row r="70" spans="1:21" ht="14" x14ac:dyDescent="0.3">
      <c r="A70" s="175"/>
      <c r="B70" s="343"/>
      <c r="C70" s="341"/>
      <c r="D70" s="290"/>
      <c r="E70" s="290"/>
      <c r="F70" s="290"/>
      <c r="G70" s="290"/>
      <c r="H70" s="290"/>
      <c r="I70" s="290"/>
      <c r="J70" s="290"/>
      <c r="K70" s="290"/>
      <c r="L70" s="290"/>
      <c r="M70" s="117"/>
      <c r="N70" s="117"/>
      <c r="P70" s="120"/>
      <c r="Q70" s="120"/>
      <c r="R70" s="120"/>
      <c r="S70" s="121"/>
      <c r="T70" s="116"/>
      <c r="U70" s="116"/>
    </row>
    <row r="71" spans="1:21" ht="14" x14ac:dyDescent="0.3">
      <c r="A71" s="175"/>
      <c r="B71" s="343"/>
      <c r="C71" s="341"/>
      <c r="D71" s="290"/>
      <c r="E71" s="290"/>
      <c r="F71" s="290"/>
      <c r="G71" s="290"/>
      <c r="H71" s="290"/>
      <c r="I71" s="290"/>
      <c r="J71" s="290"/>
      <c r="K71" s="290"/>
      <c r="L71" s="290"/>
      <c r="M71" s="117"/>
      <c r="N71" s="117"/>
      <c r="P71" s="120"/>
      <c r="Q71" s="120"/>
      <c r="R71" s="120"/>
      <c r="S71" s="121"/>
      <c r="T71" s="116"/>
      <c r="U71" s="116"/>
    </row>
    <row r="72" spans="1:21" ht="14" x14ac:dyDescent="0.3">
      <c r="A72" s="175"/>
      <c r="B72" s="343"/>
      <c r="C72" s="341"/>
      <c r="D72" s="290"/>
      <c r="E72" s="290"/>
      <c r="F72" s="290"/>
      <c r="G72" s="290"/>
      <c r="H72" s="290"/>
      <c r="I72" s="290"/>
      <c r="J72" s="290"/>
      <c r="K72" s="290"/>
      <c r="L72" s="290"/>
      <c r="M72" s="117"/>
      <c r="N72" s="117"/>
      <c r="P72" s="120"/>
      <c r="Q72" s="120"/>
      <c r="R72" s="120"/>
      <c r="S72" s="121"/>
      <c r="T72" s="116"/>
      <c r="U72" s="116"/>
    </row>
    <row r="73" spans="1:21" ht="14" x14ac:dyDescent="0.3">
      <c r="A73" s="175"/>
      <c r="B73" s="343"/>
      <c r="C73" s="341"/>
      <c r="D73" s="290"/>
      <c r="E73" s="290"/>
      <c r="F73" s="290"/>
      <c r="G73" s="290"/>
      <c r="H73" s="290"/>
      <c r="I73" s="290"/>
      <c r="J73" s="290"/>
      <c r="K73" s="290"/>
      <c r="L73" s="290"/>
      <c r="M73" s="117"/>
      <c r="N73" s="117"/>
      <c r="P73" s="120"/>
      <c r="Q73" s="120"/>
      <c r="R73" s="120"/>
      <c r="S73" s="121"/>
      <c r="T73" s="116"/>
      <c r="U73" s="116"/>
    </row>
    <row r="74" spans="1:21" ht="14" x14ac:dyDescent="0.3">
      <c r="A74" s="175"/>
      <c r="B74" s="343"/>
      <c r="C74" s="341"/>
      <c r="D74" s="290"/>
      <c r="E74" s="290"/>
      <c r="F74" s="290"/>
      <c r="G74" s="290"/>
      <c r="H74" s="290"/>
      <c r="I74" s="290"/>
      <c r="J74" s="290"/>
      <c r="K74" s="290"/>
      <c r="L74" s="290"/>
      <c r="M74" s="117"/>
      <c r="N74" s="117"/>
      <c r="P74" s="120"/>
      <c r="Q74" s="120"/>
      <c r="R74" s="120"/>
      <c r="S74" s="121"/>
      <c r="T74" s="116"/>
      <c r="U74" s="116"/>
    </row>
    <row r="75" spans="1:21" ht="14" x14ac:dyDescent="0.3">
      <c r="A75" s="175"/>
      <c r="B75" s="343"/>
      <c r="C75" s="341"/>
      <c r="D75" s="290"/>
      <c r="E75" s="290"/>
      <c r="F75" s="290"/>
      <c r="G75" s="290"/>
      <c r="H75" s="290"/>
      <c r="I75" s="290"/>
      <c r="J75" s="290"/>
      <c r="K75" s="290"/>
      <c r="L75" s="290"/>
      <c r="M75" s="117"/>
      <c r="N75" s="117"/>
      <c r="P75" s="120"/>
      <c r="Q75" s="120"/>
      <c r="R75" s="120"/>
      <c r="S75" s="121"/>
      <c r="T75" s="116"/>
      <c r="U75" s="116"/>
    </row>
    <row r="76" spans="1:21" ht="14" x14ac:dyDescent="0.3">
      <c r="A76" s="175"/>
      <c r="B76" s="343"/>
      <c r="C76" s="341"/>
      <c r="D76" s="290"/>
      <c r="E76" s="290"/>
      <c r="F76" s="290"/>
      <c r="G76" s="290"/>
      <c r="H76" s="290"/>
      <c r="I76" s="290"/>
      <c r="J76" s="290"/>
      <c r="K76" s="290"/>
      <c r="L76" s="290"/>
      <c r="M76" s="117"/>
      <c r="N76" s="117"/>
      <c r="P76" s="120"/>
      <c r="Q76" s="120"/>
      <c r="R76" s="120"/>
      <c r="S76" s="121"/>
      <c r="T76" s="116"/>
      <c r="U76" s="116"/>
    </row>
    <row r="77" spans="1:21" ht="14" x14ac:dyDescent="0.3">
      <c r="A77" s="175"/>
      <c r="B77" s="343"/>
      <c r="C77" s="341"/>
      <c r="D77" s="290"/>
      <c r="E77" s="290"/>
      <c r="F77" s="290"/>
      <c r="G77" s="290"/>
      <c r="H77" s="290"/>
      <c r="I77" s="290"/>
      <c r="J77" s="290"/>
      <c r="K77" s="290"/>
      <c r="L77" s="290"/>
      <c r="M77" s="117"/>
      <c r="N77" s="117"/>
      <c r="P77" s="120"/>
      <c r="Q77" s="120"/>
      <c r="R77" s="120"/>
      <c r="S77" s="121"/>
      <c r="T77" s="116"/>
      <c r="U77" s="116"/>
    </row>
    <row r="78" spans="1:21" ht="14" x14ac:dyDescent="0.3">
      <c r="A78" s="175"/>
      <c r="B78" s="343"/>
      <c r="C78" s="341"/>
      <c r="D78" s="290"/>
      <c r="E78" s="290"/>
      <c r="F78" s="290"/>
      <c r="G78" s="290"/>
      <c r="H78" s="290"/>
      <c r="I78" s="290"/>
      <c r="J78" s="290"/>
      <c r="K78" s="290"/>
      <c r="L78" s="290"/>
      <c r="M78" s="117"/>
      <c r="N78" s="117"/>
      <c r="P78" s="120"/>
      <c r="Q78" s="120"/>
      <c r="R78" s="120"/>
      <c r="S78" s="121"/>
      <c r="T78" s="116"/>
      <c r="U78" s="116"/>
    </row>
    <row r="79" spans="1:21" ht="14" x14ac:dyDescent="0.3">
      <c r="A79" s="175"/>
      <c r="B79" s="343"/>
      <c r="C79" s="341"/>
      <c r="D79" s="290"/>
      <c r="E79" s="290"/>
      <c r="F79" s="290"/>
      <c r="G79" s="290"/>
      <c r="H79" s="290"/>
      <c r="I79" s="290"/>
      <c r="J79" s="290"/>
      <c r="K79" s="290"/>
      <c r="L79" s="290"/>
      <c r="M79" s="117"/>
      <c r="N79" s="117"/>
      <c r="P79" s="120"/>
      <c r="Q79" s="120"/>
      <c r="R79" s="120"/>
      <c r="S79" s="121"/>
      <c r="T79" s="116"/>
      <c r="U79" s="116"/>
    </row>
    <row r="80" spans="1:21" ht="14" x14ac:dyDescent="0.3">
      <c r="A80" s="175"/>
      <c r="B80" s="343"/>
      <c r="C80" s="341"/>
      <c r="D80" s="290"/>
      <c r="E80" s="290"/>
      <c r="F80" s="290"/>
      <c r="G80" s="290"/>
      <c r="H80" s="290"/>
      <c r="I80" s="290"/>
      <c r="J80" s="290"/>
      <c r="K80" s="290"/>
      <c r="L80" s="290"/>
      <c r="M80" s="117"/>
      <c r="N80" s="117"/>
      <c r="P80" s="120"/>
      <c r="Q80" s="120"/>
      <c r="R80" s="120"/>
      <c r="S80" s="121"/>
      <c r="T80" s="116"/>
      <c r="U80" s="116"/>
    </row>
    <row r="81" spans="1:22" ht="14" x14ac:dyDescent="0.3">
      <c r="A81" s="175"/>
      <c r="B81" s="343"/>
      <c r="C81" s="341"/>
      <c r="D81" s="290"/>
      <c r="E81" s="290"/>
      <c r="F81" s="290"/>
      <c r="G81" s="290"/>
      <c r="H81" s="290"/>
      <c r="I81" s="290"/>
      <c r="J81" s="290"/>
      <c r="K81" s="290"/>
      <c r="L81" s="290"/>
      <c r="M81" s="117"/>
      <c r="N81" s="117"/>
      <c r="P81" s="120"/>
      <c r="Q81" s="120"/>
      <c r="R81" s="120"/>
      <c r="S81" s="121"/>
      <c r="T81" s="116"/>
      <c r="U81" s="116"/>
    </row>
    <row r="82" spans="1:22" ht="14" x14ac:dyDescent="0.3">
      <c r="A82" s="175"/>
      <c r="B82" s="343"/>
      <c r="C82" s="341"/>
      <c r="D82" s="290"/>
      <c r="E82" s="290"/>
      <c r="F82" s="290"/>
      <c r="G82" s="290"/>
      <c r="H82" s="290"/>
      <c r="I82" s="290"/>
      <c r="J82" s="290"/>
      <c r="K82" s="290"/>
      <c r="L82" s="290"/>
      <c r="M82" s="117"/>
      <c r="N82" s="117"/>
      <c r="P82" s="120"/>
      <c r="Q82" s="120"/>
      <c r="R82" s="120"/>
      <c r="S82" s="121"/>
      <c r="T82" s="116"/>
      <c r="U82" s="116"/>
    </row>
    <row r="83" spans="1:22" ht="14" x14ac:dyDescent="0.3">
      <c r="A83" s="175"/>
      <c r="B83" s="343"/>
      <c r="C83" s="341"/>
      <c r="D83" s="290"/>
      <c r="E83" s="290"/>
      <c r="F83" s="290"/>
      <c r="G83" s="290"/>
      <c r="H83" s="290"/>
      <c r="I83" s="290"/>
      <c r="J83" s="290"/>
      <c r="K83" s="290"/>
      <c r="L83" s="290"/>
      <c r="M83" s="117"/>
      <c r="N83" s="117"/>
      <c r="P83" s="120"/>
      <c r="Q83" s="120"/>
      <c r="R83" s="120"/>
      <c r="S83" s="121"/>
      <c r="T83" s="116"/>
      <c r="U83" s="116"/>
    </row>
    <row r="84" spans="1:22" ht="14" x14ac:dyDescent="0.3">
      <c r="A84" s="175"/>
      <c r="B84" s="343"/>
      <c r="C84" s="341"/>
      <c r="D84" s="290"/>
      <c r="E84" s="290"/>
      <c r="F84" s="290"/>
      <c r="G84" s="290"/>
      <c r="H84" s="290"/>
      <c r="I84" s="290"/>
      <c r="J84" s="290"/>
      <c r="K84" s="290"/>
      <c r="L84" s="290"/>
      <c r="M84" s="117"/>
      <c r="N84" s="117"/>
      <c r="P84" s="120"/>
      <c r="Q84" s="120"/>
      <c r="R84" s="120"/>
      <c r="S84" s="121"/>
      <c r="T84" s="116"/>
      <c r="U84" s="116"/>
    </row>
    <row r="85" spans="1:22" ht="14" x14ac:dyDescent="0.3">
      <c r="A85" s="175"/>
      <c r="B85" s="343"/>
      <c r="C85" s="341"/>
      <c r="D85" s="290"/>
      <c r="E85" s="290"/>
      <c r="F85" s="290"/>
      <c r="G85" s="290"/>
      <c r="H85" s="290"/>
      <c r="I85" s="290"/>
      <c r="J85" s="290"/>
      <c r="K85" s="290"/>
      <c r="L85" s="290"/>
      <c r="M85" s="117"/>
      <c r="N85" s="117"/>
      <c r="P85" s="120"/>
      <c r="Q85" s="120"/>
      <c r="R85" s="120"/>
      <c r="S85" s="121"/>
      <c r="T85" s="116"/>
      <c r="U85" s="116"/>
    </row>
    <row r="86" spans="1:22" ht="14" x14ac:dyDescent="0.3">
      <c r="A86" s="175"/>
      <c r="B86" s="343"/>
      <c r="C86" s="341"/>
      <c r="D86" s="290"/>
      <c r="E86" s="290"/>
      <c r="F86" s="290"/>
      <c r="G86" s="290"/>
      <c r="H86" s="290"/>
      <c r="I86" s="290"/>
      <c r="J86" s="290"/>
      <c r="K86" s="290"/>
      <c r="L86" s="290"/>
      <c r="M86" s="117"/>
      <c r="N86" s="117"/>
      <c r="P86" s="120"/>
      <c r="Q86" s="120"/>
      <c r="R86" s="120"/>
      <c r="S86" s="121"/>
      <c r="T86" s="116"/>
      <c r="U86" s="116"/>
    </row>
    <row r="87" spans="1:22" ht="14" x14ac:dyDescent="0.3">
      <c r="A87" s="175"/>
      <c r="B87" s="343"/>
      <c r="C87" s="341"/>
      <c r="D87" s="290"/>
      <c r="E87" s="290"/>
      <c r="F87" s="290"/>
      <c r="G87" s="290"/>
      <c r="H87" s="290"/>
      <c r="I87" s="290"/>
      <c r="J87" s="290"/>
      <c r="K87" s="290"/>
      <c r="L87" s="290"/>
      <c r="M87" s="117"/>
      <c r="N87" s="117"/>
      <c r="P87" s="120"/>
      <c r="Q87" s="120"/>
      <c r="R87" s="120"/>
      <c r="S87" s="121"/>
      <c r="T87" s="116"/>
      <c r="U87" s="116"/>
    </row>
    <row r="88" spans="1:22" ht="14" x14ac:dyDescent="0.3">
      <c r="A88" s="175"/>
      <c r="B88" s="343"/>
      <c r="C88" s="341"/>
      <c r="D88" s="290"/>
      <c r="E88" s="290"/>
      <c r="F88" s="290"/>
      <c r="G88" s="290"/>
      <c r="H88" s="290"/>
      <c r="I88" s="290"/>
      <c r="J88" s="290"/>
      <c r="K88" s="290"/>
      <c r="L88" s="290"/>
      <c r="M88" s="117"/>
      <c r="N88" s="117"/>
      <c r="P88" s="120"/>
      <c r="Q88" s="120"/>
      <c r="R88" s="120"/>
      <c r="S88" s="121"/>
      <c r="T88" s="116"/>
      <c r="U88" s="116"/>
    </row>
    <row r="89" spans="1:22" ht="14" x14ac:dyDescent="0.3">
      <c r="A89" s="175"/>
      <c r="B89" s="343"/>
      <c r="C89" s="341"/>
      <c r="D89" s="290"/>
      <c r="E89" s="290"/>
      <c r="F89" s="290"/>
      <c r="G89" s="290"/>
      <c r="H89" s="290"/>
      <c r="I89" s="290"/>
      <c r="J89" s="290"/>
      <c r="K89" s="290"/>
      <c r="L89" s="290"/>
      <c r="M89" s="117"/>
      <c r="N89" s="117"/>
      <c r="P89" s="120"/>
      <c r="Q89" s="120"/>
      <c r="R89" s="120"/>
      <c r="S89" s="121"/>
      <c r="T89" s="116"/>
      <c r="U89" s="116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3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3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3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3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3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>
        <f>Cen!A305</f>
        <v>0</v>
      </c>
      <c r="Q95" s="120">
        <f>Cen!B305</f>
        <v>0</v>
      </c>
      <c r="R95" s="120">
        <f>Cen!C305</f>
        <v>0</v>
      </c>
      <c r="S95" s="121"/>
      <c r="T95" s="116">
        <f>Cen!F305</f>
        <v>0</v>
      </c>
      <c r="U95" s="116">
        <f t="shared" ref="U95:U96" si="14">S95*T95</f>
        <v>0</v>
      </c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si="14"/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2:21" x14ac:dyDescent="0.25">
      <c r="B99" s="117"/>
      <c r="I99" s="285"/>
      <c r="J99" s="285"/>
      <c r="K99" s="285"/>
      <c r="L99" s="285"/>
      <c r="P99" s="117"/>
      <c r="Q99" s="117"/>
    </row>
    <row r="100" spans="2:21" ht="13" x14ac:dyDescent="0.3">
      <c r="B100" s="117"/>
      <c r="I100" s="283"/>
      <c r="J100" s="283"/>
      <c r="K100" s="283"/>
      <c r="L100" s="283"/>
      <c r="P100" s="117"/>
      <c r="Q100" s="117"/>
    </row>
    <row r="101" spans="2:21" ht="13" x14ac:dyDescent="0.3">
      <c r="B101" s="117"/>
      <c r="I101" s="283"/>
      <c r="J101" s="283"/>
      <c r="K101" s="283"/>
      <c r="L101" s="283"/>
      <c r="P101" s="117"/>
      <c r="Q101" s="117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  <row r="152" spans="1:1" x14ac:dyDescent="0.25">
      <c r="A152" s="823"/>
    </row>
    <row r="153" spans="1:1" x14ac:dyDescent="0.25">
      <c r="A153" s="823"/>
    </row>
    <row r="154" spans="1:1" x14ac:dyDescent="0.25">
      <c r="A154" s="823"/>
    </row>
    <row r="155" spans="1:1" x14ac:dyDescent="0.25">
      <c r="A155" s="823"/>
    </row>
    <row r="156" spans="1:1" x14ac:dyDescent="0.25">
      <c r="A156" s="823"/>
    </row>
    <row r="157" spans="1:1" x14ac:dyDescent="0.25">
      <c r="A157" s="823"/>
    </row>
    <row r="158" spans="1:1" x14ac:dyDescent="0.25">
      <c r="A158" s="823"/>
    </row>
    <row r="159" spans="1:1" x14ac:dyDescent="0.25">
      <c r="A159" s="823"/>
    </row>
    <row r="160" spans="1:1" x14ac:dyDescent="0.25">
      <c r="A160" s="823"/>
    </row>
    <row r="161" spans="1:1" x14ac:dyDescent="0.25">
      <c r="A161" s="823"/>
    </row>
    <row r="162" spans="1:1" x14ac:dyDescent="0.25">
      <c r="A162" s="823"/>
    </row>
    <row r="163" spans="1:1" x14ac:dyDescent="0.25">
      <c r="A163" s="823"/>
    </row>
    <row r="164" spans="1:1" x14ac:dyDescent="0.25">
      <c r="A164" s="823"/>
    </row>
    <row r="165" spans="1:1" x14ac:dyDescent="0.25">
      <c r="A165" s="823"/>
    </row>
    <row r="166" spans="1:1" x14ac:dyDescent="0.25">
      <c r="A166" s="823"/>
    </row>
  </sheetData>
  <sheetProtection algorithmName="SHA-512" hashValue="51TulRl1bI2CTIqJBO5CuO/gd4LW/JTX6ch7g7AVdrv77kxfSpcs3SmRxxbbI2OQ/L1G11dIU57akNr2SxBR8w==" saltValue="W89PqsTZapItdYqYspS4dw==" spinCount="100000" sheet="1" objects="1" scenarios="1"/>
  <mergeCells count="1">
    <mergeCell ref="A125:A166"/>
  </mergeCells>
  <phoneticPr fontId="52" type="noConversion"/>
  <hyperlinks>
    <hyperlink ref="N3" location="Form!A1" tooltip=" " display="Form!A1" xr:uid="{00000000-0004-0000-1C00-000000000000}"/>
    <hyperlink ref="N4" location="Menu!A1" tooltip=" " display="Menu!A1" xr:uid="{00000000-0004-0000-1C00-000001000000}"/>
    <hyperlink ref="N7" location="Acs!A1" tooltip=" " display="Acs!A1" xr:uid="{00000000-0004-0000-1C00-000002000000}"/>
    <hyperlink ref="N8" location="SD!A1" tooltip=" " display="SD!A1" xr:uid="{00000000-0004-0000-1C00-000003000000}"/>
    <hyperlink ref="N10" location="Sum!A1" tooltip=" " display="Sum!A1" xr:uid="{00000000-0004-0000-1C00-000004000000}"/>
    <hyperlink ref="N11" location="Ord!A1" tooltip=" " display="Ord!A1" xr:uid="{00000000-0004-0000-1C00-000005000000}"/>
    <hyperlink ref="N9" location="AL!A1" tooltip=" " display="AL!A1" xr:uid="{00000000-0004-0000-1C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Drop Down 1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Drop Down 2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>
    <tabColor indexed="22"/>
  </sheetPr>
  <dimension ref="A1:Y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" style="2" hidden="1" customWidth="1"/>
    <col min="16" max="16" width="41" style="2" hidden="1" customWidth="1"/>
    <col min="17" max="17" width="11.54296875" style="2" hidden="1" customWidth="1"/>
    <col min="18" max="20" width="9.1796875" style="2" hidden="1" customWidth="1"/>
    <col min="21" max="21" width="11.6328125" style="2" hidden="1" customWidth="1"/>
    <col min="22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64" t="s">
        <v>1266</v>
      </c>
      <c r="Q1" s="757">
        <f>Form!O2</f>
        <v>1</v>
      </c>
      <c r="U1" s="806" t="s">
        <v>1416</v>
      </c>
    </row>
    <row r="2" spans="1:25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List!$B$50&amp;" N"</f>
        <v>Zásuvka N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  <c r="Y3" s="796"/>
    </row>
    <row r="4" spans="1:25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178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5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/>
      <c r="Q5" s="125"/>
      <c r="R5" s="125"/>
      <c r="S5" s="257"/>
      <c r="T5" s="261"/>
      <c r="U5" s="258"/>
    </row>
    <row r="6" spans="1:25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125" t="str">
        <f>Cen!A11</f>
        <v>Bočnice N 400mm, Orion šedá</v>
      </c>
      <c r="Q6" s="125" t="str">
        <f>Cen!B11</f>
        <v>770N4002S</v>
      </c>
      <c r="R6" s="125" t="str">
        <f>Cen!C11</f>
        <v>OG-M</v>
      </c>
      <c r="S6" s="257">
        <f>IF(Q1=5, 0, SUM(G19,G23,G27))</f>
        <v>0</v>
      </c>
      <c r="T6" s="261">
        <f>Cen!$F11</f>
        <v>595.32592999999997</v>
      </c>
      <c r="U6" s="258">
        <f>S6*T6</f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Cen!A16</f>
        <v>Bočnice N 450mm, Orion šedá</v>
      </c>
      <c r="Q7" s="125" t="str">
        <f>Cen!B16</f>
        <v>770N4502S</v>
      </c>
      <c r="R7" s="125" t="str">
        <f>Cen!C16</f>
        <v>OG-M</v>
      </c>
      <c r="S7" s="257">
        <f>SUM(H19,H23,H27)</f>
        <v>0</v>
      </c>
      <c r="T7" s="261">
        <f>Cen!$F16</f>
        <v>602.38358000000005</v>
      </c>
      <c r="U7" s="258">
        <f>S7*T7</f>
        <v>0</v>
      </c>
    </row>
    <row r="8" spans="1:25" ht="13.5" thickBot="1" x14ac:dyDescent="0.35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333" t="str">
        <f>Cen!A21</f>
        <v>Bočnice N 500mm, Orion šedá</v>
      </c>
      <c r="Q8" s="333" t="str">
        <f>Cen!B21</f>
        <v>770N5002S</v>
      </c>
      <c r="R8" s="333" t="str">
        <f>Cen!C21</f>
        <v>OG-M</v>
      </c>
      <c r="S8" s="257">
        <f>SUM(I19,I23,I27)</f>
        <v>0</v>
      </c>
      <c r="T8" s="334">
        <f>Cen!$F21</f>
        <v>609.44718999999998</v>
      </c>
      <c r="U8" s="335">
        <f>S8*T8</f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440">
        <f>U67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Cen!A26</f>
        <v>Bočnice N 550mm, Orion šedá</v>
      </c>
      <c r="Q9" s="125" t="str">
        <f>Cen!B26</f>
        <v>770N5502S</v>
      </c>
      <c r="R9" s="125" t="str">
        <f>Cen!C26</f>
        <v>OG-M</v>
      </c>
      <c r="S9" s="257">
        <f>IF(Q1=5, 0, SUM(J19,J23,J27))</f>
        <v>0</v>
      </c>
      <c r="T9" s="261">
        <f>Cen!$F26</f>
        <v>665.95</v>
      </c>
      <c r="U9" s="258">
        <f>S9*T9</f>
        <v>0</v>
      </c>
    </row>
    <row r="10" spans="1:25" ht="13.5" thickBot="1" x14ac:dyDescent="0.3">
      <c r="A10" s="117"/>
      <c r="B10" s="117"/>
      <c r="C10" s="117"/>
      <c r="D10" s="117"/>
      <c r="E10" s="117"/>
      <c r="F10" s="117"/>
      <c r="G10" s="117"/>
      <c r="H10" s="117"/>
      <c r="I10" s="8"/>
      <c r="J10" s="117"/>
      <c r="K10" s="117"/>
      <c r="L10" s="117"/>
      <c r="M10" s="117"/>
      <c r="N10" s="150" t="str">
        <f>" "&amp;List!$B$18</f>
        <v xml:space="preserve"> Souhrn</v>
      </c>
      <c r="O10" s="117"/>
      <c r="P10" s="125"/>
      <c r="Q10" s="125"/>
      <c r="R10" s="125"/>
      <c r="S10" s="257"/>
      <c r="T10" s="261"/>
      <c r="U10" s="258"/>
    </row>
    <row r="11" spans="1:25" x14ac:dyDescent="0.25">
      <c r="A11" s="117"/>
      <c r="B11" s="117"/>
      <c r="C11" s="117"/>
      <c r="D11" s="117"/>
      <c r="E11" s="117"/>
      <c r="F11" s="117"/>
      <c r="G11" s="117"/>
      <c r="H11" s="331"/>
      <c r="I11" s="331"/>
      <c r="J11" s="332"/>
      <c r="K11" s="332"/>
      <c r="L11" s="332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ht="13" x14ac:dyDescent="0.25">
      <c r="A12" s="117"/>
      <c r="B12" s="117"/>
      <c r="C12" s="117"/>
      <c r="D12" s="117"/>
      <c r="E12" s="117"/>
      <c r="F12" s="117"/>
      <c r="G12" s="117"/>
      <c r="H12" s="226"/>
      <c r="I12" s="226"/>
      <c r="J12" s="226"/>
      <c r="K12" s="226"/>
      <c r="L12" s="226"/>
      <c r="M12" s="117"/>
      <c r="N12" s="117"/>
      <c r="O12" s="117"/>
      <c r="P12" s="205"/>
      <c r="Q12" s="205"/>
      <c r="R12" s="205"/>
      <c r="S12" s="255"/>
      <c r="T12" s="256"/>
      <c r="U12" s="256"/>
    </row>
    <row r="13" spans="1:25" x14ac:dyDescent="0.25">
      <c r="A13" s="117"/>
      <c r="B13" s="117"/>
      <c r="C13" s="117"/>
      <c r="D13" s="117"/>
      <c r="E13" s="117"/>
      <c r="F13" s="117"/>
      <c r="G13" s="117"/>
      <c r="H13" s="285"/>
      <c r="I13" s="285"/>
      <c r="J13" s="285"/>
      <c r="K13" s="285"/>
      <c r="L13" s="285"/>
      <c r="M13" s="117"/>
      <c r="N13" s="117"/>
      <c r="O13" s="117"/>
      <c r="P13" s="205"/>
      <c r="Q13" s="205"/>
      <c r="R13" s="205"/>
      <c r="S13" s="255"/>
      <c r="T13" s="256"/>
      <c r="U13" s="256"/>
    </row>
    <row r="14" spans="1:25" ht="13" x14ac:dyDescent="0.3">
      <c r="A14" s="117"/>
      <c r="B14" s="117"/>
      <c r="C14" s="117"/>
      <c r="D14" s="117"/>
      <c r="E14" s="117"/>
      <c r="F14" s="117"/>
      <c r="G14" s="117"/>
      <c r="H14" s="283"/>
      <c r="I14" s="283"/>
      <c r="J14" s="283"/>
      <c r="K14" s="283"/>
      <c r="L14" s="283"/>
      <c r="M14" s="117"/>
      <c r="N14" s="117"/>
      <c r="O14" s="117"/>
      <c r="P14" s="205"/>
      <c r="Q14" s="205"/>
      <c r="R14" s="205"/>
      <c r="S14" s="255"/>
      <c r="T14" s="256"/>
      <c r="U14" s="256"/>
    </row>
    <row r="15" spans="1:25" x14ac:dyDescent="0.25">
      <c r="A15" s="117"/>
      <c r="B15" s="117"/>
      <c r="C15" s="117"/>
      <c r="D15" s="117"/>
      <c r="E15" s="117"/>
      <c r="F15" s="117"/>
      <c r="G15" s="117"/>
      <c r="H15" s="330"/>
      <c r="I15" s="330"/>
      <c r="J15" s="330"/>
      <c r="K15" s="330"/>
      <c r="L15" s="330"/>
      <c r="M15" s="117"/>
      <c r="N15" s="117"/>
      <c r="O15" s="117"/>
      <c r="P15" s="205" t="str">
        <f>Cen!A244</f>
        <v>Korpusové lišty BLUMOTION S, 400mm, 40kg</v>
      </c>
      <c r="Q15" s="205" t="str">
        <f>Cen!B244</f>
        <v>750.4001S</v>
      </c>
      <c r="R15" s="205" t="str">
        <f>Cen!C244</f>
        <v>ZN</v>
      </c>
      <c r="S15" s="255">
        <f>IF($Q$1=5, 0, SUM(G$19, G$27))</f>
        <v>0</v>
      </c>
      <c r="T15" s="256">
        <f>Cen!F244</f>
        <v>704.8</v>
      </c>
      <c r="U15" s="256">
        <f>S15*T15</f>
        <v>0</v>
      </c>
    </row>
    <row r="16" spans="1:25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Cen!A245</f>
        <v>Korpusové lišty BLUMOTION S, 450mm, 40kg</v>
      </c>
      <c r="Q16" s="205" t="str">
        <f>Cen!B245</f>
        <v>750.4501S</v>
      </c>
      <c r="R16" s="205" t="str">
        <f>Cen!C245</f>
        <v>ZN</v>
      </c>
      <c r="S16" s="255">
        <f>IF($Q$1=5, 0, SUM(H$19, H$27))</f>
        <v>0</v>
      </c>
      <c r="T16" s="256">
        <f>Cen!F245</f>
        <v>697.06186000000002</v>
      </c>
      <c r="U16" s="256">
        <f>S16*T16</f>
        <v>0</v>
      </c>
    </row>
    <row r="17" spans="1:21" ht="15.5" x14ac:dyDescent="0.25">
      <c r="A17" s="117"/>
      <c r="B17" s="307" t="s">
        <v>434</v>
      </c>
      <c r="C17" s="7"/>
      <c r="G17" s="701" t="str">
        <f>IF(AND(G19&gt;0, $Q$1=5), $P$88, " ")</f>
        <v xml:space="preserve"> </v>
      </c>
      <c r="H17" s="285"/>
      <c r="I17" s="285"/>
      <c r="J17" s="701" t="str">
        <f>IF(AND(J19&gt;0, $Q$1=5), $P$88, " ")</f>
        <v xml:space="preserve"> </v>
      </c>
      <c r="K17" s="285"/>
      <c r="L17" s="285"/>
      <c r="M17" s="117"/>
      <c r="N17" s="117"/>
      <c r="O17" s="117"/>
      <c r="P17" s="205"/>
      <c r="Q17" s="205"/>
      <c r="R17" s="205"/>
      <c r="S17" s="255"/>
      <c r="T17" s="256"/>
      <c r="U17" s="256"/>
    </row>
    <row r="18" spans="1:21" ht="15.75" customHeight="1" x14ac:dyDescent="0.3">
      <c r="A18" s="117"/>
      <c r="C18" s="315" t="str">
        <f>List!$B$118&amp;":"</f>
        <v>Jmenovitá délka:</v>
      </c>
      <c r="D18" s="303"/>
      <c r="E18" s="300"/>
      <c r="F18" s="300"/>
      <c r="G18" s="468" t="s">
        <v>524</v>
      </c>
      <c r="H18" s="468" t="s">
        <v>111</v>
      </c>
      <c r="I18" s="301" t="s">
        <v>525</v>
      </c>
      <c r="J18" s="468" t="s">
        <v>526</v>
      </c>
      <c r="K18" s="300"/>
      <c r="L18" s="302"/>
      <c r="M18" s="117"/>
      <c r="N18" s="117"/>
      <c r="O18" s="117"/>
      <c r="P18" s="336" t="str">
        <f>Cen!A247</f>
        <v>Korpusové lišty BLUMOTION S, 500mm, 40kg</v>
      </c>
      <c r="Q18" s="336" t="str">
        <f>Cen!B247</f>
        <v>750.5001S</v>
      </c>
      <c r="R18" s="336" t="str">
        <f>Cen!C247</f>
        <v>ZN</v>
      </c>
      <c r="S18" s="255">
        <f>IF($Q$1=5, 0, SUM(I$19, I$27))</f>
        <v>0</v>
      </c>
      <c r="T18" s="338">
        <f>Cen!F247</f>
        <v>705.71905000000004</v>
      </c>
      <c r="U18" s="256">
        <f>S18*T18</f>
        <v>0</v>
      </c>
    </row>
    <row r="19" spans="1:21" ht="14.5" thickBot="1" x14ac:dyDescent="0.35">
      <c r="A19" s="117"/>
      <c r="B19" s="292" t="s">
        <v>431</v>
      </c>
      <c r="C19" s="293" t="s">
        <v>432</v>
      </c>
      <c r="D19" s="345"/>
      <c r="E19" s="345"/>
      <c r="F19" s="345"/>
      <c r="G19" s="294"/>
      <c r="H19" s="294"/>
      <c r="I19" s="294"/>
      <c r="J19" s="294"/>
      <c r="K19" s="345"/>
      <c r="L19" s="345"/>
      <c r="M19" s="175"/>
      <c r="N19" s="117"/>
      <c r="O19" s="117"/>
      <c r="P19" s="336"/>
      <c r="Q19" s="336"/>
      <c r="R19" s="336"/>
      <c r="S19" s="255"/>
      <c r="T19" s="338"/>
      <c r="U19" s="256"/>
    </row>
    <row r="20" spans="1:21" ht="13" x14ac:dyDescent="0.3">
      <c r="A20" s="117"/>
      <c r="B20" s="282"/>
      <c r="C20" s="282"/>
      <c r="H20" s="285"/>
      <c r="I20" s="285"/>
      <c r="J20" s="285"/>
      <c r="K20" s="285"/>
      <c r="L20" s="285"/>
      <c r="M20" s="175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255">
        <f>IF($Q$1=5, 0, SUM(J$19, J$27))</f>
        <v>0</v>
      </c>
      <c r="T20" s="256">
        <f>Cen!F249</f>
        <v>769.83820000000003</v>
      </c>
      <c r="U20" s="256">
        <f>S20*T20</f>
        <v>0</v>
      </c>
    </row>
    <row r="21" spans="1:21" ht="15.5" x14ac:dyDescent="0.35">
      <c r="A21" s="117"/>
      <c r="B21" s="308" t="s">
        <v>228</v>
      </c>
      <c r="C21" s="304"/>
      <c r="G21" s="701" t="str">
        <f>IF(AND(G23&gt;0, $Q$1=5), $P$88, " ")</f>
        <v xml:space="preserve"> </v>
      </c>
      <c r="H21" s="283"/>
      <c r="I21" s="283"/>
      <c r="J21" s="701" t="str">
        <f>IF(AND(J23&gt;0, $Q$1=5), $P$88, " ")</f>
        <v xml:space="preserve"> </v>
      </c>
      <c r="K21" s="283"/>
      <c r="L21" s="283"/>
      <c r="M21" s="175"/>
      <c r="N21" s="117"/>
      <c r="O21" s="117"/>
      <c r="P21" s="205"/>
      <c r="Q21" s="205"/>
      <c r="R21" s="205"/>
      <c r="S21" s="255"/>
      <c r="T21" s="256"/>
      <c r="U21" s="256"/>
    </row>
    <row r="22" spans="1:21" ht="15.5" x14ac:dyDescent="0.35">
      <c r="A22" s="117"/>
      <c r="B22" s="308"/>
      <c r="C22" s="315" t="str">
        <f>List!$B$118&amp;":"</f>
        <v>Jmenovitá délka:</v>
      </c>
      <c r="D22" s="303"/>
      <c r="E22" s="300"/>
      <c r="F22" s="300"/>
      <c r="G22" s="468" t="s">
        <v>524</v>
      </c>
      <c r="H22" s="468" t="s">
        <v>111</v>
      </c>
      <c r="I22" s="301" t="s">
        <v>525</v>
      </c>
      <c r="J22" s="468" t="s">
        <v>526</v>
      </c>
      <c r="K22" s="300"/>
      <c r="L22" s="302"/>
      <c r="M22" s="175"/>
      <c r="N22" s="117"/>
      <c r="O22" s="117"/>
      <c r="P22" s="205"/>
      <c r="Q22" s="205"/>
      <c r="R22" s="205"/>
      <c r="S22" s="255"/>
      <c r="T22" s="256"/>
      <c r="U22" s="256"/>
    </row>
    <row r="23" spans="1:21" ht="14.5" thickBot="1" x14ac:dyDescent="0.35">
      <c r="A23" s="117"/>
      <c r="B23" s="292" t="s">
        <v>430</v>
      </c>
      <c r="C23" s="293" t="s">
        <v>432</v>
      </c>
      <c r="D23" s="345"/>
      <c r="E23" s="345"/>
      <c r="F23" s="345"/>
      <c r="G23" s="294"/>
      <c r="H23" s="294"/>
      <c r="I23" s="294"/>
      <c r="J23" s="294"/>
      <c r="K23" s="345"/>
      <c r="L23" s="345"/>
      <c r="M23" s="175"/>
      <c r="N23" s="117"/>
      <c r="O23" s="117"/>
      <c r="P23" s="205"/>
      <c r="Q23" s="205"/>
      <c r="R23" s="205"/>
      <c r="S23" s="255"/>
      <c r="T23" s="256"/>
      <c r="U23" s="256"/>
    </row>
    <row r="24" spans="1:21" ht="13" x14ac:dyDescent="0.3">
      <c r="A24" s="117"/>
      <c r="B24" s="282"/>
      <c r="C24" s="282"/>
      <c r="D24" s="117"/>
      <c r="E24" s="117"/>
      <c r="F24" s="117"/>
      <c r="G24" s="117"/>
      <c r="H24" s="142"/>
      <c r="I24" s="142"/>
      <c r="J24" s="117"/>
      <c r="K24" s="117"/>
      <c r="L24" s="117"/>
      <c r="M24" s="175"/>
      <c r="N24" s="117"/>
      <c r="O24" s="117"/>
      <c r="P24" s="205"/>
      <c r="Q24" s="205"/>
      <c r="R24" s="205"/>
      <c r="S24" s="255"/>
      <c r="T24" s="256"/>
      <c r="U24" s="256"/>
    </row>
    <row r="25" spans="1:21" ht="16" thickBot="1" x14ac:dyDescent="0.4">
      <c r="A25" s="117"/>
      <c r="B25" s="308" t="s">
        <v>940</v>
      </c>
      <c r="C25" s="304"/>
      <c r="G25" s="701" t="str">
        <f>IF(AND(G27&gt;0, $Q$1=5), $P$88, " ")</f>
        <v xml:space="preserve"> </v>
      </c>
      <c r="H25" s="283"/>
      <c r="I25" s="283"/>
      <c r="J25" s="701" t="str">
        <f>IF(AND(J27&gt;0, $Q$1=5), $P$88, " ")</f>
        <v xml:space="preserve"> </v>
      </c>
      <c r="K25" s="283"/>
      <c r="L25" s="283"/>
      <c r="M25" s="175"/>
      <c r="N25" s="253"/>
      <c r="O25" s="117"/>
      <c r="P25" s="205"/>
      <c r="Q25" s="205"/>
      <c r="R25" s="205"/>
      <c r="S25" s="255"/>
      <c r="T25" s="256"/>
      <c r="U25" s="256"/>
    </row>
    <row r="26" spans="1:21" ht="15.5" x14ac:dyDescent="0.35">
      <c r="A26" s="117"/>
      <c r="B26" s="308"/>
      <c r="C26" s="315" t="str">
        <f>List!$B$118&amp;":"</f>
        <v>Jmenovitá délka:</v>
      </c>
      <c r="D26" s="303"/>
      <c r="E26" s="300"/>
      <c r="F26" s="300"/>
      <c r="G26" s="468" t="s">
        <v>524</v>
      </c>
      <c r="H26" s="468" t="s">
        <v>111</v>
      </c>
      <c r="I26" s="301" t="s">
        <v>525</v>
      </c>
      <c r="J26" s="468" t="s">
        <v>526</v>
      </c>
      <c r="K26" s="300"/>
      <c r="L26" s="302"/>
      <c r="M26" s="175"/>
      <c r="N26" s="150" t="str">
        <f>" "&amp;List!$B$303</f>
        <v xml:space="preserve"> Výběr sady jednotek</v>
      </c>
      <c r="O26" s="117"/>
      <c r="P26" s="205"/>
      <c r="Q26" s="205"/>
      <c r="R26" s="205"/>
      <c r="S26" s="255"/>
      <c r="T26" s="256"/>
      <c r="U26" s="256"/>
    </row>
    <row r="27" spans="1:21" ht="14.5" thickBot="1" x14ac:dyDescent="0.35">
      <c r="A27" s="117"/>
      <c r="B27" s="292" t="s">
        <v>943</v>
      </c>
      <c r="C27" s="293" t="s">
        <v>432</v>
      </c>
      <c r="D27" s="345"/>
      <c r="E27" s="345"/>
      <c r="F27" s="345"/>
      <c r="G27" s="294"/>
      <c r="H27" s="294"/>
      <c r="I27" s="294"/>
      <c r="J27" s="294"/>
      <c r="K27" s="345"/>
      <c r="L27" s="345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4" x14ac:dyDescent="0.3">
      <c r="A28" s="117"/>
      <c r="B28" s="404"/>
      <c r="C28" s="405"/>
      <c r="D28" s="297"/>
      <c r="E28" s="297"/>
      <c r="F28" s="297"/>
      <c r="G28" s="297"/>
      <c r="H28" s="502" t="str">
        <f>IF(H27&gt;0,List!$B$190&amp;"!"," ")</f>
        <v xml:space="preserve"> </v>
      </c>
      <c r="I28" s="297"/>
      <c r="J28" s="297"/>
      <c r="K28" s="297"/>
      <c r="L28" s="688"/>
      <c r="M28" s="117"/>
      <c r="N28" s="117"/>
      <c r="O28" s="117"/>
      <c r="P28" s="205" t="str">
        <f>Cen!A260</f>
        <v>Korpusové lišty TIP-ON, 400mm, 40kg</v>
      </c>
      <c r="Q28" s="205" t="str">
        <f>Cen!B260</f>
        <v>750.4001T</v>
      </c>
      <c r="R28" s="205" t="str">
        <f>Cen!C260</f>
        <v>ZN</v>
      </c>
      <c r="S28" s="255">
        <f>IF($Q$1=5, 0, $G$23)</f>
        <v>0</v>
      </c>
      <c r="T28" s="256">
        <f>Cen!F260</f>
        <v>972.70714999999996</v>
      </c>
      <c r="U28" s="256">
        <f>S28*T28</f>
        <v>0</v>
      </c>
    </row>
    <row r="29" spans="1:21" ht="14" x14ac:dyDescent="0.3">
      <c r="A29" s="117"/>
      <c r="B29" s="343"/>
      <c r="C29" s="286"/>
      <c r="D29" s="344"/>
      <c r="E29" s="290"/>
      <c r="F29" s="290"/>
      <c r="G29" s="290"/>
      <c r="H29" s="290"/>
      <c r="I29" s="284"/>
      <c r="J29" s="284"/>
      <c r="K29" s="284"/>
      <c r="L29" s="284"/>
      <c r="M29" s="117"/>
      <c r="N29" s="117"/>
      <c r="O29" s="117"/>
      <c r="P29" s="205" t="str">
        <f>Cen!A261</f>
        <v>Korpusové lišty TIP-ON, 450mm, 40kg</v>
      </c>
      <c r="Q29" s="205" t="str">
        <f>Cen!B261</f>
        <v>750.4501T</v>
      </c>
      <c r="R29" s="205" t="str">
        <f>Cen!C261</f>
        <v>ZN</v>
      </c>
      <c r="S29" s="255">
        <f>H23</f>
        <v>0</v>
      </c>
      <c r="T29" s="256">
        <f>Cen!F261</f>
        <v>958.74321999999995</v>
      </c>
      <c r="U29" s="256">
        <f>S29*T29</f>
        <v>0</v>
      </c>
    </row>
    <row r="30" spans="1:21" ht="13" x14ac:dyDescent="0.25">
      <c r="A30" s="117"/>
      <c r="C30" s="175"/>
      <c r="D30" s="689" t="str">
        <f>List!B312</f>
        <v>Sada jednotek TIP-ON BLUMOTION</v>
      </c>
      <c r="E30" s="175"/>
      <c r="F30" s="175"/>
      <c r="G30" s="175"/>
      <c r="H30" s="175"/>
      <c r="I30" s="723"/>
      <c r="J30" s="723"/>
      <c r="K30" s="723"/>
      <c r="L30" s="723"/>
      <c r="M30" s="117"/>
      <c r="N30" s="117"/>
      <c r="O30" s="117"/>
      <c r="P30" s="205"/>
      <c r="Q30" s="205"/>
      <c r="R30" s="205"/>
      <c r="S30" s="255"/>
      <c r="T30" s="256"/>
      <c r="U30" s="256"/>
    </row>
    <row r="31" spans="1:21" ht="14" x14ac:dyDescent="0.3">
      <c r="A31" s="117"/>
      <c r="B31" s="286"/>
      <c r="C31" s="286"/>
      <c r="D31" s="303"/>
      <c r="E31" s="303"/>
      <c r="F31" s="300" t="s">
        <v>947</v>
      </c>
      <c r="G31" s="300" t="s">
        <v>948</v>
      </c>
      <c r="H31" s="302"/>
      <c r="I31" s="286"/>
      <c r="J31" s="723"/>
      <c r="K31" s="723"/>
      <c r="L31" s="723"/>
      <c r="O31" s="117"/>
      <c r="P31" s="336" t="str">
        <f>Cen!A263</f>
        <v>Korpusové lišty TIP-ON, 500mm, 40kg</v>
      </c>
      <c r="Q31" s="336" t="str">
        <f>Cen!B263</f>
        <v>750.5001T</v>
      </c>
      <c r="R31" s="336" t="str">
        <f>Cen!C263</f>
        <v>ZN</v>
      </c>
      <c r="S31" s="337">
        <f>I23</f>
        <v>0</v>
      </c>
      <c r="T31" s="338">
        <f>Cen!F263</f>
        <v>967.39513999999997</v>
      </c>
      <c r="U31" s="256">
        <f>S31*T31</f>
        <v>0</v>
      </c>
    </row>
    <row r="32" spans="1:21" ht="14.5" thickBot="1" x14ac:dyDescent="0.35">
      <c r="A32" s="117"/>
      <c r="B32" s="175"/>
      <c r="C32" s="286"/>
      <c r="D32" s="345"/>
      <c r="E32" s="345"/>
      <c r="F32" s="294"/>
      <c r="G32" s="294"/>
      <c r="H32" s="345"/>
      <c r="I32" s="652" t="str">
        <f>IF(SUM(F27:K27)=SUM(F32:H32)," ",P86)</f>
        <v xml:space="preserve"> </v>
      </c>
      <c r="O32" s="117"/>
      <c r="P32" s="336"/>
      <c r="Q32" s="336"/>
      <c r="R32" s="336"/>
      <c r="S32" s="337"/>
      <c r="T32" s="338"/>
      <c r="U32" s="256"/>
    </row>
    <row r="33" spans="1:21" ht="15.75" customHeight="1" x14ac:dyDescent="0.25">
      <c r="A33" s="117"/>
      <c r="C33" s="651"/>
      <c r="D33" s="650"/>
      <c r="E33" s="286"/>
      <c r="F33" s="286"/>
      <c r="G33" s="286"/>
      <c r="H33" s="286"/>
      <c r="I33" s="286"/>
      <c r="O33" s="117"/>
      <c r="P33" s="205" t="str">
        <f>Cen!A265</f>
        <v>Korpusové lišty TIP-ON, 550mm, 40kg</v>
      </c>
      <c r="Q33" s="205" t="str">
        <f>Cen!B265</f>
        <v>750.5501T</v>
      </c>
      <c r="R33" s="205" t="str">
        <f>Cen!C265</f>
        <v>ZN</v>
      </c>
      <c r="S33" s="255">
        <f>IF($Q$1=5, 0, $J$23)</f>
        <v>0</v>
      </c>
      <c r="T33" s="256">
        <f>Cen!F265</f>
        <v>1037.74467</v>
      </c>
      <c r="U33" s="256">
        <f>S33*T33</f>
        <v>0</v>
      </c>
    </row>
    <row r="34" spans="1:21" ht="12.75" customHeight="1" x14ac:dyDescent="0.25">
      <c r="A34" s="117"/>
      <c r="B34" s="651"/>
      <c r="C34" s="651"/>
      <c r="D34" s="725" t="str">
        <f>"     "&amp;List!$B$313</f>
        <v xml:space="preserve">     Synchronizace bude přidána automaticky. </v>
      </c>
      <c r="O34" s="117"/>
      <c r="P34" s="205"/>
      <c r="Q34" s="205"/>
      <c r="R34" s="205"/>
      <c r="S34" s="255"/>
      <c r="T34" s="256"/>
      <c r="U34" s="256"/>
    </row>
    <row r="35" spans="1:21" ht="12.75" customHeight="1" x14ac:dyDescent="0.35">
      <c r="A35" s="117"/>
      <c r="B35" s="316"/>
      <c r="C35" s="282"/>
      <c r="D35" s="725" t="str">
        <f>"     "&amp;List!$B$314</f>
        <v xml:space="preserve">     Pozor! Pro každý výsuv je započítána jedna hřídel. Počet hřídelí upravte v objednávce!</v>
      </c>
      <c r="H35" s="283"/>
      <c r="I35" s="283"/>
      <c r="J35" s="283"/>
      <c r="K35" s="283"/>
      <c r="L35" s="283"/>
      <c r="M35" s="117"/>
      <c r="N35" s="117"/>
      <c r="O35" s="117"/>
      <c r="P35" s="205"/>
      <c r="Q35" s="205"/>
      <c r="R35" s="205"/>
      <c r="S35" s="255"/>
      <c r="T35" s="256"/>
      <c r="U35" s="256"/>
    </row>
    <row r="36" spans="1:21" ht="15" customHeight="1" x14ac:dyDescent="0.3">
      <c r="A36" s="117"/>
      <c r="B36" s="339"/>
      <c r="C36" s="286"/>
      <c r="D36" s="761" t="str">
        <f>IF(AND(Q1=5, OR(G19&gt;0, J19&gt;0, G23&gt;0, J23&gt;0, G27&gt;0, J27&gt;0)), "  * "&amp;$P$89, " ")</f>
        <v xml:space="preserve"> </v>
      </c>
      <c r="E36" s="341"/>
      <c r="F36" s="342"/>
      <c r="G36" s="341"/>
      <c r="H36" s="341"/>
      <c r="I36" s="286"/>
      <c r="J36" s="286"/>
      <c r="K36" s="286"/>
      <c r="L36" s="286"/>
      <c r="M36" s="117"/>
      <c r="N36" s="117"/>
      <c r="O36" s="117"/>
      <c r="P36" s="205"/>
      <c r="Q36" s="205"/>
      <c r="R36" s="205"/>
      <c r="S36" s="255"/>
      <c r="T36" s="256"/>
      <c r="U36" s="256"/>
    </row>
    <row r="37" spans="1:21" ht="15.75" customHeight="1" x14ac:dyDescent="0.3">
      <c r="A37" s="117"/>
      <c r="B37" s="339"/>
      <c r="C37" s="286"/>
      <c r="D37" s="340"/>
      <c r="E37" s="341"/>
      <c r="F37" s="342"/>
      <c r="G37" s="341"/>
      <c r="H37" s="341"/>
      <c r="I37" s="286"/>
      <c r="J37" s="286"/>
      <c r="K37" s="286"/>
      <c r="L37" s="286"/>
      <c r="M37" s="117"/>
      <c r="N37" s="117"/>
      <c r="O37" s="117"/>
      <c r="P37" s="205"/>
      <c r="Q37" s="205"/>
      <c r="R37" s="205"/>
      <c r="S37" s="255"/>
      <c r="T37" s="256"/>
      <c r="U37" s="256"/>
    </row>
    <row r="38" spans="1:21" ht="15.75" customHeight="1" x14ac:dyDescent="0.3">
      <c r="A38" s="117"/>
      <c r="B38" s="339"/>
      <c r="C38" s="286"/>
      <c r="D38" s="340"/>
      <c r="E38" s="341"/>
      <c r="F38" s="342"/>
      <c r="G38" s="341"/>
      <c r="H38" s="341"/>
      <c r="I38" s="286"/>
      <c r="J38" s="286"/>
      <c r="K38" s="286"/>
      <c r="L38" s="286"/>
      <c r="M38" s="117"/>
      <c r="N38" s="117"/>
      <c r="O38" s="117"/>
      <c r="P38" s="205"/>
      <c r="Q38" s="205"/>
      <c r="R38" s="205"/>
      <c r="S38" s="255"/>
      <c r="T38" s="256"/>
      <c r="U38" s="256"/>
    </row>
    <row r="39" spans="1:21" ht="12.75" customHeight="1" x14ac:dyDescent="0.3">
      <c r="A39" s="117"/>
      <c r="B39" s="339"/>
      <c r="C39" s="286"/>
      <c r="D39" s="340"/>
      <c r="E39" s="341"/>
      <c r="F39" s="342"/>
      <c r="G39" s="341"/>
      <c r="H39" s="341"/>
      <c r="I39" s="286"/>
      <c r="J39" s="286"/>
      <c r="K39" s="286"/>
      <c r="L39" s="286"/>
      <c r="M39" s="117"/>
      <c r="N39" s="117"/>
      <c r="O39" s="117"/>
      <c r="P39" s="205"/>
      <c r="Q39" s="205"/>
      <c r="R39" s="205"/>
      <c r="S39" s="255"/>
      <c r="T39" s="256"/>
      <c r="U39" s="256"/>
    </row>
    <row r="40" spans="1:21" ht="12.75" customHeight="1" x14ac:dyDescent="0.3">
      <c r="A40" s="117"/>
      <c r="B40" s="343"/>
      <c r="C40" s="286"/>
      <c r="D40" s="344"/>
      <c r="E40" s="290"/>
      <c r="F40" s="290"/>
      <c r="G40" s="290"/>
      <c r="H40" s="290"/>
      <c r="I40" s="284"/>
      <c r="J40" s="284"/>
      <c r="K40" s="284"/>
      <c r="L40" s="284"/>
      <c r="M40" s="117"/>
      <c r="N40" s="117"/>
      <c r="O40" s="117"/>
      <c r="P40" s="205"/>
      <c r="Q40" s="205"/>
      <c r="R40" s="205"/>
      <c r="S40" s="255"/>
      <c r="T40" s="256"/>
      <c r="U40" s="256"/>
    </row>
    <row r="41" spans="1:21" ht="12.75" customHeight="1" x14ac:dyDescent="0.25">
      <c r="A41" s="117"/>
      <c r="B41" s="175"/>
      <c r="C41" s="175"/>
      <c r="D41" s="175"/>
      <c r="E41" s="175"/>
      <c r="F41" s="175"/>
      <c r="G41" s="175"/>
      <c r="H41" s="175"/>
      <c r="I41" s="175"/>
      <c r="J41" s="117"/>
      <c r="K41" s="117"/>
      <c r="L41" s="117"/>
      <c r="M41" s="117"/>
      <c r="N41" s="117"/>
      <c r="O41" s="117"/>
      <c r="P41" s="205"/>
      <c r="Q41" s="205"/>
      <c r="R41" s="205"/>
      <c r="S41" s="255"/>
      <c r="T41" s="256"/>
      <c r="U41" s="256"/>
    </row>
    <row r="42" spans="1:21" ht="12.75" customHeight="1" x14ac:dyDescent="0.25">
      <c r="A42" s="117"/>
      <c r="B42" s="175"/>
      <c r="C42" s="175"/>
      <c r="D42" s="175"/>
      <c r="E42" s="175"/>
      <c r="F42" s="175"/>
      <c r="G42" s="175"/>
      <c r="H42" s="175"/>
      <c r="I42" s="175"/>
      <c r="J42" s="117"/>
      <c r="K42" s="117"/>
      <c r="L42" s="117"/>
      <c r="M42" s="117"/>
      <c r="N42" s="117"/>
      <c r="O42" s="117"/>
      <c r="P42" s="205"/>
      <c r="Q42" s="205"/>
      <c r="R42" s="205"/>
      <c r="S42" s="255"/>
      <c r="T42" s="256"/>
      <c r="U42" s="256"/>
    </row>
    <row r="43" spans="1:21" ht="12.75" customHeight="1" x14ac:dyDescent="0.25">
      <c r="A43" s="117"/>
      <c r="B43" s="175"/>
      <c r="C43" s="175"/>
      <c r="D43" s="175"/>
      <c r="E43" s="175"/>
      <c r="F43" s="175"/>
      <c r="G43" s="175"/>
      <c r="H43" s="175"/>
      <c r="I43" s="175"/>
      <c r="J43" s="117"/>
      <c r="K43" s="117"/>
      <c r="L43" s="117"/>
      <c r="M43" s="117"/>
      <c r="N43" s="117"/>
      <c r="O43" s="117"/>
      <c r="P43" s="174"/>
      <c r="Q43" s="174"/>
      <c r="R43" s="174"/>
      <c r="S43" s="682"/>
      <c r="T43" s="683"/>
      <c r="U43" s="256"/>
    </row>
    <row r="44" spans="1:21" ht="12.75" customHeight="1" x14ac:dyDescent="0.25">
      <c r="A44" s="117"/>
      <c r="B44" s="175"/>
      <c r="C44" s="175"/>
      <c r="D44" s="175"/>
      <c r="E44" s="175"/>
      <c r="F44" s="175"/>
      <c r="G44" s="175"/>
      <c r="H44" s="175"/>
      <c r="I44" s="175"/>
      <c r="J44" s="117"/>
      <c r="K44" s="117"/>
      <c r="L44" s="117"/>
      <c r="M44" s="117"/>
      <c r="N44" s="117"/>
      <c r="O44" s="117"/>
      <c r="P44" s="174"/>
      <c r="Q44" s="174"/>
      <c r="R44" s="174"/>
      <c r="S44" s="255"/>
      <c r="T44" s="683"/>
      <c r="U44" s="256"/>
    </row>
    <row r="45" spans="1:21" ht="12.75" customHeight="1" x14ac:dyDescent="0.25">
      <c r="A45" s="117"/>
      <c r="B45" s="175"/>
      <c r="C45" s="175"/>
      <c r="D45" s="175"/>
      <c r="E45" s="175"/>
      <c r="F45" s="175"/>
      <c r="G45" s="175"/>
      <c r="H45" s="175"/>
      <c r="I45" s="175"/>
      <c r="J45" s="117"/>
      <c r="K45" s="117"/>
      <c r="L45" s="117"/>
      <c r="M45" s="117"/>
      <c r="N45" s="117"/>
      <c r="O45" s="117"/>
      <c r="P45" s="174"/>
      <c r="Q45" s="174"/>
      <c r="R45" s="174"/>
      <c r="S45" s="682"/>
      <c r="T45" s="683"/>
      <c r="U45" s="256"/>
    </row>
    <row r="46" spans="1:21" ht="12.75" customHeight="1" x14ac:dyDescent="0.25">
      <c r="A46" s="117"/>
      <c r="B46" s="175"/>
      <c r="C46" s="175"/>
      <c r="D46" s="175"/>
      <c r="E46" s="175"/>
      <c r="F46" s="175"/>
      <c r="G46" s="175"/>
      <c r="H46" s="175"/>
      <c r="I46" s="175"/>
      <c r="J46" s="117"/>
      <c r="K46" s="117"/>
      <c r="L46" s="117"/>
      <c r="M46" s="117"/>
      <c r="N46" s="117"/>
      <c r="O46" s="117"/>
      <c r="P46" s="120"/>
      <c r="Q46" s="120"/>
      <c r="R46" s="120"/>
      <c r="S46" s="121"/>
      <c r="T46" s="116"/>
      <c r="U46" s="256"/>
    </row>
    <row r="47" spans="1:21" ht="13" x14ac:dyDescent="0.3">
      <c r="A47" s="117"/>
      <c r="B47" s="175"/>
      <c r="C47" s="175"/>
      <c r="D47" s="175"/>
      <c r="E47" s="175"/>
      <c r="F47" s="175"/>
      <c r="G47" s="175"/>
      <c r="H47" s="175"/>
      <c r="I47" s="175"/>
      <c r="J47" s="117"/>
      <c r="K47" s="117"/>
      <c r="L47" s="117"/>
      <c r="M47" s="117"/>
      <c r="N47" s="117"/>
      <c r="O47" s="117"/>
      <c r="P47" s="684"/>
      <c r="Q47" s="684"/>
      <c r="R47" s="684"/>
      <c r="S47" s="685"/>
      <c r="T47" s="686"/>
      <c r="U47" s="686"/>
    </row>
    <row r="48" spans="1:21" ht="13" x14ac:dyDescent="0.3">
      <c r="A48" s="117"/>
      <c r="B48" s="175"/>
      <c r="C48" s="175"/>
      <c r="D48" s="175"/>
      <c r="E48" s="175"/>
      <c r="F48" s="175"/>
      <c r="G48" s="175"/>
      <c r="H48" s="175"/>
      <c r="I48" s="175"/>
      <c r="J48" s="117"/>
      <c r="K48" s="117"/>
      <c r="L48" s="117"/>
      <c r="M48" s="117"/>
      <c r="N48" s="117"/>
      <c r="O48" s="117"/>
      <c r="P48" s="684"/>
      <c r="Q48" s="684"/>
      <c r="R48" s="684"/>
      <c r="S48" s="685"/>
      <c r="T48" s="686"/>
      <c r="U48" s="686"/>
    </row>
    <row r="49" spans="1:21" x14ac:dyDescent="0.25">
      <c r="A49" s="117"/>
      <c r="B49" s="175"/>
      <c r="C49" s="175"/>
      <c r="D49" s="175"/>
      <c r="E49" s="175"/>
      <c r="F49" s="175"/>
      <c r="G49" s="175"/>
      <c r="H49" s="175"/>
      <c r="I49" s="175"/>
      <c r="J49" s="117"/>
      <c r="K49" s="117"/>
      <c r="L49" s="117"/>
      <c r="M49" s="117"/>
      <c r="N49" s="117"/>
      <c r="O49" s="117"/>
      <c r="P49" s="174"/>
      <c r="Q49" s="174"/>
      <c r="R49" s="174"/>
      <c r="S49" s="255"/>
      <c r="T49" s="683"/>
      <c r="U49" s="256"/>
    </row>
    <row r="50" spans="1:21" ht="13" x14ac:dyDescent="0.3">
      <c r="A50" s="117"/>
      <c r="B50" s="175"/>
      <c r="C50" s="175"/>
      <c r="D50" s="175"/>
      <c r="E50" s="175"/>
      <c r="F50" s="175"/>
      <c r="G50" s="175"/>
      <c r="H50" s="175"/>
      <c r="I50" s="175"/>
      <c r="J50" s="117"/>
      <c r="K50" s="117"/>
      <c r="L50" s="117"/>
      <c r="M50" s="117"/>
      <c r="N50" s="117"/>
      <c r="O50" s="117"/>
      <c r="P50" s="684"/>
      <c r="Q50" s="684"/>
      <c r="R50" s="684"/>
      <c r="S50" s="685"/>
      <c r="T50" s="686"/>
      <c r="U50" s="686"/>
    </row>
    <row r="51" spans="1:21" ht="13" x14ac:dyDescent="0.3">
      <c r="A51" s="117"/>
      <c r="B51" s="175"/>
      <c r="C51" s="175"/>
      <c r="D51" s="175"/>
      <c r="E51" s="175"/>
      <c r="F51" s="175"/>
      <c r="G51" s="175"/>
      <c r="H51" s="175"/>
      <c r="I51" s="175"/>
      <c r="J51" s="117"/>
      <c r="K51" s="117"/>
      <c r="L51" s="117"/>
      <c r="M51" s="117"/>
      <c r="N51" s="117"/>
      <c r="O51" s="117"/>
      <c r="P51" s="684"/>
      <c r="Q51" s="684"/>
      <c r="R51" s="684"/>
      <c r="S51" s="685"/>
      <c r="T51" s="686"/>
      <c r="U51" s="686"/>
    </row>
    <row r="52" spans="1:21" ht="13" x14ac:dyDescent="0.3">
      <c r="A52" s="117"/>
      <c r="B52" s="175"/>
      <c r="C52" s="175"/>
      <c r="D52" s="175"/>
      <c r="E52" s="175"/>
      <c r="F52" s="175"/>
      <c r="G52" s="175"/>
      <c r="H52" s="175"/>
      <c r="I52" s="175"/>
      <c r="J52" s="117"/>
      <c r="K52" s="117"/>
      <c r="L52" s="117"/>
      <c r="M52" s="117"/>
      <c r="N52" s="117"/>
      <c r="O52" s="117"/>
      <c r="P52" s="684"/>
      <c r="Q52" s="684"/>
      <c r="R52" s="684"/>
      <c r="S52" s="685"/>
      <c r="T52" s="686"/>
      <c r="U52" s="686"/>
    </row>
    <row r="53" spans="1:21" ht="13" x14ac:dyDescent="0.3">
      <c r="B53" s="286"/>
      <c r="C53" s="286"/>
      <c r="D53" s="286"/>
      <c r="E53" s="286"/>
      <c r="F53" s="286"/>
      <c r="G53" s="286"/>
      <c r="H53" s="286"/>
      <c r="I53" s="286"/>
      <c r="O53" s="117"/>
      <c r="P53" s="684"/>
      <c r="Q53" s="684"/>
      <c r="R53" s="684"/>
      <c r="S53" s="685"/>
      <c r="T53" s="686"/>
      <c r="U53" s="686"/>
    </row>
    <row r="54" spans="1:21" ht="13" x14ac:dyDescent="0.3">
      <c r="B54" s="286"/>
      <c r="C54" s="286"/>
      <c r="D54" s="286"/>
      <c r="E54" s="286"/>
      <c r="F54" s="286"/>
      <c r="G54" s="286"/>
      <c r="H54" s="286"/>
      <c r="I54" s="286"/>
      <c r="O54" s="117"/>
      <c r="P54" s="684"/>
      <c r="Q54" s="684"/>
      <c r="R54" s="684"/>
      <c r="S54" s="685"/>
      <c r="T54" s="686"/>
      <c r="U54" s="686"/>
    </row>
    <row r="55" spans="1:21" ht="13" x14ac:dyDescent="0.3">
      <c r="B55" s="175"/>
      <c r="C55" s="286"/>
      <c r="D55" s="286"/>
      <c r="E55" s="286"/>
      <c r="F55" s="286"/>
      <c r="G55" s="286"/>
      <c r="H55" s="286"/>
      <c r="I55" s="286"/>
      <c r="O55" s="117"/>
      <c r="P55" s="684"/>
      <c r="Q55" s="684"/>
      <c r="R55" s="684"/>
      <c r="S55" s="685"/>
      <c r="T55" s="686"/>
      <c r="U55" s="686"/>
    </row>
    <row r="56" spans="1:21" ht="13" x14ac:dyDescent="0.3">
      <c r="B56" s="175"/>
      <c r="C56" s="286"/>
      <c r="D56" s="286"/>
      <c r="E56" s="286"/>
      <c r="F56" s="286"/>
      <c r="G56" s="286"/>
      <c r="H56" s="286"/>
      <c r="I56" s="286"/>
      <c r="O56" s="117"/>
      <c r="P56" s="684"/>
      <c r="Q56" s="684"/>
      <c r="R56" s="684"/>
      <c r="S56" s="685"/>
      <c r="T56" s="686"/>
      <c r="U56" s="686"/>
    </row>
    <row r="57" spans="1:21" x14ac:dyDescent="0.25">
      <c r="O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F32</f>
        <v>0</v>
      </c>
      <c r="T57" s="116">
        <f>Cen!F289</f>
        <v>467.80245000000002</v>
      </c>
      <c r="U57" s="116">
        <f>S57*T57</f>
        <v>0</v>
      </c>
    </row>
    <row r="58" spans="1:21" x14ac:dyDescent="0.25">
      <c r="O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G32</f>
        <v>0</v>
      </c>
      <c r="T58" s="116">
        <f>Cen!F290</f>
        <v>467.80245000000002</v>
      </c>
      <c r="U58" s="116">
        <f>S58*T58</f>
        <v>0</v>
      </c>
    </row>
    <row r="59" spans="1:21" ht="13" x14ac:dyDescent="0.3">
      <c r="O59" s="117"/>
      <c r="P59" s="684"/>
      <c r="Q59" s="684"/>
      <c r="R59" s="684"/>
      <c r="S59" s="685"/>
      <c r="T59" s="686"/>
      <c r="U59" s="686"/>
    </row>
    <row r="60" spans="1:21" ht="13" x14ac:dyDescent="0.3">
      <c r="O60" s="117"/>
      <c r="P60" s="684"/>
      <c r="Q60" s="684"/>
      <c r="R60" s="684"/>
      <c r="S60" s="685"/>
      <c r="T60" s="686"/>
      <c r="U60" s="686"/>
    </row>
    <row r="61" spans="1:21" x14ac:dyDescent="0.25">
      <c r="O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Cen!F306</f>
        <v>6.7107799999999997</v>
      </c>
      <c r="U61" s="116">
        <f>S61*T61</f>
        <v>0</v>
      </c>
    </row>
    <row r="62" spans="1:21" x14ac:dyDescent="0.25">
      <c r="O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SUM(S58:$S$58)</f>
        <v>0</v>
      </c>
      <c r="T62" s="116">
        <f>Cen!F307</f>
        <v>110.51743999999999</v>
      </c>
      <c r="U62" s="116">
        <f>S62*T62</f>
        <v>0</v>
      </c>
    </row>
    <row r="63" spans="1:21" ht="13" x14ac:dyDescent="0.3">
      <c r="O63" s="117"/>
      <c r="P63" s="684"/>
      <c r="Q63" s="684"/>
      <c r="R63" s="684"/>
      <c r="S63" s="685"/>
      <c r="T63" s="686"/>
      <c r="U63" s="686"/>
    </row>
    <row r="64" spans="1:21" x14ac:dyDescent="0.25">
      <c r="P64" s="120" t="str">
        <f>Cen!A314</f>
        <v>Držáky zadní stěny N, Orion šedá</v>
      </c>
      <c r="Q64" s="120" t="str">
        <f>Cen!B314</f>
        <v>ZB7N000S</v>
      </c>
      <c r="R64" s="120" t="str">
        <f>Cen!C314</f>
        <v>OG-M</v>
      </c>
      <c r="S64" s="121">
        <f>IF($Q$1=5,SUM($S$7:$S$8),SUM($S$3:$S$10))</f>
        <v>0</v>
      </c>
      <c r="T64" s="116">
        <f>Cen!$F314</f>
        <v>36.187139999999999</v>
      </c>
      <c r="U64" s="116">
        <f>S64*T64</f>
        <v>0</v>
      </c>
    </row>
    <row r="65" spans="16:21" x14ac:dyDescent="0.25">
      <c r="P65" s="120" t="str">
        <f>Cen!A344</f>
        <v>Čelní kování N, na vruty</v>
      </c>
      <c r="Q65" s="120" t="str">
        <f>Cen!B344</f>
        <v>ZF7N7002</v>
      </c>
      <c r="R65" s="120" t="str">
        <f>Cen!C344</f>
        <v>BL</v>
      </c>
      <c r="S65" s="121">
        <f>IF($Q$1=5,SUM($S$7:$S$8)*2, SUM($S$3:$S$10)*2)</f>
        <v>0</v>
      </c>
      <c r="T65" s="116">
        <f>Cen!F344</f>
        <v>20.202860000000001</v>
      </c>
      <c r="U65" s="116">
        <f>S65*T65</f>
        <v>0</v>
      </c>
    </row>
    <row r="66" spans="16:21" x14ac:dyDescent="0.25">
      <c r="P66" s="117"/>
      <c r="Q66" s="117"/>
    </row>
    <row r="67" spans="16:21" x14ac:dyDescent="0.25">
      <c r="P67" s="117"/>
      <c r="Q67" s="117"/>
      <c r="S67" s="74" t="str">
        <f>List!$B$97</f>
        <v>cena kování</v>
      </c>
      <c r="U67" s="346">
        <f>SUM(U3:U66)</f>
        <v>0</v>
      </c>
    </row>
    <row r="68" spans="16:21" x14ac:dyDescent="0.25">
      <c r="P68" s="117"/>
      <c r="Q68" s="117"/>
    </row>
    <row r="69" spans="16:21" x14ac:dyDescent="0.25">
      <c r="Q69" s="117"/>
    </row>
    <row r="84" spans="16:16" x14ac:dyDescent="0.25">
      <c r="P84" s="117" t="str">
        <f>List!B316&amp;"!"</f>
        <v>S0 a S1 pouze pro jmenovitou délku 270 a 300 mm!</v>
      </c>
    </row>
    <row r="85" spans="16:16" x14ac:dyDescent="0.25">
      <c r="P85" s="117" t="str">
        <f>List!B317&amp;"!"</f>
        <v>Pro výsuvy délky 270 a 300 mm vyberte jednotky S0 nebo S1!</v>
      </c>
    </row>
    <row r="86" spans="16:16" x14ac:dyDescent="0.25">
      <c r="P86" s="117" t="str">
        <f>List!B318&amp;"!"</f>
        <v>Počet jednotek L neodpovídá počtu korpusových lišt!</v>
      </c>
    </row>
    <row r="87" spans="16:16" x14ac:dyDescent="0.25">
      <c r="P87" s="117" t="str">
        <f>List!B319&amp;"!"</f>
        <v>Počet jednotek S neodpovídá počtu korpusových lišt!</v>
      </c>
    </row>
    <row r="88" spans="16:16" x14ac:dyDescent="0.25">
      <c r="P88" s="117" t="str">
        <f>List!B182&amp;"*"</f>
        <v>nelze*</v>
      </c>
    </row>
    <row r="89" spans="16:16" x14ac:dyDescent="0.25">
      <c r="P89" s="117" t="str">
        <f>List!B184&amp;"!"</f>
        <v>Pro výšku N nejsou jmenovité délky 400 a 550 mm v provedení Inox k dispozici!</v>
      </c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/>
      <c r="E106" s="838"/>
      <c r="F106" s="839"/>
      <c r="G106" s="721"/>
      <c r="H106" s="848"/>
      <c r="I106" s="849"/>
      <c r="J106" s="808"/>
      <c r="K106" s="730"/>
      <c r="L106" s="73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721"/>
      <c r="H107" s="848"/>
      <c r="I107" s="849"/>
      <c r="J107" s="808"/>
      <c r="K107" s="731"/>
      <c r="L107" s="731"/>
    </row>
    <row r="108" spans="1:14" ht="19.5" customHeight="1" thickBot="1" x14ac:dyDescent="0.3">
      <c r="A108" s="823"/>
      <c r="B108" s="835"/>
      <c r="C108" s="836"/>
      <c r="D108" s="837" t="s">
        <v>1422</v>
      </c>
      <c r="E108" s="838"/>
      <c r="F108" s="839"/>
      <c r="G108" s="721" t="s">
        <v>947</v>
      </c>
      <c r="H108" s="865" t="s">
        <v>950</v>
      </c>
      <c r="I108" s="866"/>
      <c r="J108" s="729" t="s">
        <v>984</v>
      </c>
      <c r="K108" s="731"/>
      <c r="L108" s="731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721" t="s">
        <v>948</v>
      </c>
      <c r="H109" s="865" t="s">
        <v>951</v>
      </c>
      <c r="I109" s="866"/>
      <c r="J109" s="846" t="s">
        <v>1023</v>
      </c>
      <c r="K109" s="847"/>
      <c r="L109" s="731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721"/>
      <c r="H110" s="848"/>
      <c r="I110" s="849"/>
      <c r="J110" s="732"/>
      <c r="K110" s="850"/>
      <c r="L110" s="850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12" ht="12.5" customHeight="1" x14ac:dyDescent="0.25">
      <c r="A113" s="823"/>
    </row>
    <row r="114" spans="1:12" ht="12.5" customHeight="1" x14ac:dyDescent="0.25">
      <c r="A114" s="823"/>
    </row>
    <row r="115" spans="1:12" ht="12.5" customHeight="1" x14ac:dyDescent="0.25">
      <c r="A115" s="823"/>
    </row>
    <row r="116" spans="1:12" ht="12.5" customHeight="1" x14ac:dyDescent="0.25">
      <c r="A116" s="823"/>
    </row>
    <row r="117" spans="1:12" ht="12.5" customHeight="1" x14ac:dyDescent="0.25">
      <c r="A117" s="823"/>
    </row>
    <row r="118" spans="1:12" x14ac:dyDescent="0.25">
      <c r="A118" s="823"/>
    </row>
    <row r="119" spans="1:12" x14ac:dyDescent="0.25">
      <c r="A119" s="823"/>
      <c r="L119" s="51"/>
    </row>
    <row r="120" spans="1:12" x14ac:dyDescent="0.25">
      <c r="A120" s="823"/>
      <c r="L120" s="251"/>
    </row>
    <row r="121" spans="1:12" x14ac:dyDescent="0.25">
      <c r="A121" s="823"/>
      <c r="L121" s="51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POMIEHBB5cQE0suJ5CTtEmW45JqdxaKUeMkp/51nsEj8iTFUyOwXWCd0uJQf37SO1Lu2Cj28BK766CvEbKoSwg==" saltValue="HqVqwtpcoqpABeFlnFuw1w==" spinCount="100000" sheet="1" objects="1" scenarios="1"/>
  <mergeCells count="19"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H108:I108"/>
    <mergeCell ref="H109:I109"/>
    <mergeCell ref="B104:C112"/>
    <mergeCell ref="D106:F107"/>
    <mergeCell ref="D108:F110"/>
    <mergeCell ref="J109:K109"/>
    <mergeCell ref="H110:I110"/>
    <mergeCell ref="K110:L110"/>
    <mergeCell ref="H111:L112"/>
  </mergeCells>
  <phoneticPr fontId="52" type="noConversion"/>
  <hyperlinks>
    <hyperlink ref="N3" location="Form!A1" tooltip=" " display="Form!A1" xr:uid="{00000000-0004-0000-0200-000000000000}"/>
    <hyperlink ref="N4" location="Menu!A1" tooltip=" " display="Menu!A1" xr:uid="{00000000-0004-0000-0200-000001000000}"/>
    <hyperlink ref="N7" location="Acs!A1" tooltip=" " display="Acs!A1" xr:uid="{00000000-0004-0000-0200-000002000000}"/>
    <hyperlink ref="N10" location="Sum!A1" tooltip=" " display="Sum!A1" xr:uid="{00000000-0004-0000-0200-000003000000}"/>
    <hyperlink ref="N8" location="SD!A1" tooltip=" " display="SD!A1" xr:uid="{00000000-0004-0000-0200-000004000000}"/>
    <hyperlink ref="N11" location="Ord!A1" tooltip=" " display="Ord!A1" xr:uid="{00000000-0004-0000-0200-000005000000}"/>
    <hyperlink ref="N9" location="AL!A1" tooltip=" " display="AL!A1" xr:uid="{00000000-0004-0000-0200-000006000000}"/>
    <hyperlink ref="N26" location="'7N400P'!A100" tooltip=" " display="'7N400P'!A100" xr:uid="{00000000-0004-0000-0200-000007000000}"/>
    <hyperlink ref="N111" location="'7N400P'!A1" tooltip=" " display="'7N400P'!A1" xr:uid="{00000000-0004-0000-02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8">
    <tabColor theme="5" tint="0.39997558519241921"/>
  </sheetPr>
  <dimension ref="A1:Y156"/>
  <sheetViews>
    <sheetView showGridLines="0" showRowColHeaders="0" showZeros="0" workbookViewId="0">
      <selection activeCell="N24" sqref="N24"/>
    </sheetView>
  </sheetViews>
  <sheetFormatPr defaultColWidth="9.1796875" defaultRowHeight="12.5" x14ac:dyDescent="0.25"/>
  <cols>
    <col min="1" max="1" width="3.54296875" style="2" customWidth="1"/>
    <col min="2" max="6" width="9.26953125" style="2" customWidth="1"/>
    <col min="7" max="7" width="7.1796875" style="286" customWidth="1"/>
    <col min="8" max="12" width="9.26953125" style="2" customWidth="1"/>
    <col min="13" max="13" width="5.7265625" style="2" customWidth="1"/>
    <col min="14" max="14" width="25.7265625" style="2" customWidth="1"/>
    <col min="15" max="15" width="3.81640625" style="2" hidden="1" customWidth="1"/>
    <col min="16" max="16" width="38.453125" style="2" hidden="1" customWidth="1"/>
    <col min="17" max="17" width="11.81640625" style="2" hidden="1" customWidth="1"/>
    <col min="18" max="18" width="8.1796875" style="2" hidden="1" customWidth="1"/>
    <col min="19" max="19" width="6.1796875" style="2" hidden="1" customWidth="1"/>
    <col min="20" max="20" width="9" style="2" hidden="1" customWidth="1"/>
    <col min="21" max="21" width="10.7265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75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5" ht="22.5" x14ac:dyDescent="0.45">
      <c r="A2" s="117"/>
      <c r="B2" s="117"/>
      <c r="C2" s="117"/>
      <c r="D2" s="117"/>
      <c r="E2" s="117"/>
      <c r="F2" s="117"/>
      <c r="G2" s="175"/>
      <c r="H2" s="117"/>
      <c r="I2" s="117"/>
      <c r="J2" s="117"/>
      <c r="K2" s="117"/>
      <c r="L2" s="118" t="str">
        <f>"SPACE-TOWER, "&amp;List!$B$64&amp;" 4xC/1xM"</f>
        <v>SPACE-TOWER, sestava 4xC/1xM</v>
      </c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8" thickBot="1" x14ac:dyDescent="0.4">
      <c r="A3" s="117"/>
      <c r="B3" s="117"/>
      <c r="C3" s="117"/>
      <c r="D3" s="117"/>
      <c r="E3" s="117"/>
      <c r="F3" s="117"/>
      <c r="G3" s="175"/>
      <c r="H3" s="117"/>
      <c r="I3" s="119"/>
      <c r="J3" s="119"/>
      <c r="K3" s="119"/>
      <c r="L3" s="157" t="str">
        <f>List!$B$72</f>
        <v>přední reling</v>
      </c>
      <c r="M3" s="117"/>
      <c r="N3" s="149" t="str">
        <f>" "&amp;List!$B$13</f>
        <v xml:space="preserve"> Úvod</v>
      </c>
      <c r="O3" s="117"/>
      <c r="P3" s="389" t="str">
        <f>Cen!A51</f>
        <v>Bočnice M 450mm, Orion šedá</v>
      </c>
      <c r="Q3" s="389" t="str">
        <f>Cen!B51</f>
        <v>770M4502S</v>
      </c>
      <c r="R3" s="389" t="str">
        <f>Cen!C111</f>
        <v>OG-M</v>
      </c>
      <c r="S3" s="416">
        <f>SUM(D26, J26, D34, J34)</f>
        <v>0</v>
      </c>
      <c r="T3" s="417">
        <f>Cen!F51</f>
        <v>588.37465999999995</v>
      </c>
      <c r="U3" s="390">
        <f t="shared" ref="U3:U10" si="0">S3*T3</f>
        <v>0</v>
      </c>
      <c r="W3" s="798">
        <f>Form!$R$14</f>
        <v>1</v>
      </c>
      <c r="Y3" s="796">
        <v>1</v>
      </c>
    </row>
    <row r="4" spans="1:25" ht="13" x14ac:dyDescent="0.3">
      <c r="A4" s="117"/>
      <c r="B4" s="117"/>
      <c r="C4" s="117"/>
      <c r="D4" s="117"/>
      <c r="E4" s="117"/>
      <c r="F4" s="117"/>
      <c r="G4" s="175"/>
      <c r="H4" s="117"/>
      <c r="I4" s="120" t="str">
        <f>List!$B$80&amp;":"</f>
        <v>bočnice:</v>
      </c>
      <c r="J4" s="120"/>
      <c r="K4" s="120" t="s">
        <v>719</v>
      </c>
      <c r="L4" s="120"/>
      <c r="M4" s="117"/>
      <c r="N4" s="150" t="str">
        <f>" "&amp;List!$B$4</f>
        <v xml:space="preserve"> Výběr zásuvek a výsuvů</v>
      </c>
      <c r="O4" s="117"/>
      <c r="P4" s="389" t="str">
        <f>Cen!A56</f>
        <v>Bočnice M 500mm, Orion šedá</v>
      </c>
      <c r="Q4" s="389" t="str">
        <f>Cen!B56</f>
        <v>770M5002S</v>
      </c>
      <c r="R4" s="389" t="str">
        <f>Cen!C116</f>
        <v>OG-M</v>
      </c>
      <c r="S4" s="416">
        <f>SUM(E26, K26, E34, K34)</f>
        <v>0</v>
      </c>
      <c r="T4" s="417">
        <f>Cen!F56</f>
        <v>595.274</v>
      </c>
      <c r="U4" s="390">
        <f t="shared" si="0"/>
        <v>0</v>
      </c>
      <c r="W4" s="2" t="s">
        <v>1399</v>
      </c>
      <c r="Y4" s="2" t="s">
        <v>1397</v>
      </c>
    </row>
    <row r="5" spans="1:25" x14ac:dyDescent="0.25">
      <c r="A5" s="117"/>
      <c r="B5" s="117"/>
      <c r="C5" s="117"/>
      <c r="D5" s="117"/>
      <c r="E5" s="117"/>
      <c r="F5" s="117"/>
      <c r="G5" s="175"/>
      <c r="H5" s="117"/>
      <c r="I5" s="119" t="str">
        <f>List!$B$27&amp;":"</f>
        <v>barva:</v>
      </c>
      <c r="J5" s="119"/>
      <c r="K5" s="119" t="str">
        <f>Form!$P$2</f>
        <v>Orion šedá (OG-M)</v>
      </c>
      <c r="L5" s="119"/>
      <c r="M5" s="117"/>
      <c r="O5" s="117"/>
      <c r="P5" s="389" t="str">
        <f>Cen!A61</f>
        <v>Bočnice M 550mm, Orion šedá</v>
      </c>
      <c r="Q5" s="389" t="str">
        <f>Cen!B61</f>
        <v>770M5502S</v>
      </c>
      <c r="R5" s="389" t="str">
        <f>Cen!C121</f>
        <v>OG-M</v>
      </c>
      <c r="S5" s="416">
        <f>SUM(F26, L26, F34, L34)</f>
        <v>0</v>
      </c>
      <c r="T5" s="417">
        <f>Cen!F61</f>
        <v>665.94478000000004</v>
      </c>
      <c r="U5" s="390">
        <f t="shared" si="0"/>
        <v>0</v>
      </c>
      <c r="Y5" s="2" t="s">
        <v>228</v>
      </c>
    </row>
    <row r="6" spans="1:25" x14ac:dyDescent="0.25">
      <c r="A6" s="117"/>
      <c r="B6" s="117"/>
      <c r="C6" s="117"/>
      <c r="D6" s="117"/>
      <c r="E6" s="117"/>
      <c r="F6" s="117"/>
      <c r="G6" s="175"/>
      <c r="H6" s="117"/>
      <c r="I6" s="607" t="str">
        <f>List!$B$81&amp;":"</f>
        <v>provedení:</v>
      </c>
      <c r="J6" s="120"/>
      <c r="K6" s="119" t="s">
        <v>772</v>
      </c>
      <c r="L6" s="120"/>
      <c r="M6" s="117"/>
      <c r="N6" s="2" t="str">
        <f>List!$B$12&amp;":"</f>
        <v>Pokračovat na:</v>
      </c>
      <c r="O6" s="117"/>
      <c r="P6" s="352" t="str">
        <f>Cen!A66</f>
        <v>Bočnice M 600mm, Orion šedá</v>
      </c>
      <c r="Q6" s="352" t="str">
        <f>Cen!B66</f>
        <v>770M6002S</v>
      </c>
      <c r="R6" s="367" t="str">
        <f>Cen!C126</f>
        <v>OG-M</v>
      </c>
      <c r="S6" s="368"/>
      <c r="T6" s="354">
        <f>Cen!F66</f>
        <v>754.21731</v>
      </c>
      <c r="U6" s="355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75"/>
      <c r="H7" s="117"/>
      <c r="I7" s="119"/>
      <c r="J7" s="120"/>
      <c r="K7" s="119"/>
      <c r="L7" s="120"/>
      <c r="M7" s="117"/>
      <c r="N7" s="149" t="str">
        <f>" "&amp;List!$B$5</f>
        <v xml:space="preserve"> Výběr doplňků</v>
      </c>
      <c r="O7" s="117"/>
      <c r="P7" s="389" t="str">
        <f>Cen!A176</f>
        <v>Bočnice C free, 450mm, Orion šedá</v>
      </c>
      <c r="Q7" s="389" t="str">
        <f>Cen!B176</f>
        <v>780C4502S</v>
      </c>
      <c r="R7" s="389" t="str">
        <f>Cen!C131</f>
        <v>OG-M</v>
      </c>
      <c r="S7" s="416">
        <f>SUM(D26, J26, D34, J34)*4</f>
        <v>0</v>
      </c>
      <c r="T7" s="417">
        <f>Cen!F176</f>
        <v>971.33302000000003</v>
      </c>
      <c r="U7" s="258">
        <f t="shared" si="0"/>
        <v>0</v>
      </c>
    </row>
    <row r="8" spans="1:25" ht="13" thickBot="1" x14ac:dyDescent="0.3">
      <c r="A8" s="117"/>
      <c r="B8" s="117"/>
      <c r="C8" s="117"/>
      <c r="D8" s="117"/>
      <c r="E8" s="117"/>
      <c r="F8" s="117"/>
      <c r="G8" s="175"/>
      <c r="H8" s="117"/>
      <c r="I8" s="120" t="str">
        <f>List!$B$83&amp;":"</f>
        <v>provedení dveří:</v>
      </c>
      <c r="J8" s="120"/>
      <c r="K8" s="120" t="str">
        <f>Form!S14</f>
        <v>Standardní materiály</v>
      </c>
      <c r="L8" s="120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Cen!C136</f>
        <v>OG-M</v>
      </c>
      <c r="S8" s="416">
        <f>SUM(E26, K26, E34, K34)*4</f>
        <v>0</v>
      </c>
      <c r="T8" s="261">
        <f>Cen!F181</f>
        <v>978.39665000000002</v>
      </c>
      <c r="U8" s="258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75"/>
      <c r="H9" s="117"/>
      <c r="I9" s="120" t="str">
        <f>List!$B$97&amp;":"</f>
        <v>cena kování:</v>
      </c>
      <c r="J9" s="120"/>
      <c r="K9" s="120"/>
      <c r="L9" s="440">
        <f>$U$98</f>
        <v>0</v>
      </c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Cen!C141</f>
        <v>OG-M</v>
      </c>
      <c r="S9" s="416">
        <f>SUM(F26, L26, F34, L34)*4</f>
        <v>0</v>
      </c>
      <c r="T9" s="261">
        <f>Cen!F186</f>
        <v>1034.8882699999999</v>
      </c>
      <c r="U9" s="258">
        <f t="shared" si="0"/>
        <v>0</v>
      </c>
    </row>
    <row r="10" spans="1:25" ht="13" thickBot="1" x14ac:dyDescent="0.3">
      <c r="A10" s="117"/>
      <c r="B10" s="117"/>
      <c r="C10" s="117"/>
      <c r="D10" s="117"/>
      <c r="E10" s="117"/>
      <c r="F10" s="117"/>
      <c r="G10" s="175"/>
      <c r="H10" s="117"/>
      <c r="I10" s="254"/>
      <c r="J10" s="254"/>
      <c r="K10" s="287"/>
      <c r="L10" s="287"/>
      <c r="M10" s="117"/>
      <c r="N10" s="150" t="str">
        <f>" "&amp;List!$B$18</f>
        <v xml:space="preserve"> Souhrn</v>
      </c>
      <c r="O10" s="117"/>
      <c r="P10" s="367" t="str">
        <f>Cen!A191</f>
        <v>Bočnice C free, 600mm, Orion šedá</v>
      </c>
      <c r="Q10" s="367" t="str">
        <f>Cen!B191</f>
        <v>780C6002S</v>
      </c>
      <c r="R10" s="352" t="str">
        <f>Cen!C146</f>
        <v>OG-M</v>
      </c>
      <c r="S10" s="353"/>
      <c r="T10" s="369">
        <f>Cen!F191</f>
        <v>1123.16077</v>
      </c>
      <c r="U10" s="370">
        <f t="shared" si="0"/>
        <v>0</v>
      </c>
    </row>
    <row r="11" spans="1:25" ht="13" x14ac:dyDescent="0.25">
      <c r="A11" s="117"/>
      <c r="B11" s="117"/>
      <c r="C11" s="117"/>
      <c r="D11" s="117"/>
      <c r="E11" s="117"/>
      <c r="F11" s="117"/>
      <c r="G11" s="175"/>
      <c r="H11" s="117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x14ac:dyDescent="0.25">
      <c r="A12" s="117"/>
      <c r="B12" s="117"/>
      <c r="C12" s="117"/>
      <c r="D12" s="117"/>
      <c r="E12" s="117"/>
      <c r="F12" s="117"/>
      <c r="G12" s="175"/>
      <c r="H12" s="117"/>
      <c r="J12" s="286"/>
      <c r="K12" s="286"/>
      <c r="L12" s="286"/>
      <c r="M12" s="117"/>
      <c r="N12" s="117"/>
      <c r="O12" s="117"/>
      <c r="P12" s="371" t="str">
        <f>Cen!A241</f>
        <v>Korpusové lišty BLUMOTION S, 270mm, 40kg</v>
      </c>
      <c r="Q12" s="371" t="str">
        <f>Cen!B241</f>
        <v>750.2701S</v>
      </c>
      <c r="R12" s="371" t="str">
        <f>Cen!C241</f>
        <v>ZN</v>
      </c>
      <c r="S12" s="372"/>
      <c r="T12" s="373">
        <f>Cen!F241</f>
        <v>695.93676999999991</v>
      </c>
      <c r="U12" s="373">
        <f t="shared" ref="U12:U23" si="1">S12*T12</f>
        <v>0</v>
      </c>
    </row>
    <row r="13" spans="1:25" ht="13" x14ac:dyDescent="0.3">
      <c r="A13" s="117"/>
      <c r="B13" s="117"/>
      <c r="C13" s="117"/>
      <c r="D13" s="117"/>
      <c r="E13" s="117"/>
      <c r="F13" s="117"/>
      <c r="G13" s="175"/>
      <c r="H13" s="117"/>
      <c r="I13" s="117" t="str">
        <f>"  "&amp;List!$B$149&amp;":"</f>
        <v xml:space="preserve">  Přířezy prvků:</v>
      </c>
      <c r="J13" s="288"/>
      <c r="K13" s="288"/>
      <c r="L13" s="288"/>
      <c r="M13" s="117"/>
      <c r="N13" s="117"/>
      <c r="O13" s="117"/>
      <c r="P13" s="371" t="str">
        <f>Cen!A242</f>
        <v>Korpusové lišty BLUMOTION S, 300mm, 40kg</v>
      </c>
      <c r="Q13" s="371" t="str">
        <f>Cen!B242</f>
        <v>750.3001S</v>
      </c>
      <c r="R13" s="371" t="str">
        <f>Cen!C242</f>
        <v>ZN</v>
      </c>
      <c r="S13" s="372"/>
      <c r="T13" s="373">
        <f>Cen!F242</f>
        <v>695.93676999999991</v>
      </c>
      <c r="U13" s="373">
        <f t="shared" si="1"/>
        <v>0</v>
      </c>
    </row>
    <row r="14" spans="1:25" x14ac:dyDescent="0.25">
      <c r="A14" s="117"/>
      <c r="B14" s="117"/>
      <c r="C14" s="117"/>
      <c r="D14" s="117"/>
      <c r="E14" s="117"/>
      <c r="F14" s="117"/>
      <c r="G14" s="175"/>
      <c r="H14" s="117"/>
      <c r="I14" s="117" t="str">
        <f>List!$C$153&amp;":   LW - 126"</f>
        <v>Přední díl:   LW - 126</v>
      </c>
      <c r="J14" s="285"/>
      <c r="K14" s="285"/>
      <c r="L14" s="285"/>
      <c r="M14" s="117"/>
      <c r="N14" s="117"/>
      <c r="O14" s="117"/>
      <c r="P14" s="371" t="str">
        <f>Cen!A243</f>
        <v>Korpusové lišty BLUMOTION S, 350mm, 40kg</v>
      </c>
      <c r="Q14" s="371" t="str">
        <f>Cen!B243</f>
        <v>750.3501S</v>
      </c>
      <c r="R14" s="371" t="str">
        <f>Cen!C243</f>
        <v>ZN</v>
      </c>
      <c r="S14" s="372"/>
      <c r="T14" s="373">
        <f>Cen!F243</f>
        <v>695.93676999999991</v>
      </c>
      <c r="U14" s="373">
        <f t="shared" si="1"/>
        <v>0</v>
      </c>
    </row>
    <row r="15" spans="1:25" ht="13" x14ac:dyDescent="0.3">
      <c r="A15" s="117"/>
      <c r="B15" s="117"/>
      <c r="C15" s="117"/>
      <c r="D15" s="117"/>
      <c r="E15" s="117"/>
      <c r="F15" s="117"/>
      <c r="G15" s="175"/>
      <c r="H15" s="117"/>
      <c r="I15" s="117" t="str">
        <f>List!$C$154&amp;":   LW - 90"</f>
        <v>Příčný reling:   LW - 90</v>
      </c>
      <c r="J15" s="283"/>
      <c r="K15" s="283"/>
      <c r="L15" s="283"/>
      <c r="M15" s="117"/>
      <c r="N15" s="117"/>
      <c r="O15" s="117"/>
      <c r="P15" s="371" t="str">
        <f>Cen!A244</f>
        <v>Korpusové lišty BLUMOTION S, 400mm, 40kg</v>
      </c>
      <c r="Q15" s="371" t="str">
        <f>Cen!B244</f>
        <v>750.4001S</v>
      </c>
      <c r="R15" s="371" t="str">
        <f>Cen!C244</f>
        <v>ZN</v>
      </c>
      <c r="S15" s="372"/>
      <c r="T15" s="373">
        <f>Cen!F244</f>
        <v>704.8</v>
      </c>
      <c r="U15" s="373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75"/>
      <c r="H16" s="117"/>
      <c r="I16" s="175"/>
      <c r="J16" s="175"/>
      <c r="K16" s="175"/>
      <c r="L16" s="175"/>
      <c r="M16" s="117"/>
      <c r="N16" s="117"/>
      <c r="O16" s="117"/>
      <c r="P16" s="418" t="str">
        <f>Cen!A245</f>
        <v>Korpusové lišty BLUMOTION S, 450mm, 40kg</v>
      </c>
      <c r="Q16" s="418" t="str">
        <f>Cen!B245</f>
        <v>750.4501S</v>
      </c>
      <c r="R16" s="418" t="str">
        <f>Cen!C245</f>
        <v>ZN</v>
      </c>
      <c r="S16" s="377">
        <f>IF($D$28&gt;0, $D$28*$D$26, 4*$D$26)+IF($J$28&gt;0, $J$28*$J$26, 2*$J$26)+V45</f>
        <v>0</v>
      </c>
      <c r="T16" s="419">
        <f>Cen!F245</f>
        <v>697.06186000000002</v>
      </c>
      <c r="U16" s="779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75"/>
      <c r="H17" s="117"/>
      <c r="I17" s="289"/>
      <c r="J17" s="797" t="str">
        <f>List!B310&amp;":"</f>
        <v>Otevírání dveří:</v>
      </c>
      <c r="K17" s="289"/>
      <c r="L17" s="289"/>
      <c r="M17" s="117"/>
      <c r="N17" s="117"/>
      <c r="O17" s="117"/>
      <c r="P17" s="418" t="str">
        <f>Cen!A246</f>
        <v>Korpusové lišty BLUMOTION S, 450mm, 70kg</v>
      </c>
      <c r="Q17" s="418" t="str">
        <f>Cen!B246</f>
        <v>753.4501S</v>
      </c>
      <c r="R17" s="418" t="str">
        <f>Cen!C246</f>
        <v>ZN</v>
      </c>
      <c r="S17" s="377">
        <f>IF($D$28&gt;0, $D$29*$D$26, 1*$D$26)+IF($J$28&gt;0, $J$29*$J$26, 3*$J$26)+V46</f>
        <v>0</v>
      </c>
      <c r="T17" s="419">
        <f>Cen!F246</f>
        <v>881.76589000000013</v>
      </c>
      <c r="U17" s="779">
        <f t="shared" si="1"/>
        <v>0</v>
      </c>
    </row>
    <row r="18" spans="1:21" ht="12" customHeight="1" x14ac:dyDescent="0.25">
      <c r="A18" s="117"/>
      <c r="C18" s="117"/>
      <c r="D18" s="117"/>
      <c r="E18" s="117"/>
      <c r="F18" s="117"/>
      <c r="G18" s="467"/>
      <c r="H18" s="117"/>
      <c r="I18" s="285"/>
      <c r="J18" s="285"/>
      <c r="K18" s="285"/>
      <c r="L18" s="285"/>
      <c r="M18" s="117"/>
      <c r="N18" s="117"/>
      <c r="O18" s="117"/>
      <c r="P18" s="205" t="str">
        <f>Cen!A247</f>
        <v>Korpusové lišty BLUMOTION S, 500mm, 40kg</v>
      </c>
      <c r="Q18" s="205" t="str">
        <f>Cen!B247</f>
        <v>750.5001S</v>
      </c>
      <c r="R18" s="205" t="str">
        <f>Cen!C247</f>
        <v>ZN</v>
      </c>
      <c r="S18" s="377">
        <f>IF($E$28&gt;0, $E$28*$E$26, 4*$E$26)+IF($K$28&gt;0, $K$28*$K$26, 2*$K$26)+V47</f>
        <v>0</v>
      </c>
      <c r="T18" s="256">
        <f>Cen!F247</f>
        <v>705.71905000000004</v>
      </c>
      <c r="U18" s="780">
        <f t="shared" si="1"/>
        <v>0</v>
      </c>
    </row>
    <row r="19" spans="1:21" ht="14.5" x14ac:dyDescent="0.35">
      <c r="A19" s="117"/>
      <c r="B19" s="691" t="str">
        <f>"   "&amp;List!B305</f>
        <v xml:space="preserve">   Zadejte počty skříní podle šířky korpusu a délky výsuvů</v>
      </c>
      <c r="C19" s="704"/>
      <c r="D19" s="705"/>
      <c r="E19" s="705"/>
      <c r="F19" s="705"/>
      <c r="G19" s="704"/>
      <c r="H19" s="704"/>
      <c r="I19" s="704"/>
      <c r="J19" s="705"/>
      <c r="K19" s="705"/>
      <c r="L19" s="705"/>
      <c r="M19" s="117"/>
      <c r="N19" s="117"/>
      <c r="O19" s="117"/>
      <c r="P19" s="205" t="str">
        <f>Cen!A248</f>
        <v>Korpusové lišty BLUMOTION S, 500mm, 70kg</v>
      </c>
      <c r="Q19" s="205" t="str">
        <f>Cen!B248</f>
        <v>753.5001S</v>
      </c>
      <c r="R19" s="205" t="str">
        <f>Cen!C248</f>
        <v>ZN</v>
      </c>
      <c r="S19" s="377">
        <f>IF($E$28&gt;0, $E$29*$E$26, 1*$E$26)+IF($K$28&gt;0, $K$29*$K$26, 3*$K$26)+V48</f>
        <v>0</v>
      </c>
      <c r="T19" s="256">
        <f>Cen!F248</f>
        <v>890.62918000000002</v>
      </c>
      <c r="U19" s="780">
        <f t="shared" si="1"/>
        <v>0</v>
      </c>
    </row>
    <row r="20" spans="1:21" ht="14.5" x14ac:dyDescent="0.35">
      <c r="A20" s="117"/>
      <c r="B20" s="691" t="str">
        <f>"   "&amp;List!B309</f>
        <v xml:space="preserve">   Zadejte počet korpusových lišt, pokud chcete jiné, než přednastavené složení</v>
      </c>
      <c r="C20" s="704"/>
      <c r="D20" s="705"/>
      <c r="E20" s="705"/>
      <c r="F20" s="705"/>
      <c r="G20" s="704"/>
      <c r="H20" s="704"/>
      <c r="I20" s="704"/>
      <c r="J20" s="705"/>
      <c r="K20" s="705"/>
      <c r="L20" s="705"/>
      <c r="M20" s="117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377">
        <f>IF($F$28&gt;0, $F$28*$F$26, 4*$F$26)+IF($L$28&gt;0, $L$28*$L$26, 2*$L$26)+V49</f>
        <v>0</v>
      </c>
      <c r="T20" s="256">
        <f>Cen!F249</f>
        <v>769.83820000000003</v>
      </c>
      <c r="U20" s="780">
        <f t="shared" si="1"/>
        <v>0</v>
      </c>
    </row>
    <row r="21" spans="1:21" ht="14.5" x14ac:dyDescent="0.35">
      <c r="A21" s="117"/>
      <c r="B21" s="691" t="str">
        <f>"         "&amp;List!B307</f>
        <v xml:space="preserve">         Zadejte počty 40kg korpusových lišt, 70kg lišty se dopočítají</v>
      </c>
      <c r="C21" s="704"/>
      <c r="D21" s="705"/>
      <c r="E21" s="705"/>
      <c r="F21" s="705"/>
      <c r="G21" s="704"/>
      <c r="H21" s="704"/>
      <c r="I21" s="704"/>
      <c r="J21" s="705"/>
      <c r="K21" s="705"/>
      <c r="L21" s="705"/>
      <c r="M21" s="117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377">
        <f>IF($F$28&gt;0, $F$29*$F$26, 1*$F$26)+IF($L$28&gt;0, $L$29*$L$26, 3*$L$26)+V50</f>
        <v>0</v>
      </c>
      <c r="T21" s="256">
        <f>Cen!F250</f>
        <v>937.94550000000004</v>
      </c>
      <c r="U21" s="780">
        <f t="shared" si="1"/>
        <v>0</v>
      </c>
    </row>
    <row r="22" spans="1:21" ht="9" customHeight="1" x14ac:dyDescent="0.35">
      <c r="A22" s="117"/>
      <c r="B22" s="24"/>
      <c r="C22" s="24"/>
      <c r="D22"/>
      <c r="E22"/>
      <c r="F22"/>
      <c r="G22" s="27"/>
      <c r="H22" s="24"/>
      <c r="I22" s="24"/>
      <c r="J22"/>
      <c r="K22"/>
      <c r="L22"/>
      <c r="M22" s="117"/>
      <c r="N22" s="117"/>
      <c r="O22" s="117"/>
      <c r="P22" s="356" t="str">
        <f>Cen!A251</f>
        <v>Korpusové lišty BLUMOTION S, 600mm, 40kg</v>
      </c>
      <c r="Q22" s="356" t="str">
        <f>Cen!B251</f>
        <v>750.6001S</v>
      </c>
      <c r="R22" s="356" t="str">
        <f>Cen!C251</f>
        <v>ZN</v>
      </c>
      <c r="S22" s="420"/>
      <c r="T22" s="358">
        <f>Cen!F251</f>
        <v>865.24247000000003</v>
      </c>
      <c r="U22" s="358">
        <f t="shared" si="1"/>
        <v>0</v>
      </c>
    </row>
    <row r="23" spans="1:21" ht="19.5" customHeight="1" x14ac:dyDescent="0.35">
      <c r="A23"/>
      <c r="B23" s="339" t="str">
        <f>"▼   "&amp;List!$B$115&amp;" KB 450 mm"</f>
        <v>▼   Šířka korpusu KB 450 mm</v>
      </c>
      <c r="C23" s="51"/>
      <c r="H23" s="339" t="str">
        <f>"▼   "&amp;List!$B$115&amp;" KB 600 mm"</f>
        <v>▼   Šířka korpusu KB 600 mm</v>
      </c>
      <c r="I23" s="285"/>
      <c r="J23" s="285"/>
      <c r="K23" s="285"/>
      <c r="L23" s="285"/>
      <c r="M23"/>
      <c r="N23"/>
      <c r="O23" s="117"/>
      <c r="P23" s="356" t="str">
        <f>Cen!A252</f>
        <v>Korpusové lišty BLUMOTION S, 600mm, 70kg</v>
      </c>
      <c r="Q23" s="356" t="str">
        <f>Cen!B252</f>
        <v>753.6001S</v>
      </c>
      <c r="R23" s="356" t="str">
        <f>Cen!C252</f>
        <v>ZN</v>
      </c>
      <c r="S23" s="420"/>
      <c r="T23" s="358">
        <f>Cen!F252</f>
        <v>1033.34979</v>
      </c>
      <c r="U23" s="358">
        <f t="shared" si="1"/>
        <v>0</v>
      </c>
    </row>
    <row r="24" spans="1:21" ht="22.5" customHeight="1" x14ac:dyDescent="0.35">
      <c r="A24"/>
      <c r="B24" s="707" t="s">
        <v>991</v>
      </c>
      <c r="C24" s="7"/>
      <c r="H24" s="707" t="s">
        <v>991</v>
      </c>
      <c r="I24" s="285"/>
      <c r="J24" s="285"/>
      <c r="K24" s="285"/>
      <c r="L24" s="285"/>
      <c r="M24"/>
      <c r="N24"/>
      <c r="O24" s="117"/>
      <c r="P24" s="205"/>
      <c r="Q24" s="205"/>
      <c r="R24" s="205"/>
      <c r="S24" s="255"/>
      <c r="T24" s="256"/>
      <c r="U24" s="256"/>
    </row>
    <row r="25" spans="1:21" ht="14" x14ac:dyDescent="0.3">
      <c r="A25" s="117"/>
      <c r="B25" s="6"/>
      <c r="C25" s="315" t="str">
        <f>List!$B$118&amp;":"</f>
        <v>Jmenovitá délka:</v>
      </c>
      <c r="D25" s="303">
        <v>450</v>
      </c>
      <c r="E25" s="421">
        <v>500</v>
      </c>
      <c r="F25" s="302">
        <v>550</v>
      </c>
      <c r="G25" s="311"/>
      <c r="H25" s="6"/>
      <c r="I25" s="365" t="str">
        <f>List!$B$118&amp;":"</f>
        <v>Jmenovitá délka:</v>
      </c>
      <c r="J25" s="309">
        <v>450</v>
      </c>
      <c r="K25" s="421">
        <v>500</v>
      </c>
      <c r="L25" s="302">
        <v>550</v>
      </c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366"/>
      <c r="C26" s="315" t="str">
        <f>List!$B$102&amp;":"</f>
        <v>Počet skříní:</v>
      </c>
      <c r="D26" s="312"/>
      <c r="E26" s="312"/>
      <c r="F26" s="363"/>
      <c r="G26" s="768"/>
      <c r="H26" s="366"/>
      <c r="I26" s="315" t="str">
        <f>List!$B$102&amp;":"</f>
        <v>Počet skříní:</v>
      </c>
      <c r="J26" s="312"/>
      <c r="K26" s="312"/>
      <c r="L26" s="313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9.5" customHeight="1" x14ac:dyDescent="0.35">
      <c r="A27" s="117"/>
      <c r="B27" s="364" t="str">
        <f>List!$B$129</f>
        <v>Korpusové lišty</v>
      </c>
      <c r="C27" s="315"/>
      <c r="D27" s="24"/>
      <c r="E27" s="24"/>
      <c r="F27" s="24"/>
      <c r="G27" s="769"/>
      <c r="H27" s="364" t="str">
        <f>List!$B$129</f>
        <v>Korpusové lišty</v>
      </c>
      <c r="I27" s="315"/>
      <c r="J27"/>
      <c r="K27"/>
      <c r="L2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5" customHeight="1" thickBot="1" x14ac:dyDescent="0.4">
      <c r="A28" s="117"/>
      <c r="B28" s="292" t="s">
        <v>432</v>
      </c>
      <c r="C28" s="376" t="s">
        <v>708</v>
      </c>
      <c r="D28" s="379"/>
      <c r="E28" s="379"/>
      <c r="F28" s="380"/>
      <c r="G28" s="768"/>
      <c r="H28" s="292" t="s">
        <v>432</v>
      </c>
      <c r="I28" s="293" t="str">
        <f>"3 ks*"</f>
        <v>3 ks*</v>
      </c>
      <c r="J28" s="381"/>
      <c r="K28" s="381"/>
      <c r="L28" s="382"/>
      <c r="M28"/>
      <c r="N28" s="117"/>
      <c r="O28" s="117"/>
      <c r="P28" s="205"/>
      <c r="Q28" s="205"/>
      <c r="R28" s="205"/>
      <c r="S28" s="255"/>
      <c r="T28" s="256"/>
      <c r="U28" s="256"/>
    </row>
    <row r="29" spans="1:21" ht="15" customHeight="1" x14ac:dyDescent="0.35">
      <c r="A29" s="117"/>
      <c r="B29" s="296" t="s">
        <v>433</v>
      </c>
      <c r="C29" s="374" t="s">
        <v>709</v>
      </c>
      <c r="D29" s="378">
        <f>IF(D28&gt;0, IF(D28&gt;5,0, 5-D28),0)</f>
        <v>0</v>
      </c>
      <c r="E29" s="378">
        <f t="shared" ref="E29:F29" si="2">IF(E28&gt;0, IF(E28&gt;5,0, 5-E28),0)</f>
        <v>0</v>
      </c>
      <c r="F29" s="702">
        <f t="shared" si="2"/>
        <v>0</v>
      </c>
      <c r="G29" s="768"/>
      <c r="H29" s="296" t="s">
        <v>433</v>
      </c>
      <c r="I29" s="374" t="str">
        <f>"2 ks*"</f>
        <v>2 ks*</v>
      </c>
      <c r="J29" s="378">
        <f>IF(J28&gt;0, IF(J28&gt;5,0, 5-J28),0)</f>
        <v>0</v>
      </c>
      <c r="K29" s="378">
        <f t="shared" ref="K29:L29" si="3">IF(K28&gt;0, IF(K28&gt;5,0, 5-K28),0)</f>
        <v>0</v>
      </c>
      <c r="L29" s="702">
        <f t="shared" si="3"/>
        <v>0</v>
      </c>
      <c r="M29"/>
      <c r="N29" s="117"/>
      <c r="O29" s="117"/>
      <c r="P29" s="205"/>
      <c r="Q29" s="205"/>
      <c r="R29" s="205"/>
      <c r="S29" s="255"/>
      <c r="T29" s="256"/>
      <c r="U29" s="256"/>
    </row>
    <row r="30" spans="1:21" ht="13.5" customHeight="1" x14ac:dyDescent="0.35">
      <c r="A30" s="117"/>
      <c r="C30"/>
      <c r="D30" s="701" t="str">
        <f>IF(D28&gt;5,"Max. 5!"," ")</f>
        <v xml:space="preserve"> </v>
      </c>
      <c r="E30" s="701" t="str">
        <f t="shared" ref="E30:F30" si="4">IF(E28&gt;5,"Max. 5!"," ")</f>
        <v xml:space="preserve"> </v>
      </c>
      <c r="F30" s="701" t="str">
        <f t="shared" si="4"/>
        <v xml:space="preserve"> </v>
      </c>
      <c r="G30" s="769"/>
      <c r="H30"/>
      <c r="I30"/>
      <c r="J30" s="701" t="str">
        <f>IF(J28&gt;5,"Max. 5!"," ")</f>
        <v xml:space="preserve"> </v>
      </c>
      <c r="K30" s="701" t="str">
        <f t="shared" ref="K30:L30" si="5">IF(K28&gt;5,"Max. 5!"," ")</f>
        <v xml:space="preserve"> </v>
      </c>
      <c r="L30" s="701" t="str">
        <f t="shared" si="5"/>
        <v xml:space="preserve"> </v>
      </c>
      <c r="M30"/>
      <c r="N30" s="117"/>
      <c r="O30" s="117"/>
      <c r="P30" s="205"/>
      <c r="Q30" s="205"/>
      <c r="R30" s="205"/>
      <c r="S30" s="255"/>
      <c r="T30" s="256"/>
      <c r="U30" s="256"/>
    </row>
    <row r="31" spans="1:21" ht="9" customHeight="1" x14ac:dyDescent="0.35">
      <c r="A31" s="175"/>
      <c r="G31" s="769"/>
      <c r="H31" s="706"/>
      <c r="I31" s="706"/>
      <c r="J31" s="706"/>
      <c r="K31" s="706"/>
      <c r="L31" s="706"/>
      <c r="M31" s="117"/>
      <c r="N31" s="117"/>
      <c r="O31" s="117"/>
      <c r="P31" s="205"/>
      <c r="Q31" s="205"/>
      <c r="R31" s="205"/>
      <c r="S31" s="255"/>
      <c r="T31" s="256"/>
      <c r="U31" s="256"/>
    </row>
    <row r="32" spans="1:21" ht="15.75" customHeight="1" x14ac:dyDescent="0.25">
      <c r="A32" s="175"/>
      <c r="B32" s="307" t="s">
        <v>992</v>
      </c>
      <c r="C32" s="7"/>
      <c r="G32" s="175"/>
      <c r="H32" s="307" t="s">
        <v>992</v>
      </c>
      <c r="I32" s="285"/>
      <c r="J32" s="285"/>
      <c r="K32" s="285"/>
      <c r="L32" s="285"/>
      <c r="M32" s="117"/>
      <c r="N32" s="117"/>
      <c r="O32" s="117"/>
      <c r="P32" s="205"/>
      <c r="Q32" s="205"/>
      <c r="R32" s="205"/>
      <c r="S32" s="255"/>
      <c r="T32" s="256"/>
      <c r="U32" s="256"/>
    </row>
    <row r="33" spans="1:22" ht="15" customHeight="1" x14ac:dyDescent="0.3">
      <c r="A33" s="175"/>
      <c r="B33" s="6"/>
      <c r="C33" s="315" t="str">
        <f>List!$B$118&amp;":"</f>
        <v>Jmenovitá délka:</v>
      </c>
      <c r="D33" s="303">
        <v>450</v>
      </c>
      <c r="E33" s="421">
        <v>500</v>
      </c>
      <c r="F33" s="302">
        <v>550</v>
      </c>
      <c r="G33" s="311"/>
      <c r="H33" s="6"/>
      <c r="I33" s="365" t="str">
        <f>List!$B$118&amp;":"</f>
        <v>Jmenovitá délka:</v>
      </c>
      <c r="J33" s="309">
        <v>450</v>
      </c>
      <c r="K33" s="421">
        <v>500</v>
      </c>
      <c r="L33" s="302">
        <v>550</v>
      </c>
      <c r="M33" s="117"/>
      <c r="N33" s="117"/>
      <c r="O33" s="117"/>
      <c r="P33" s="205"/>
      <c r="Q33" s="205"/>
      <c r="R33" s="205"/>
      <c r="S33" s="255"/>
      <c r="T33" s="256"/>
      <c r="U33" s="256"/>
    </row>
    <row r="34" spans="1:22" ht="15" customHeight="1" x14ac:dyDescent="0.3">
      <c r="A34" s="175"/>
      <c r="B34" s="366"/>
      <c r="C34" s="315" t="str">
        <f>List!$B$102&amp;":"</f>
        <v>Počet skříní:</v>
      </c>
      <c r="D34" s="312"/>
      <c r="E34" s="312"/>
      <c r="F34" s="363"/>
      <c r="G34" s="768"/>
      <c r="H34" s="366"/>
      <c r="I34" s="315" t="str">
        <f>List!$B$102&amp;":"</f>
        <v>Počet skříní:</v>
      </c>
      <c r="J34" s="312"/>
      <c r="K34" s="312"/>
      <c r="L34" s="313"/>
      <c r="M34" s="142"/>
      <c r="N34" s="142"/>
      <c r="O34" s="117"/>
      <c r="P34" s="205"/>
      <c r="Q34" s="205"/>
      <c r="R34" s="205"/>
      <c r="S34" s="255"/>
      <c r="T34" s="256"/>
      <c r="U34" s="256"/>
    </row>
    <row r="35" spans="1:22" ht="19.5" customHeight="1" x14ac:dyDescent="0.35">
      <c r="A35" s="175"/>
      <c r="B35" s="364" t="str">
        <f>List!$B$129&amp;"**"</f>
        <v>Korpusové lišty**</v>
      </c>
      <c r="C35" s="315"/>
      <c r="D35" s="24"/>
      <c r="E35" s="24"/>
      <c r="F35" s="24"/>
      <c r="G35" s="769"/>
      <c r="H35" s="364" t="str">
        <f>List!$B$129&amp;"**"</f>
        <v>Korpusové lišty**</v>
      </c>
      <c r="I35" s="315"/>
      <c r="J35"/>
      <c r="K35"/>
      <c r="L35"/>
      <c r="M35" s="142"/>
      <c r="N35" s="142"/>
      <c r="P35" s="120"/>
      <c r="Q35" s="120"/>
      <c r="R35" s="120"/>
      <c r="S35" s="121"/>
      <c r="T35" s="116"/>
      <c r="U35" s="256"/>
    </row>
    <row r="36" spans="1:22" ht="15" customHeight="1" thickBot="1" x14ac:dyDescent="0.35">
      <c r="A36" s="175"/>
      <c r="B36" s="292" t="s">
        <v>432</v>
      </c>
      <c r="C36" s="376" t="s">
        <v>708</v>
      </c>
      <c r="D36" s="379"/>
      <c r="E36" s="379"/>
      <c r="F36" s="380"/>
      <c r="G36" s="768"/>
      <c r="H36" s="292" t="s">
        <v>432</v>
      </c>
      <c r="I36" s="293" t="str">
        <f>"3 ks*"</f>
        <v>3 ks*</v>
      </c>
      <c r="J36" s="381"/>
      <c r="K36" s="381"/>
      <c r="L36" s="382"/>
      <c r="M36" s="142"/>
      <c r="N36" s="142"/>
      <c r="P36" s="120"/>
      <c r="Q36" s="120"/>
      <c r="R36" s="120"/>
      <c r="S36" s="121"/>
      <c r="T36" s="116"/>
      <c r="U36" s="683"/>
    </row>
    <row r="37" spans="1:22" ht="15" customHeight="1" x14ac:dyDescent="0.3">
      <c r="A37" s="175"/>
      <c r="B37" s="296" t="s">
        <v>433</v>
      </c>
      <c r="C37" s="374" t="s">
        <v>709</v>
      </c>
      <c r="D37" s="378">
        <f>IF(D36&gt;0,IF(D36&gt;5,0,5-D36),0)</f>
        <v>0</v>
      </c>
      <c r="E37" s="378">
        <f t="shared" ref="E37:F37" si="6">IF(E36&gt;0,IF(E36&gt;5,0,5-E36),0)</f>
        <v>0</v>
      </c>
      <c r="F37" s="702">
        <f t="shared" si="6"/>
        <v>0</v>
      </c>
      <c r="G37" s="768"/>
      <c r="H37" s="296" t="s">
        <v>433</v>
      </c>
      <c r="I37" s="374" t="str">
        <f>"2 ks*"</f>
        <v>2 ks*</v>
      </c>
      <c r="J37" s="378">
        <f>IF(J36&gt;0,IF(J36&gt;5,0,5-J36),0)</f>
        <v>0</v>
      </c>
      <c r="K37" s="378">
        <f t="shared" ref="K37:L37" si="7">IF(K36&gt;0,IF(K36&gt;5,0,5-K36),0)</f>
        <v>0</v>
      </c>
      <c r="L37" s="702">
        <f t="shared" si="7"/>
        <v>0</v>
      </c>
      <c r="M37" s="142"/>
      <c r="N37" s="142"/>
      <c r="P37" s="120"/>
      <c r="Q37" s="120"/>
      <c r="R37" s="120"/>
      <c r="S37" s="121"/>
      <c r="T37" s="116"/>
      <c r="U37" s="683"/>
    </row>
    <row r="38" spans="1:22" ht="13.5" customHeight="1" x14ac:dyDescent="0.3">
      <c r="A38" s="175"/>
      <c r="C38" s="311"/>
      <c r="D38" s="701" t="str">
        <f>IF(D36&gt;5,"Max. 5!"," ")</f>
        <v xml:space="preserve"> </v>
      </c>
      <c r="E38" s="701" t="str">
        <f t="shared" ref="E38:F38" si="8">IF(E36&gt;5,"Max. 5!"," ")</f>
        <v xml:space="preserve"> </v>
      </c>
      <c r="F38" s="701" t="str">
        <f t="shared" si="8"/>
        <v xml:space="preserve"> </v>
      </c>
      <c r="G38" s="290"/>
      <c r="H38" s="375"/>
      <c r="I38" s="311"/>
      <c r="J38" s="701" t="str">
        <f>IF(J36&gt;5,"Max. 5!"," ")</f>
        <v xml:space="preserve"> </v>
      </c>
      <c r="K38" s="701" t="str">
        <f t="shared" ref="K38:L38" si="9">IF(K36&gt;5,"Max. 5!"," ")</f>
        <v xml:space="preserve"> </v>
      </c>
      <c r="L38" s="701" t="str">
        <f t="shared" si="9"/>
        <v xml:space="preserve"> </v>
      </c>
      <c r="M38" s="142"/>
      <c r="N38" s="142"/>
      <c r="P38" s="120"/>
      <c r="Q38" s="120"/>
      <c r="R38" s="120"/>
      <c r="S38" s="121"/>
      <c r="T38" s="116"/>
      <c r="U38" s="683"/>
    </row>
    <row r="39" spans="1:22" ht="13.5" customHeight="1" x14ac:dyDescent="0.3">
      <c r="A39" s="175"/>
      <c r="C39" s="340"/>
      <c r="D39" s="341"/>
      <c r="E39" s="341"/>
      <c r="F39" s="341"/>
      <c r="G39" s="341"/>
      <c r="H39" s="341"/>
      <c r="I39" s="341"/>
      <c r="J39" s="290"/>
      <c r="K39" s="341"/>
      <c r="L39" s="341"/>
      <c r="M39" s="142"/>
      <c r="N39" s="142"/>
      <c r="P39" s="120"/>
      <c r="Q39" s="120"/>
      <c r="R39" s="120"/>
      <c r="S39" s="121"/>
      <c r="T39" s="116"/>
      <c r="U39" s="683"/>
    </row>
    <row r="40" spans="1:22" ht="13.5" customHeight="1" x14ac:dyDescent="0.3">
      <c r="A40" s="175"/>
      <c r="B40" s="117" t="str">
        <f>"       * "&amp;List!$B$165</f>
        <v xml:space="preserve">       * Nastavené počty korpusových lišt</v>
      </c>
      <c r="C40" s="340"/>
      <c r="D40" s="341"/>
      <c r="E40" s="341"/>
      <c r="F40" s="341"/>
      <c r="G40" s="341"/>
      <c r="H40" s="341"/>
      <c r="I40" s="341"/>
      <c r="J40" s="290"/>
      <c r="K40" s="341"/>
      <c r="L40" s="341"/>
      <c r="M40" s="142"/>
      <c r="N40" s="142"/>
      <c r="P40" s="120"/>
      <c r="Q40" s="120"/>
      <c r="R40" s="120"/>
      <c r="S40" s="121"/>
      <c r="T40" s="116"/>
      <c r="U40" s="772"/>
    </row>
    <row r="41" spans="1:22" ht="13.5" customHeight="1" x14ac:dyDescent="0.3">
      <c r="A41" s="175"/>
      <c r="B41" s="117" t="str">
        <f>"         "&amp;List!$B$167&amp;". "&amp;List!$C$168&amp;"."</f>
        <v xml:space="preserve">         Pokud chcete jiné složení, zadejte požadovaný počet 40kg korpusových lišt. 70kg lišty se dopopočítají.</v>
      </c>
      <c r="C41" s="340"/>
      <c r="D41" s="341"/>
      <c r="E41" s="341"/>
      <c r="F41" s="341"/>
      <c r="G41" s="341"/>
      <c r="H41" s="341"/>
      <c r="I41" s="341"/>
      <c r="J41" s="290"/>
      <c r="K41" s="341"/>
      <c r="L41" s="341"/>
      <c r="M41" s="142"/>
      <c r="N41" s="142"/>
      <c r="P41" s="356"/>
      <c r="Q41" s="356"/>
      <c r="R41" s="356"/>
      <c r="S41" s="357"/>
      <c r="T41" s="358"/>
      <c r="U41" s="781">
        <f>S41*T41</f>
        <v>0</v>
      </c>
    </row>
    <row r="42" spans="1:22" ht="13.5" customHeight="1" x14ac:dyDescent="0.3">
      <c r="A42" s="175"/>
      <c r="B42" s="117" t="str">
        <f>"     ** "&amp;List!$B$324&amp;" (KB 450mm = 4xL1, 1xL3 / KB 600mm = 3xL3, 2xL5)"</f>
        <v xml:space="preserve">     ** Jednotky TIP-ON BLUMOTION budou přidány automaticky (KB 450mm = 4xL1, 1xL3 / KB 600mm = 3xL3, 2xL5)</v>
      </c>
      <c r="C42" s="340"/>
      <c r="D42" s="341"/>
      <c r="E42" s="341"/>
      <c r="F42" s="341"/>
      <c r="G42" s="341"/>
      <c r="H42" s="341"/>
      <c r="I42" s="341"/>
      <c r="J42" s="290"/>
      <c r="K42" s="341"/>
      <c r="L42" s="341"/>
      <c r="M42" s="142"/>
      <c r="N42" s="142"/>
      <c r="P42" s="356"/>
      <c r="Q42" s="356"/>
      <c r="R42" s="356"/>
      <c r="S42" s="357"/>
      <c r="T42" s="358"/>
      <c r="U42" s="781">
        <f t="shared" ref="U42:U53" si="10">S42*T42</f>
        <v>0</v>
      </c>
    </row>
    <row r="43" spans="1:22" ht="14" x14ac:dyDescent="0.3">
      <c r="A43" s="175"/>
      <c r="B43" s="2" t="str">
        <f>"         "&amp;List!B313</f>
        <v xml:space="preserve">         Synchronizace bude přidána automaticky. </v>
      </c>
      <c r="C43" s="341"/>
      <c r="D43" s="290"/>
      <c r="E43" s="290"/>
      <c r="F43" s="290"/>
      <c r="G43" s="290"/>
      <c r="H43" s="290"/>
      <c r="I43" s="290"/>
      <c r="J43" s="290"/>
      <c r="K43" s="290"/>
      <c r="L43" s="290"/>
      <c r="M43" s="117"/>
      <c r="N43" s="117"/>
      <c r="P43" s="356"/>
      <c r="Q43" s="356"/>
      <c r="R43" s="356"/>
      <c r="S43" s="357"/>
      <c r="T43" s="358"/>
      <c r="U43" s="781">
        <f t="shared" si="10"/>
        <v>0</v>
      </c>
    </row>
    <row r="44" spans="1:22" ht="14" x14ac:dyDescent="0.3">
      <c r="A44" s="175"/>
      <c r="B44" s="117"/>
      <c r="C44" s="341"/>
      <c r="D44" s="290"/>
      <c r="E44" s="290"/>
      <c r="F44" s="290"/>
      <c r="G44" s="290"/>
      <c r="H44" s="290"/>
      <c r="I44" s="290"/>
      <c r="J44" s="290"/>
      <c r="K44" s="290"/>
      <c r="L44" s="290"/>
      <c r="M44" s="117"/>
      <c r="N44" s="117"/>
      <c r="P44" s="356"/>
      <c r="Q44" s="356"/>
      <c r="R44" s="356"/>
      <c r="S44" s="357"/>
      <c r="T44" s="358"/>
      <c r="U44" s="781">
        <f t="shared" si="10"/>
        <v>0</v>
      </c>
    </row>
    <row r="45" spans="1:22" ht="14" x14ac:dyDescent="0.3">
      <c r="A45" s="175"/>
      <c r="B45" s="117" t="str">
        <f>"        "&amp;List!$B$172</f>
        <v xml:space="preserve">        Boční zásuvné prvky se načtou automaticky</v>
      </c>
      <c r="C45" s="341"/>
      <c r="D45" s="290"/>
      <c r="E45" s="290"/>
      <c r="F45" s="290"/>
      <c r="G45" s="290"/>
      <c r="H45" s="290"/>
      <c r="I45" s="290"/>
      <c r="J45" s="290"/>
      <c r="K45" s="290"/>
      <c r="L45" s="290"/>
      <c r="M45" s="117"/>
      <c r="N45" s="117"/>
      <c r="P45" s="120" t="s">
        <v>1391</v>
      </c>
      <c r="Q45" s="120"/>
      <c r="R45" s="120"/>
      <c r="S45" s="120"/>
      <c r="T45" s="120"/>
      <c r="U45" s="120"/>
      <c r="V45" s="795">
        <f>IF($D$36&gt;0, $D$36*$D$34, 4*$D$34)+IF($J$36&gt;0, $J$36*$J$34, 3*$J$34)</f>
        <v>0</v>
      </c>
    </row>
    <row r="46" spans="1:22" ht="14" x14ac:dyDescent="0.3">
      <c r="A46" s="175"/>
      <c r="B46" s="117" t="str">
        <f>"        "&amp;List!$B$176</f>
        <v xml:space="preserve">        Máte-li zásuvné prvky vlastní, upravte počty v objednávce</v>
      </c>
      <c r="C46" s="341"/>
      <c r="D46" s="290"/>
      <c r="E46" s="290"/>
      <c r="F46" s="290"/>
      <c r="G46" s="290"/>
      <c r="H46" s="290"/>
      <c r="I46" s="290"/>
      <c r="J46" s="290"/>
      <c r="K46" s="290"/>
      <c r="L46" s="290"/>
      <c r="M46" s="117"/>
      <c r="N46" s="117"/>
      <c r="P46" s="120" t="s">
        <v>1392</v>
      </c>
      <c r="Q46" s="120"/>
      <c r="R46" s="120"/>
      <c r="S46" s="120"/>
      <c r="T46" s="120"/>
      <c r="U46" s="120"/>
      <c r="V46" s="795">
        <f>IF($D$36&gt;0, $D$37*$D$34, 1*$D$34)+IF($J$36&gt;0, $J$37*$J$34, 2*$J$34)</f>
        <v>0</v>
      </c>
    </row>
    <row r="47" spans="1:22" ht="14" x14ac:dyDescent="0.3">
      <c r="A47" s="175"/>
      <c r="C47" s="341"/>
      <c r="D47" s="290"/>
      <c r="E47" s="290"/>
      <c r="F47" s="290"/>
      <c r="G47" s="290"/>
      <c r="H47" s="290"/>
      <c r="I47" s="290"/>
      <c r="J47" s="290"/>
      <c r="K47" s="290"/>
      <c r="L47" s="290"/>
      <c r="M47" s="117"/>
      <c r="N47" s="117"/>
      <c r="P47" s="120" t="s">
        <v>1393</v>
      </c>
      <c r="Q47" s="684"/>
      <c r="R47" s="684"/>
      <c r="S47" s="684"/>
      <c r="T47" s="684"/>
      <c r="U47" s="684"/>
      <c r="V47" s="795">
        <f>IF($E$36&gt;0, $E$36*$E$34, 4*$E$34)+IF($K$36&gt;0, $K$36*$K$34, 3*$K$34)</f>
        <v>0</v>
      </c>
    </row>
    <row r="48" spans="1:22" ht="14" x14ac:dyDescent="0.3">
      <c r="A48" s="175"/>
      <c r="C48" s="341"/>
      <c r="D48" s="290"/>
      <c r="E48" s="290"/>
      <c r="F48" s="290"/>
      <c r="G48" s="290"/>
      <c r="H48" s="290"/>
      <c r="I48" s="290"/>
      <c r="J48" s="290"/>
      <c r="K48" s="290"/>
      <c r="L48" s="290"/>
      <c r="M48" s="117"/>
      <c r="N48" s="117"/>
      <c r="P48" s="120" t="s">
        <v>1394</v>
      </c>
      <c r="Q48" s="684"/>
      <c r="R48" s="684"/>
      <c r="S48" s="684"/>
      <c r="T48" s="684"/>
      <c r="U48" s="684"/>
      <c r="V48" s="795">
        <f>IF($E$36&gt;0, $E$37*$E$34, 1*$E$34)+IF($K$36&gt;0, $K$37*$K$34, 2*$K$34)</f>
        <v>0</v>
      </c>
    </row>
    <row r="49" spans="1:22" ht="14" x14ac:dyDescent="0.3">
      <c r="A49" s="175"/>
      <c r="C49" s="341"/>
      <c r="D49" s="290"/>
      <c r="E49" s="290"/>
      <c r="F49" s="290"/>
      <c r="G49" s="290"/>
      <c r="H49" s="290"/>
      <c r="I49" s="290"/>
      <c r="J49" s="290"/>
      <c r="K49" s="290"/>
      <c r="L49" s="290"/>
      <c r="M49" s="117"/>
      <c r="N49" s="117"/>
      <c r="P49" s="120" t="s">
        <v>1395</v>
      </c>
      <c r="Q49" s="120"/>
      <c r="R49" s="120"/>
      <c r="S49" s="120"/>
      <c r="T49" s="120"/>
      <c r="U49" s="120"/>
      <c r="V49" s="795">
        <f>IF($F$36&gt;0, $F$36*$F$34, 4*$F$34)+IF($L$36&gt;0, $L$36*$L$34, 3*$L$34)</f>
        <v>0</v>
      </c>
    </row>
    <row r="50" spans="1:22" ht="14" x14ac:dyDescent="0.3">
      <c r="A50" s="175"/>
      <c r="C50" s="341"/>
      <c r="D50" s="290"/>
      <c r="E50" s="290"/>
      <c r="F50" s="290"/>
      <c r="G50" s="290"/>
      <c r="H50" s="290"/>
      <c r="I50" s="290"/>
      <c r="J50" s="290"/>
      <c r="K50" s="290"/>
      <c r="L50" s="290"/>
      <c r="M50" s="117"/>
      <c r="N50" s="117"/>
      <c r="P50" s="120" t="s">
        <v>1396</v>
      </c>
      <c r="Q50" s="120"/>
      <c r="R50" s="120"/>
      <c r="S50" s="120"/>
      <c r="T50" s="120"/>
      <c r="U50" s="120"/>
      <c r="V50" s="795">
        <f>IF($F$36&gt;0, $F$37*$F$34, 1*$F$34)+IF($L$36&gt;0, $L$37*$L$34, 2*$L$34)</f>
        <v>0</v>
      </c>
    </row>
    <row r="51" spans="1:22" ht="14" x14ac:dyDescent="0.3">
      <c r="A51" s="175"/>
      <c r="C51" s="341"/>
      <c r="D51" s="290"/>
      <c r="E51" s="290"/>
      <c r="F51" s="290"/>
      <c r="G51" s="290"/>
      <c r="H51" s="290"/>
      <c r="I51" s="290"/>
      <c r="J51" s="290"/>
      <c r="K51" s="290"/>
      <c r="L51" s="290"/>
      <c r="M51" s="117"/>
      <c r="N51" s="117"/>
      <c r="P51" s="356"/>
      <c r="Q51" s="356"/>
      <c r="R51" s="356"/>
      <c r="S51" s="357"/>
      <c r="T51" s="358"/>
      <c r="U51" s="781">
        <f t="shared" si="10"/>
        <v>0</v>
      </c>
      <c r="V51" s="2" t="s">
        <v>1400</v>
      </c>
    </row>
    <row r="52" spans="1:22" ht="14" x14ac:dyDescent="0.3">
      <c r="A52" s="175"/>
      <c r="C52" s="341"/>
      <c r="D52" s="290"/>
      <c r="E52" s="290"/>
      <c r="F52" s="290"/>
      <c r="G52" s="290"/>
      <c r="H52" s="290"/>
      <c r="I52" s="290"/>
      <c r="J52" s="290"/>
      <c r="K52" s="290"/>
      <c r="L52" s="290"/>
      <c r="M52" s="117"/>
      <c r="N52" s="117"/>
      <c r="P52" s="356"/>
      <c r="Q52" s="356"/>
      <c r="R52" s="356"/>
      <c r="S52" s="357"/>
      <c r="T52" s="358"/>
      <c r="U52" s="781">
        <f t="shared" si="10"/>
        <v>0</v>
      </c>
    </row>
    <row r="53" spans="1:22" ht="14" x14ac:dyDescent="0.3">
      <c r="A53" s="175"/>
      <c r="C53" s="341"/>
      <c r="D53" s="290"/>
      <c r="E53" s="290"/>
      <c r="F53" s="290"/>
      <c r="G53" s="290"/>
      <c r="H53" s="290"/>
      <c r="I53" s="290"/>
      <c r="J53" s="290"/>
      <c r="K53" s="290"/>
      <c r="L53" s="290"/>
      <c r="M53" s="117"/>
      <c r="N53" s="117"/>
      <c r="P53" s="356"/>
      <c r="Q53" s="356"/>
      <c r="R53" s="356"/>
      <c r="S53" s="357"/>
      <c r="T53" s="358"/>
      <c r="U53" s="781">
        <f t="shared" si="10"/>
        <v>0</v>
      </c>
    </row>
    <row r="54" spans="1:22" ht="14" x14ac:dyDescent="0.3">
      <c r="A54" s="175"/>
      <c r="C54" s="341"/>
      <c r="D54" s="290"/>
      <c r="E54" s="290"/>
      <c r="F54" s="290"/>
      <c r="G54" s="290"/>
      <c r="H54" s="290"/>
      <c r="I54" s="290"/>
      <c r="J54" s="290"/>
      <c r="K54" s="290"/>
      <c r="L54" s="290"/>
      <c r="M54" s="117"/>
      <c r="N54" s="117"/>
      <c r="P54" s="120"/>
      <c r="Q54" s="120"/>
      <c r="R54" s="120"/>
      <c r="S54" s="121"/>
      <c r="T54" s="116"/>
      <c r="U54" s="772"/>
    </row>
    <row r="55" spans="1:22" ht="14" x14ac:dyDescent="0.3">
      <c r="A55" s="175"/>
      <c r="C55" s="341"/>
      <c r="D55" s="290"/>
      <c r="E55" s="290"/>
      <c r="F55" s="290"/>
      <c r="G55" s="290"/>
      <c r="H55" s="290"/>
      <c r="I55" s="290"/>
      <c r="J55" s="290"/>
      <c r="K55" s="290"/>
      <c r="L55" s="290"/>
      <c r="M55" s="117"/>
      <c r="N55" s="117"/>
      <c r="P55" s="120"/>
      <c r="Q55" s="120"/>
      <c r="R55" s="120"/>
      <c r="S55" s="121"/>
      <c r="T55" s="116"/>
      <c r="U55" s="772"/>
    </row>
    <row r="56" spans="1:22" ht="14" x14ac:dyDescent="0.3">
      <c r="A56" s="175"/>
      <c r="C56" s="341"/>
      <c r="D56" s="290"/>
      <c r="E56" s="290"/>
      <c r="F56" s="290"/>
      <c r="G56" s="290"/>
      <c r="H56" s="290"/>
      <c r="I56" s="290"/>
      <c r="J56" s="290"/>
      <c r="K56" s="290"/>
      <c r="L56" s="290"/>
      <c r="M56" s="117"/>
      <c r="N56" s="117"/>
      <c r="P56" s="120"/>
      <c r="Q56" s="120"/>
      <c r="R56" s="120"/>
      <c r="S56" s="121"/>
      <c r="T56" s="116"/>
      <c r="U56" s="116"/>
    </row>
    <row r="57" spans="1:22" ht="14" x14ac:dyDescent="0.3">
      <c r="A57" s="175"/>
      <c r="C57" s="341"/>
      <c r="D57" s="290"/>
      <c r="E57" s="290"/>
      <c r="F57" s="290"/>
      <c r="G57" s="290"/>
      <c r="H57" s="290"/>
      <c r="I57" s="290"/>
      <c r="J57" s="290"/>
      <c r="K57" s="290"/>
      <c r="L57" s="290"/>
      <c r="M57" s="117"/>
      <c r="N57" s="117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SUM(D34*4, E34*4, F34*4)</f>
        <v>0</v>
      </c>
      <c r="T57" s="116">
        <f>Cen!F289</f>
        <v>467.80245000000002</v>
      </c>
      <c r="U57" s="116">
        <f t="shared" ref="U57:U59" si="11">S57*T57</f>
        <v>0</v>
      </c>
    </row>
    <row r="58" spans="1:22" ht="14" x14ac:dyDescent="0.3">
      <c r="A58" s="175"/>
      <c r="C58" s="341"/>
      <c r="D58" s="290"/>
      <c r="E58" s="290"/>
      <c r="F58" s="290"/>
      <c r="G58" s="290"/>
      <c r="H58" s="290"/>
      <c r="I58" s="290"/>
      <c r="J58" s="290"/>
      <c r="K58" s="290"/>
      <c r="L58" s="290"/>
      <c r="M58" s="117"/>
      <c r="N58" s="117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SUM(D34, E34, F34, J34*3, K34*3, L34*3)</f>
        <v>0</v>
      </c>
      <c r="T58" s="116">
        <f>Cen!F290</f>
        <v>467.80245000000002</v>
      </c>
      <c r="U58" s="116">
        <f t="shared" si="11"/>
        <v>0</v>
      </c>
    </row>
    <row r="59" spans="1:22" ht="14" x14ac:dyDescent="0.3">
      <c r="A59" s="175"/>
      <c r="C59" s="341"/>
      <c r="D59" s="290"/>
      <c r="E59" s="290"/>
      <c r="F59" s="290"/>
      <c r="G59" s="290"/>
      <c r="H59" s="290"/>
      <c r="I59" s="290"/>
      <c r="J59" s="290"/>
      <c r="K59" s="290"/>
      <c r="L59" s="290"/>
      <c r="M59" s="117"/>
      <c r="N59" s="117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SUM(J34*2, K34*2, L34*2)</f>
        <v>0</v>
      </c>
      <c r="T59" s="116">
        <f>Cen!F291</f>
        <v>467.80245000000002</v>
      </c>
      <c r="U59" s="116">
        <f t="shared" si="11"/>
        <v>0</v>
      </c>
    </row>
    <row r="60" spans="1:22" ht="14" x14ac:dyDescent="0.3">
      <c r="A60" s="175"/>
      <c r="C60" s="341"/>
      <c r="D60" s="290"/>
      <c r="E60" s="290"/>
      <c r="F60" s="290"/>
      <c r="G60" s="290"/>
      <c r="H60" s="290"/>
      <c r="I60" s="290"/>
      <c r="J60" s="290"/>
      <c r="K60" s="290"/>
      <c r="L60" s="290"/>
      <c r="M60" s="117"/>
      <c r="N60" s="117"/>
      <c r="P60" s="142"/>
      <c r="Q60" s="142"/>
      <c r="R60" s="142"/>
      <c r="S60" s="148"/>
      <c r="T60" s="152"/>
      <c r="U60" s="152"/>
    </row>
    <row r="61" spans="1:22" ht="14" x14ac:dyDescent="0.3">
      <c r="A61" s="175"/>
      <c r="C61" s="341"/>
      <c r="D61" s="290"/>
      <c r="E61" s="290"/>
      <c r="F61" s="290"/>
      <c r="G61" s="290"/>
      <c r="H61" s="290"/>
      <c r="I61" s="290"/>
      <c r="J61" s="290"/>
      <c r="K61" s="290"/>
      <c r="L61" s="290"/>
      <c r="M61" s="117"/>
      <c r="N61" s="117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>
        <f>SUM(S57:$S$59)*2</f>
        <v>0</v>
      </c>
      <c r="T61" s="116">
        <f>Cen!$F306</f>
        <v>6.7107799999999997</v>
      </c>
      <c r="U61" s="116">
        <f>S61*T61</f>
        <v>0</v>
      </c>
    </row>
    <row r="62" spans="1:22" ht="14" x14ac:dyDescent="0.3">
      <c r="A62" s="175"/>
      <c r="C62" s="341"/>
      <c r="D62" s="290"/>
      <c r="E62" s="290"/>
      <c r="F62" s="290"/>
      <c r="G62" s="290"/>
      <c r="H62" s="290"/>
      <c r="I62" s="290"/>
      <c r="J62" s="290"/>
      <c r="K62" s="290"/>
      <c r="L62" s="290"/>
      <c r="M62" s="117"/>
      <c r="N62" s="117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329">
        <f>ROUNDUP(SUM($D$34/6*5, $E$34/6*5, $F$34/6*5),0)+ROUNDUP(SUM($J$34/3*5, $K$34/3*5, $L$34/3*5),0)</f>
        <v>0</v>
      </c>
      <c r="T62" s="116">
        <f>Cen!$F307</f>
        <v>110.51743999999999</v>
      </c>
      <c r="U62" s="116">
        <f>S62*T62</f>
        <v>0</v>
      </c>
    </row>
    <row r="63" spans="1:22" ht="14" x14ac:dyDescent="0.3">
      <c r="A63" s="175"/>
      <c r="C63" s="341"/>
      <c r="D63" s="290"/>
      <c r="E63" s="290"/>
      <c r="F63" s="290"/>
      <c r="G63" s="290"/>
      <c r="H63" s="290"/>
      <c r="I63" s="290"/>
      <c r="J63" s="290"/>
      <c r="K63" s="290"/>
      <c r="L63" s="290"/>
      <c r="M63" s="117"/>
      <c r="N63" s="117"/>
      <c r="P63" s="142"/>
      <c r="Q63" s="142"/>
      <c r="R63" s="142"/>
      <c r="S63" s="148"/>
      <c r="T63" s="152"/>
      <c r="U63" s="152"/>
    </row>
    <row r="64" spans="1:22" ht="14" x14ac:dyDescent="0.3">
      <c r="A64" s="175"/>
      <c r="C64" s="311"/>
      <c r="D64" s="351"/>
      <c r="E64" s="351"/>
      <c r="F64" s="351"/>
      <c r="G64" s="351"/>
      <c r="H64" s="351"/>
      <c r="I64" s="290"/>
      <c r="J64" s="290"/>
      <c r="K64" s="290"/>
      <c r="L64" s="290"/>
      <c r="M64" s="117"/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SUM(S3:S6)</f>
        <v>0</v>
      </c>
      <c r="T64" s="116">
        <f>Cen!F319</f>
        <v>35.345579999999998</v>
      </c>
      <c r="U64" s="116">
        <f t="shared" ref="U64:U69" si="12">S64*T64</f>
        <v>0</v>
      </c>
    </row>
    <row r="65" spans="1:21" ht="13" x14ac:dyDescent="0.3">
      <c r="A65" s="175"/>
      <c r="C65" s="289"/>
      <c r="D65" s="175"/>
      <c r="E65" s="175"/>
      <c r="F65" s="175"/>
      <c r="G65" s="175"/>
      <c r="H65" s="175"/>
      <c r="I65" s="283"/>
      <c r="J65" s="283"/>
      <c r="K65" s="283"/>
      <c r="L65" s="283"/>
      <c r="M65" s="117"/>
      <c r="P65" s="120" t="str">
        <f>Cen!A329</f>
        <v>Držáky zadní stěny C, Orion šedá</v>
      </c>
      <c r="Q65" s="120" t="str">
        <f>Cen!B329</f>
        <v>ZB7C000S</v>
      </c>
      <c r="R65" s="120" t="str">
        <f>Cen!C329</f>
        <v>OG-M</v>
      </c>
      <c r="S65" s="121">
        <f>SUM(S7:S10)</f>
        <v>0</v>
      </c>
      <c r="T65" s="116">
        <f>Cen!$F329</f>
        <v>47.092230000000001</v>
      </c>
      <c r="U65" s="116">
        <f t="shared" si="12"/>
        <v>0</v>
      </c>
    </row>
    <row r="66" spans="1:21" ht="13" x14ac:dyDescent="0.3">
      <c r="B66" s="117"/>
      <c r="C66" s="289"/>
      <c r="D66" s="175"/>
      <c r="E66" s="175"/>
      <c r="F66" s="175"/>
      <c r="G66" s="175"/>
      <c r="H66" s="175"/>
      <c r="I66" s="175"/>
      <c r="J66" s="175"/>
      <c r="K66" s="175"/>
      <c r="L66" s="175"/>
      <c r="M66" s="117"/>
      <c r="P66" s="120" t="str">
        <f>Cen!A374</f>
        <v>Sada kování vnitř.výs. C, s relingem, Orion šedá</v>
      </c>
      <c r="Q66" s="120" t="str">
        <f>Cen!B374</f>
        <v>ZI7.3CS0</v>
      </c>
      <c r="R66" s="120" t="str">
        <f>Cen!C374</f>
        <v>OG-M</v>
      </c>
      <c r="S66" s="121">
        <f>SUM(S7:S10)</f>
        <v>0</v>
      </c>
      <c r="T66" s="116">
        <f>Cen!F374</f>
        <v>547.28877999999997</v>
      </c>
      <c r="U66" s="116">
        <f t="shared" si="12"/>
        <v>0</v>
      </c>
    </row>
    <row r="67" spans="1:21" ht="13" x14ac:dyDescent="0.3">
      <c r="B67" s="117"/>
      <c r="C67" s="282"/>
      <c r="I67" s="284"/>
      <c r="J67" s="284"/>
      <c r="K67" s="284"/>
      <c r="L67" s="284"/>
      <c r="M67" s="117"/>
      <c r="P67" s="120" t="str">
        <f>Cen!A360</f>
        <v>Sada kování vnitřní zásuvky M, Orion šedá</v>
      </c>
      <c r="Q67" s="120" t="str">
        <f>Cen!B360</f>
        <v>ZI7.0MS0</v>
      </c>
      <c r="R67" s="120" t="str">
        <f>Cen!C360</f>
        <v>OG-M</v>
      </c>
      <c r="S67" s="121">
        <f>SUM(S3:S6)</f>
        <v>0</v>
      </c>
      <c r="T67" s="116">
        <f>Cen!F360</f>
        <v>413.54563999999999</v>
      </c>
      <c r="U67" s="116">
        <f t="shared" si="12"/>
        <v>0</v>
      </c>
    </row>
    <row r="68" spans="1:21" ht="14.5" x14ac:dyDescent="0.35">
      <c r="B68" s="24"/>
      <c r="C68" s="282"/>
      <c r="I68" s="285"/>
      <c r="J68" s="285"/>
      <c r="K68" s="285"/>
      <c r="L68" s="285"/>
      <c r="P68" s="120" t="str">
        <f>Cen!A389</f>
        <v>Přední díl vnitřní zásuvky, bez drážky, Orion šedá</v>
      </c>
      <c r="Q68" s="120" t="str">
        <f>Cen!B389</f>
        <v>ZV7.1043C01</v>
      </c>
      <c r="R68" s="120" t="str">
        <f>Cen!C389</f>
        <v>OG-M</v>
      </c>
      <c r="S68" s="329">
        <f>ROUNDUP(SUM($D$26, $E$26, $F$26, $D$34, $E$34, $F$34)/3*5, 0)+ROUNDUP(SUM($J$26, $K$26, $L$26, $J$34, $K$34, $L$34)/2*5,0)</f>
        <v>0</v>
      </c>
      <c r="T68" s="116">
        <f>Cen!F389</f>
        <v>467.12466999999998</v>
      </c>
      <c r="U68" s="116">
        <f t="shared" si="12"/>
        <v>0</v>
      </c>
    </row>
    <row r="69" spans="1:21" ht="13" x14ac:dyDescent="0.3">
      <c r="C69" s="282"/>
      <c r="I69" s="283"/>
      <c r="J69" s="283"/>
      <c r="K69" s="283"/>
      <c r="L69" s="283"/>
      <c r="P69" s="120" t="str">
        <f>Cen!A419</f>
        <v>Příčný reling vnitřní zásuvky, Orion šedá</v>
      </c>
      <c r="Q69" s="120" t="str">
        <f>Cen!B419</f>
        <v>ZR7.1080U</v>
      </c>
      <c r="R69" s="120" t="str">
        <f>Cen!C419</f>
        <v>OG-M</v>
      </c>
      <c r="S69" s="329">
        <f>ROUNDUP(SUM($D$26, $E$26, $F$26, $D$34, $E$34, $F$34)/3*4, 0)+ROUNDUP(SUM($J$26, $K$26, $L$26, $J$34, $K$34, $L$34)/2*4,0)</f>
        <v>0</v>
      </c>
      <c r="T69" s="116">
        <f>Cen!F419</f>
        <v>199.21817999999999</v>
      </c>
      <c r="U69" s="116">
        <f t="shared" si="12"/>
        <v>0</v>
      </c>
    </row>
    <row r="70" spans="1:21" ht="14" x14ac:dyDescent="0.3">
      <c r="C70" s="286"/>
      <c r="D70" s="340"/>
      <c r="E70" s="341"/>
      <c r="F70" s="342"/>
      <c r="G70" s="342"/>
      <c r="H70" s="341"/>
      <c r="I70" s="341"/>
      <c r="J70" s="286"/>
      <c r="K70" s="286"/>
      <c r="L70" s="286"/>
      <c r="P70" s="142"/>
      <c r="Q70" s="142"/>
      <c r="R70" s="142"/>
      <c r="S70" s="148"/>
      <c r="T70" s="152"/>
      <c r="U70" s="152"/>
    </row>
    <row r="71" spans="1:21" ht="15.5" x14ac:dyDescent="0.35">
      <c r="B71" s="383"/>
      <c r="C71" s="282"/>
      <c r="I71" s="283"/>
      <c r="J71" s="283"/>
      <c r="K71" s="283"/>
      <c r="L71" s="283"/>
      <c r="P71" s="117"/>
      <c r="Q71" s="117"/>
    </row>
    <row r="72" spans="1:21" ht="15.5" x14ac:dyDescent="0.35">
      <c r="B72" s="383"/>
      <c r="C72" s="282"/>
      <c r="I72" s="283"/>
      <c r="J72" s="283"/>
      <c r="K72" s="283"/>
      <c r="L72" s="283"/>
      <c r="P72" s="117"/>
      <c r="Q72" s="117"/>
    </row>
    <row r="73" spans="1:21" ht="15.5" x14ac:dyDescent="0.35">
      <c r="B73" s="383"/>
      <c r="C73" s="282"/>
      <c r="I73" s="283"/>
      <c r="J73" s="283"/>
      <c r="K73" s="283"/>
      <c r="L73" s="283"/>
      <c r="P73" s="117"/>
      <c r="Q73" s="117"/>
    </row>
    <row r="74" spans="1:21" ht="15.5" x14ac:dyDescent="0.35">
      <c r="B74" s="383"/>
      <c r="C74" s="282"/>
      <c r="I74" s="283"/>
      <c r="J74" s="283"/>
      <c r="K74" s="283"/>
      <c r="L74" s="283"/>
      <c r="P74" s="117"/>
      <c r="Q74" s="117"/>
    </row>
    <row r="75" spans="1:21" ht="15.5" x14ac:dyDescent="0.35">
      <c r="B75" s="383"/>
      <c r="C75" s="282"/>
      <c r="I75" s="283"/>
      <c r="J75" s="283"/>
      <c r="K75" s="283"/>
      <c r="L75" s="283"/>
      <c r="P75" s="117"/>
      <c r="Q75" s="117"/>
    </row>
    <row r="76" spans="1:21" ht="15.5" x14ac:dyDescent="0.35">
      <c r="B76" s="383"/>
      <c r="C76" s="282"/>
      <c r="I76" s="283"/>
      <c r="J76" s="283"/>
      <c r="K76" s="283"/>
      <c r="L76" s="283"/>
      <c r="P76" s="117"/>
      <c r="Q76" s="117"/>
    </row>
    <row r="77" spans="1:21" ht="15.5" x14ac:dyDescent="0.35">
      <c r="B77" s="383"/>
      <c r="C77" s="282"/>
      <c r="I77" s="283"/>
      <c r="J77" s="283"/>
      <c r="K77" s="283"/>
      <c r="L77" s="283"/>
      <c r="P77" s="117"/>
      <c r="Q77" s="117"/>
    </row>
    <row r="78" spans="1:21" ht="15.5" x14ac:dyDescent="0.35">
      <c r="B78" s="383"/>
      <c r="C78" s="282"/>
      <c r="I78" s="283"/>
      <c r="J78" s="283"/>
      <c r="K78" s="283"/>
      <c r="L78" s="283"/>
      <c r="P78" s="117"/>
      <c r="Q78" s="117"/>
    </row>
    <row r="79" spans="1:21" ht="15.5" x14ac:dyDescent="0.35">
      <c r="B79" s="383"/>
      <c r="C79" s="282"/>
      <c r="I79" s="283"/>
      <c r="J79" s="283"/>
      <c r="K79" s="283"/>
      <c r="L79" s="283"/>
      <c r="P79" s="117"/>
      <c r="Q79" s="117"/>
    </row>
    <row r="80" spans="1:21" ht="14" x14ac:dyDescent="0.3">
      <c r="B80" s="375"/>
      <c r="G80" s="2"/>
      <c r="P80" s="205" t="str">
        <f>Cen!A232</f>
        <v>Boční zásuvné prvky, sklo, pro 350 mm</v>
      </c>
      <c r="Q80" s="205" t="str">
        <f>Cen!B232</f>
        <v>ZE7S238G</v>
      </c>
      <c r="R80" s="205" t="str">
        <f>Cen!C232</f>
        <v>KLA</v>
      </c>
      <c r="S80" s="255"/>
      <c r="T80" s="594">
        <f>Cen!F232</f>
        <v>625.33465999999999</v>
      </c>
      <c r="U80" s="256">
        <f>S80*T80</f>
        <v>0</v>
      </c>
    </row>
    <row r="81" spans="1:22" x14ac:dyDescent="0.25">
      <c r="B81" s="175"/>
      <c r="G81" s="2"/>
      <c r="P81" s="125" t="str">
        <f>Cen!A233</f>
        <v>Boční zásuvné prvky, sklo, pro 400 mm</v>
      </c>
      <c r="Q81" s="125" t="str">
        <f>Cen!B233</f>
        <v>ZE7S288G</v>
      </c>
      <c r="R81" s="125" t="str">
        <f>Cen!C233</f>
        <v>KLA</v>
      </c>
      <c r="S81" s="257"/>
      <c r="T81" s="261">
        <f>Cen!F233</f>
        <v>660.74360999999999</v>
      </c>
      <c r="U81" s="258">
        <f t="shared" ref="U81:U86" si="13">S81*T81</f>
        <v>0</v>
      </c>
    </row>
    <row r="82" spans="1:22" x14ac:dyDescent="0.25">
      <c r="B82" s="175"/>
      <c r="G82" s="2"/>
      <c r="P82" s="125" t="str">
        <f>Cen!A234</f>
        <v>Boční zásuvné prvky, sklo, pro 450 mm</v>
      </c>
      <c r="Q82" s="125" t="str">
        <f>Cen!B234</f>
        <v>ZE7S338G</v>
      </c>
      <c r="R82" s="125" t="str">
        <f>Cen!C234</f>
        <v>KLA</v>
      </c>
      <c r="S82" s="257">
        <f>S7</f>
        <v>0</v>
      </c>
      <c r="T82" s="261">
        <f>Cen!F234</f>
        <v>696.15254000000004</v>
      </c>
      <c r="U82" s="258">
        <f t="shared" si="13"/>
        <v>0</v>
      </c>
    </row>
    <row r="83" spans="1:22" x14ac:dyDescent="0.25">
      <c r="B83" s="175"/>
      <c r="G83" s="2"/>
      <c r="P83" s="125" t="str">
        <f>Cen!A235</f>
        <v>Boční zásuvné prvky, sklo, pro 500 mm</v>
      </c>
      <c r="Q83" s="125" t="str">
        <f>Cen!B235</f>
        <v>ZE7S388G</v>
      </c>
      <c r="R83" s="125" t="str">
        <f>Cen!C235</f>
        <v>KLA</v>
      </c>
      <c r="S83" s="257">
        <f>S8</f>
        <v>0</v>
      </c>
      <c r="T83" s="261">
        <f>Cen!F235</f>
        <v>731.56149000000005</v>
      </c>
      <c r="U83" s="258">
        <f t="shared" si="13"/>
        <v>0</v>
      </c>
    </row>
    <row r="84" spans="1:22" x14ac:dyDescent="0.25">
      <c r="B84" s="286"/>
      <c r="G84" s="2"/>
      <c r="P84" s="125" t="str">
        <f>Cen!A236</f>
        <v>Boční zásuvné prvky, sklo, pro 550 mm</v>
      </c>
      <c r="Q84" s="125" t="str">
        <f>Cen!B236</f>
        <v>ZE7S438G</v>
      </c>
      <c r="R84" s="125" t="str">
        <f>Cen!C236</f>
        <v>KLA</v>
      </c>
      <c r="S84" s="257">
        <f>S9</f>
        <v>0</v>
      </c>
      <c r="T84" s="261">
        <f>Cen!F236</f>
        <v>802.35667000000001</v>
      </c>
      <c r="U84" s="258">
        <f t="shared" si="13"/>
        <v>0</v>
      </c>
    </row>
    <row r="85" spans="1:22" x14ac:dyDescent="0.25">
      <c r="G85" s="2"/>
      <c r="P85" s="125" t="str">
        <f>Cen!A237</f>
        <v>Boční zásuvné prvky, sklo, pro 600 mm</v>
      </c>
      <c r="Q85" s="125" t="str">
        <f>Cen!B237</f>
        <v>ZE7S488G</v>
      </c>
      <c r="R85" s="125" t="str">
        <f>Cen!C237</f>
        <v>KLA</v>
      </c>
      <c r="S85" s="257">
        <f>S10</f>
        <v>0</v>
      </c>
      <c r="T85" s="261">
        <f>Cen!F237</f>
        <v>873.15183000000002</v>
      </c>
      <c r="U85" s="258">
        <f t="shared" si="13"/>
        <v>0</v>
      </c>
    </row>
    <row r="86" spans="1:22" ht="13" thickBot="1" x14ac:dyDescent="0.3">
      <c r="G86" s="2"/>
      <c r="P86" s="595" t="str">
        <f>Cen!A238</f>
        <v>Boční zásuvné prvky, sklo, pro 650 mm</v>
      </c>
      <c r="Q86" s="595" t="str">
        <f>Cen!B238</f>
        <v>ZE7S538G</v>
      </c>
      <c r="R86" s="595" t="str">
        <f>Cen!C238</f>
        <v>KLA</v>
      </c>
      <c r="S86" s="596">
        <f>S11</f>
        <v>0</v>
      </c>
      <c r="T86" s="597">
        <f>Cen!F238</f>
        <v>943.94700999999998</v>
      </c>
      <c r="U86" s="598">
        <f t="shared" si="13"/>
        <v>0</v>
      </c>
    </row>
    <row r="87" spans="1:22" ht="13" x14ac:dyDescent="0.3">
      <c r="C87" s="282"/>
      <c r="I87" s="283"/>
      <c r="J87" s="283"/>
      <c r="K87" s="283"/>
      <c r="L87" s="283"/>
      <c r="P87" s="117"/>
      <c r="Q87" s="117"/>
    </row>
    <row r="88" spans="1:22" ht="13" x14ac:dyDescent="0.3">
      <c r="C88" s="282"/>
      <c r="I88" s="283"/>
      <c r="J88" s="283"/>
      <c r="K88" s="283"/>
      <c r="L88" s="283"/>
      <c r="P88" s="117"/>
      <c r="Q88" s="117"/>
    </row>
    <row r="89" spans="1:22" ht="13" x14ac:dyDescent="0.3">
      <c r="C89" s="282"/>
      <c r="I89" s="283"/>
      <c r="J89" s="283"/>
      <c r="K89" s="283"/>
      <c r="L89" s="283"/>
      <c r="P89" s="117"/>
      <c r="Q89" s="117"/>
    </row>
    <row r="90" spans="1:22" ht="14" x14ac:dyDescent="0.3">
      <c r="A90" s="175"/>
      <c r="C90" s="341"/>
      <c r="D90" s="290"/>
      <c r="E90" s="290"/>
      <c r="F90" s="290"/>
      <c r="G90" s="290"/>
      <c r="H90" s="290"/>
      <c r="I90" s="290"/>
      <c r="J90" s="290"/>
      <c r="K90" s="290"/>
      <c r="L90" s="290"/>
      <c r="M90" s="117"/>
      <c r="N90" s="117"/>
      <c r="P90" s="120" t="str">
        <f>Cen!A705</f>
        <v>CLIP top BLUMOTION 155° s nul. přes., EXPANDO</v>
      </c>
      <c r="Q90" s="120" t="str">
        <f>Cen!B705</f>
        <v>71B758E</v>
      </c>
      <c r="R90" s="120" t="str">
        <f>Cen!C705</f>
        <v>NI</v>
      </c>
      <c r="S90" s="121">
        <f>IF(AND($W$3=1, $Y$3=1), V90, 0)</f>
        <v>0</v>
      </c>
      <c r="T90" s="116">
        <f>Cen!F705</f>
        <v>0</v>
      </c>
      <c r="U90" s="772">
        <f t="shared" ref="U90:U94" si="14">S90*T90</f>
        <v>0</v>
      </c>
      <c r="V90" s="799">
        <f>SUM($D$26:$F$26, $J$26:$L$26, $D$34:$F$34, $J$34:$L$34)*4</f>
        <v>0</v>
      </c>
    </row>
    <row r="91" spans="1:22" ht="14" x14ac:dyDescent="0.3">
      <c r="A91" s="175"/>
      <c r="C91" s="341"/>
      <c r="D91" s="290"/>
      <c r="E91" s="290"/>
      <c r="F91" s="290"/>
      <c r="G91" s="290"/>
      <c r="H91" s="290"/>
      <c r="I91" s="290"/>
      <c r="J91" s="290"/>
      <c r="K91" s="290"/>
      <c r="L91" s="290"/>
      <c r="M91" s="117"/>
      <c r="N91" s="117"/>
      <c r="P91" s="120" t="str">
        <f>Cen!A706</f>
        <v>CLIP top 155° s nulovým přesahem, bez pružiny</v>
      </c>
      <c r="Q91" s="120" t="str">
        <f>Cen!B706</f>
        <v>70T7550.TL</v>
      </c>
      <c r="R91" s="120" t="str">
        <f>Cen!C706</f>
        <v>NI</v>
      </c>
      <c r="S91" s="121">
        <f>IF(AND($W$3=1, $Y$3=2), V91, 0)</f>
        <v>0</v>
      </c>
      <c r="T91" s="116">
        <f>Cen!F706</f>
        <v>125.78175000000002</v>
      </c>
      <c r="U91" s="772">
        <f t="shared" si="14"/>
        <v>0</v>
      </c>
      <c r="V91" s="799">
        <f>SUM($D$26:$F$26, $J$26:$L$26, $D$34:$F$34, $J$34:$L$34)*4</f>
        <v>0</v>
      </c>
    </row>
    <row r="92" spans="1:22" ht="14" x14ac:dyDescent="0.3">
      <c r="A92" s="175"/>
      <c r="C92" s="341"/>
      <c r="D92" s="290"/>
      <c r="E92" s="290"/>
      <c r="F92" s="290"/>
      <c r="G92" s="290"/>
      <c r="H92" s="290"/>
      <c r="I92" s="290"/>
      <c r="J92" s="290"/>
      <c r="K92" s="290"/>
      <c r="L92" s="290"/>
      <c r="M92" s="117"/>
      <c r="N92" s="117"/>
      <c r="P92" s="120" t="str">
        <f>Cen!A708</f>
        <v>CLIP top BLUMOTION 110° pro tenké materiály</v>
      </c>
      <c r="Q92" s="120" t="str">
        <f>Cen!B708</f>
        <v>71B453T</v>
      </c>
      <c r="R92" s="120" t="str">
        <f>Cen!C708</f>
        <v>NI</v>
      </c>
      <c r="S92" s="121">
        <f>IF(AND($W$3=2, $Y$3=1), V92, 0)</f>
        <v>0</v>
      </c>
      <c r="T92" s="116">
        <f>Cen!F708</f>
        <v>330.55977000000001</v>
      </c>
      <c r="U92" s="772">
        <f t="shared" si="14"/>
        <v>0</v>
      </c>
      <c r="V92" s="799">
        <f>SUM($D$26:$F$26, $J$26:$L$26, $D$34:$F$34, $J$34:$L$34)*4</f>
        <v>0</v>
      </c>
    </row>
    <row r="93" spans="1:22" ht="14" x14ac:dyDescent="0.3">
      <c r="A93" s="175"/>
      <c r="C93" s="341"/>
      <c r="D93" s="290"/>
      <c r="E93" s="290"/>
      <c r="F93" s="290"/>
      <c r="G93" s="290"/>
      <c r="H93" s="290"/>
      <c r="I93" s="290"/>
      <c r="J93" s="290"/>
      <c r="K93" s="290"/>
      <c r="L93" s="290"/>
      <c r="M93" s="117"/>
      <c r="N93" s="117"/>
      <c r="P93" s="120" t="str">
        <f>Cen!A709</f>
        <v>CLIP top 110°, pro tenké materiály, bez pružiny</v>
      </c>
      <c r="Q93" s="120" t="str">
        <f>Cen!B709</f>
        <v>70T753T.TL</v>
      </c>
      <c r="R93" s="120" t="str">
        <f>Cen!C709</f>
        <v>NI</v>
      </c>
      <c r="S93" s="121">
        <f>IF(AND($W$3=2, $Y$3=2), V93, 0)</f>
        <v>0</v>
      </c>
      <c r="T93" s="116">
        <f>Cen!F709</f>
        <v>283.51188000000002</v>
      </c>
      <c r="U93" s="772">
        <f t="shared" si="14"/>
        <v>0</v>
      </c>
      <c r="V93" s="799">
        <f>SUM($D$26:$F$26, $J$26:$L$26, $D$34:$F$34, $J$34:$L$34)*4</f>
        <v>0</v>
      </c>
    </row>
    <row r="94" spans="1:22" ht="14" x14ac:dyDescent="0.3">
      <c r="A94" s="175"/>
      <c r="C94" s="341"/>
      <c r="D94" s="290"/>
      <c r="E94" s="290"/>
      <c r="F94" s="290"/>
      <c r="G94" s="290"/>
      <c r="H94" s="290"/>
      <c r="I94" s="290"/>
      <c r="J94" s="290"/>
      <c r="K94" s="290"/>
      <c r="L94" s="290"/>
      <c r="M94" s="117"/>
      <c r="N94" s="117"/>
      <c r="P94" s="120" t="str">
        <f>Cen!A718</f>
        <v>Podložka CLIP top přímá, ocel., EXPANDO</v>
      </c>
      <c r="Q94" s="120" t="str">
        <f>Cen!B718</f>
        <v>177H3100E</v>
      </c>
      <c r="R94" s="120" t="str">
        <f>Cen!C718</f>
        <v>NI</v>
      </c>
      <c r="S94" s="121">
        <f>SUM($S$90:$S$93)</f>
        <v>0</v>
      </c>
      <c r="T94" s="116">
        <f>Cen!F718</f>
        <v>15.007749999999998</v>
      </c>
      <c r="U94" s="772">
        <f t="shared" si="14"/>
        <v>0</v>
      </c>
      <c r="V94" s="2" t="s">
        <v>1400</v>
      </c>
    </row>
    <row r="95" spans="1:22" ht="14" x14ac:dyDescent="0.3">
      <c r="A95" s="175"/>
      <c r="C95" s="341"/>
      <c r="D95" s="290"/>
      <c r="E95" s="290"/>
      <c r="F95" s="290"/>
      <c r="G95" s="290"/>
      <c r="H95" s="290"/>
      <c r="I95" s="290"/>
      <c r="J95" s="290"/>
      <c r="K95" s="290"/>
      <c r="L95" s="290"/>
      <c r="M95" s="117"/>
      <c r="N95" s="117"/>
      <c r="P95" s="120"/>
      <c r="Q95" s="120"/>
      <c r="R95" s="120"/>
      <c r="S95" s="121"/>
      <c r="T95" s="116"/>
      <c r="U95" s="116"/>
    </row>
    <row r="96" spans="1:22" ht="14" x14ac:dyDescent="0.3">
      <c r="A96" s="175"/>
      <c r="C96" s="341"/>
      <c r="D96" s="290"/>
      <c r="E96" s="290"/>
      <c r="F96" s="290"/>
      <c r="G96" s="290"/>
      <c r="H96" s="290"/>
      <c r="I96" s="290"/>
      <c r="J96" s="290"/>
      <c r="K96" s="290"/>
      <c r="L96" s="290"/>
      <c r="M96" s="117"/>
      <c r="N96" s="117"/>
      <c r="P96" s="120" t="str">
        <f>Cen!A721</f>
        <v>TIP-ON, prodloužená délka, šedá</v>
      </c>
      <c r="Q96" s="120" t="str">
        <f>Cen!B721</f>
        <v>956A1004</v>
      </c>
      <c r="R96" s="120" t="str">
        <f>Cen!C721</f>
        <v>PG</v>
      </c>
      <c r="S96" s="121">
        <f>IF($Y$3=1, 0, SUM($D$26:$F$26, $J$26:$L$26, $D$34:$F$34, $J$34:$L$34))</f>
        <v>0</v>
      </c>
      <c r="T96" s="116">
        <f>Cen!F721</f>
        <v>129.02763999999999</v>
      </c>
      <c r="U96" s="772">
        <f t="shared" ref="U96" si="15">S96*T96</f>
        <v>0</v>
      </c>
    </row>
    <row r="97" spans="2:21" ht="14" x14ac:dyDescent="0.3">
      <c r="C97" s="286"/>
      <c r="D97" s="340"/>
      <c r="E97" s="341"/>
      <c r="F97" s="342"/>
      <c r="G97" s="342"/>
      <c r="H97" s="341"/>
      <c r="I97" s="341"/>
      <c r="J97" s="286"/>
      <c r="K97" s="286"/>
      <c r="L97" s="286"/>
      <c r="P97" s="117"/>
      <c r="Q97" s="117"/>
      <c r="U97" s="773"/>
    </row>
    <row r="98" spans="2:21" ht="14" x14ac:dyDescent="0.3">
      <c r="B98" s="286"/>
      <c r="C98" s="286"/>
      <c r="D98" s="344"/>
      <c r="E98" s="290"/>
      <c r="F98" s="290"/>
      <c r="G98" s="290"/>
      <c r="H98" s="290"/>
      <c r="I98" s="290"/>
      <c r="J98" s="284"/>
      <c r="K98" s="284"/>
      <c r="L98" s="284"/>
      <c r="P98" s="117"/>
      <c r="Q98" s="117"/>
      <c r="S98" s="74" t="str">
        <f>List!$B$97</f>
        <v>cena kování</v>
      </c>
      <c r="U98" s="773">
        <f>SUM(U3:U97)</f>
        <v>0</v>
      </c>
    </row>
    <row r="99" spans="2:21" x14ac:dyDescent="0.25">
      <c r="B99" s="117"/>
      <c r="I99" s="285"/>
      <c r="J99" s="285"/>
      <c r="K99" s="285"/>
      <c r="L99" s="285"/>
      <c r="P99" s="117"/>
      <c r="Q99" s="117"/>
    </row>
    <row r="100" spans="2:21" ht="13" x14ac:dyDescent="0.3">
      <c r="B100" s="117"/>
      <c r="I100" s="283"/>
      <c r="J100" s="283"/>
      <c r="K100" s="283"/>
      <c r="L100" s="283"/>
      <c r="P100" s="117"/>
      <c r="Q100" s="117"/>
    </row>
    <row r="115" spans="1:1" x14ac:dyDescent="0.25">
      <c r="A115" s="823"/>
    </row>
    <row r="116" spans="1:1" x14ac:dyDescent="0.25">
      <c r="A116" s="823"/>
    </row>
    <row r="117" spans="1:1" x14ac:dyDescent="0.25">
      <c r="A117" s="823"/>
    </row>
    <row r="118" spans="1:1" x14ac:dyDescent="0.25">
      <c r="A118" s="823"/>
    </row>
    <row r="119" spans="1:1" x14ac:dyDescent="0.25">
      <c r="A119" s="823"/>
    </row>
    <row r="120" spans="1:1" x14ac:dyDescent="0.25">
      <c r="A120" s="823"/>
    </row>
    <row r="121" spans="1:1" x14ac:dyDescent="0.25">
      <c r="A121" s="823"/>
    </row>
    <row r="122" spans="1:1" x14ac:dyDescent="0.25">
      <c r="A122" s="823"/>
    </row>
    <row r="123" spans="1:1" x14ac:dyDescent="0.25">
      <c r="A123" s="823"/>
    </row>
    <row r="124" spans="1:1" x14ac:dyDescent="0.25">
      <c r="A124" s="823"/>
    </row>
    <row r="125" spans="1:1" x14ac:dyDescent="0.25">
      <c r="A125" s="823"/>
    </row>
    <row r="126" spans="1:1" x14ac:dyDescent="0.25">
      <c r="A126" s="823"/>
    </row>
    <row r="127" spans="1:1" x14ac:dyDescent="0.25">
      <c r="A127" s="823"/>
    </row>
    <row r="128" spans="1:1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  <row r="142" spans="1:1" x14ac:dyDescent="0.25">
      <c r="A142" s="823"/>
    </row>
    <row r="143" spans="1:1" x14ac:dyDescent="0.25">
      <c r="A143" s="823"/>
    </row>
    <row r="144" spans="1:1" x14ac:dyDescent="0.25">
      <c r="A144" s="823"/>
    </row>
    <row r="145" spans="1:1" x14ac:dyDescent="0.25">
      <c r="A145" s="823"/>
    </row>
    <row r="146" spans="1:1" x14ac:dyDescent="0.25">
      <c r="A146" s="823"/>
    </row>
    <row r="147" spans="1:1" x14ac:dyDescent="0.25">
      <c r="A147" s="823"/>
    </row>
    <row r="148" spans="1:1" x14ac:dyDescent="0.25">
      <c r="A148" s="823"/>
    </row>
    <row r="149" spans="1:1" x14ac:dyDescent="0.25">
      <c r="A149" s="823"/>
    </row>
    <row r="150" spans="1:1" x14ac:dyDescent="0.25">
      <c r="A150" s="823"/>
    </row>
    <row r="151" spans="1:1" x14ac:dyDescent="0.25">
      <c r="A151" s="823"/>
    </row>
    <row r="152" spans="1:1" x14ac:dyDescent="0.25">
      <c r="A152" s="823"/>
    </row>
    <row r="153" spans="1:1" x14ac:dyDescent="0.25">
      <c r="A153" s="823"/>
    </row>
    <row r="154" spans="1:1" x14ac:dyDescent="0.25">
      <c r="A154" s="823"/>
    </row>
    <row r="155" spans="1:1" x14ac:dyDescent="0.25">
      <c r="A155" s="823"/>
    </row>
    <row r="156" spans="1:1" x14ac:dyDescent="0.25">
      <c r="A156" s="823"/>
    </row>
  </sheetData>
  <sheetProtection algorithmName="SHA-512" hashValue="zA3yYc2NxOfKsyuzn+Ix1POmj++CzvVv2kjhPn7jGEQr+mfAJ7xHjt0Yys7tWucRTmHw5BnL/afiwYqThZ1c3g==" saltValue="Csy2aLWjrfl2N14ZxxetvA==" spinCount="100000" sheet="1" objects="1" scenarios="1"/>
  <mergeCells count="1">
    <mergeCell ref="A115:A156"/>
  </mergeCells>
  <hyperlinks>
    <hyperlink ref="N3" location="Form!A1" tooltip=" " display="Form!A1" xr:uid="{00000000-0004-0000-1D00-000000000000}"/>
    <hyperlink ref="N4" location="Menu!A1" tooltip=" " display="Menu!A1" xr:uid="{00000000-0004-0000-1D00-000001000000}"/>
    <hyperlink ref="N7" location="Acs!A1" tooltip=" " display="Acs!A1" xr:uid="{00000000-0004-0000-1D00-000002000000}"/>
    <hyperlink ref="N8" location="SD!A1" tooltip=" " display="SD!A1" xr:uid="{00000000-0004-0000-1D00-000003000000}"/>
    <hyperlink ref="N10" location="Sum!A1" tooltip=" " display="Sum!A1" xr:uid="{00000000-0004-0000-1D00-000004000000}"/>
    <hyperlink ref="N11" location="Ord!A1" tooltip=" " display="Ord!A1" xr:uid="{00000000-0004-0000-1D00-000005000000}"/>
    <hyperlink ref="N9" location="AL!A1" tooltip=" " display="AL!A1" xr:uid="{00000000-0004-0000-1D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Drop Down 1">
              <controlPr defaultSize="0" autoLine="0" autoPict="0">
                <anchor moveWithCells="1">
                  <from>
                    <xdr:col>10</xdr:col>
                    <xdr:colOff>101600</xdr:colOff>
                    <xdr:row>15</xdr:row>
                    <xdr:rowOff>152400</xdr:rowOff>
                  </from>
                  <to>
                    <xdr:col>12</xdr:col>
                    <xdr:colOff>6350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Drop Down 2">
              <controlPr defaultSize="0" autoLine="0" autoPict="0" macro="[0]!stahovací6_Změnit">
                <anchor moveWithCells="1">
                  <from>
                    <xdr:col>10</xdr:col>
                    <xdr:colOff>63500</xdr:colOff>
                    <xdr:row>15</xdr:row>
                    <xdr:rowOff>146050</xdr:rowOff>
                  </from>
                  <to>
                    <xdr:col>12</xdr:col>
                    <xdr:colOff>6350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0">
    <tabColor indexed="57"/>
  </sheetPr>
  <dimension ref="A1:K326"/>
  <sheetViews>
    <sheetView showGridLines="0" showRowColHeaders="0" workbookViewId="0">
      <selection activeCell="I10" sqref="I10"/>
    </sheetView>
  </sheetViews>
  <sheetFormatPr defaultColWidth="9.1796875" defaultRowHeight="12.5" x14ac:dyDescent="0.25"/>
  <cols>
    <col min="1" max="1" width="7.1796875" style="117" customWidth="1"/>
    <col min="2" max="2" width="44.26953125" style="117" customWidth="1"/>
    <col min="3" max="3" width="17.1796875" style="117" customWidth="1"/>
    <col min="4" max="7" width="10" style="117" customWidth="1"/>
    <col min="8" max="8" width="3.1796875" style="117" customWidth="1"/>
    <col min="9" max="9" width="27.54296875" style="117" customWidth="1"/>
    <col min="10" max="16384" width="9.1796875" style="117"/>
  </cols>
  <sheetData>
    <row r="1" spans="1:9" ht="19.5" customHeight="1" x14ac:dyDescent="0.4">
      <c r="G1" s="189" t="str">
        <f>List!B5</f>
        <v>Výběr doplňků</v>
      </c>
    </row>
    <row r="2" spans="1:9" ht="17.5" x14ac:dyDescent="0.35">
      <c r="A2" s="2"/>
      <c r="B2" s="190" t="str">
        <f>List!$B$158</f>
        <v>Ostatní</v>
      </c>
      <c r="C2" s="7"/>
      <c r="D2" s="7"/>
      <c r="E2" s="187" t="str">
        <f>List!$B$101&amp;":"</f>
        <v>Počet:</v>
      </c>
      <c r="F2" s="111"/>
      <c r="G2" s="114"/>
      <c r="I2" s="151" t="str">
        <f>List!$B$11&amp;":"</f>
        <v>Zpět na:</v>
      </c>
    </row>
    <row r="3" spans="1:9" ht="13" thickBot="1" x14ac:dyDescent="0.3">
      <c r="A3" s="113">
        <v>1</v>
      </c>
      <c r="B3" s="6" t="str">
        <f>Cen!A297</f>
        <v>TIP-ON synchronizace, sada pastorků</v>
      </c>
      <c r="C3" s="6" t="str">
        <f>Cen!B297</f>
        <v>T57.7400.01</v>
      </c>
      <c r="D3" s="6" t="str">
        <f>Cen!C297</f>
        <v>R737</v>
      </c>
      <c r="E3" s="9"/>
      <c r="F3" s="112">
        <f>Cen!F297</f>
        <v>194.59</v>
      </c>
      <c r="G3" s="803">
        <f t="shared" ref="G3:G10" si="0">E3*F3</f>
        <v>0</v>
      </c>
      <c r="I3" s="149" t="str">
        <f>" "&amp;List!$B$13</f>
        <v xml:space="preserve"> Úvod</v>
      </c>
    </row>
    <row r="4" spans="1:9" x14ac:dyDescent="0.25">
      <c r="A4" s="113">
        <v>2</v>
      </c>
      <c r="B4" s="6" t="str">
        <f>Cen!A298</f>
        <v>TIP-ON synchronizace, tyč ke zkrácení</v>
      </c>
      <c r="C4" s="6" t="str">
        <f>Cen!B298</f>
        <v>ZST.1160W</v>
      </c>
      <c r="D4" s="6" t="str">
        <f>Cen!C298</f>
        <v>ROH</v>
      </c>
      <c r="E4" s="9"/>
      <c r="F4" s="112">
        <f>Cen!F298</f>
        <v>107.28</v>
      </c>
      <c r="G4" s="803">
        <f t="shared" si="0"/>
        <v>0</v>
      </c>
      <c r="I4" s="150" t="str">
        <f>" "&amp;List!$B$4</f>
        <v xml:space="preserve"> Výběr zásuvek a výsuvů</v>
      </c>
    </row>
    <row r="5" spans="1:9" x14ac:dyDescent="0.25">
      <c r="A5" s="113" t="s">
        <v>233</v>
      </c>
      <c r="B5" s="6" t="str">
        <f>Cen!A301</f>
        <v>Boční stabilizace, sada NL 250-400mm</v>
      </c>
      <c r="C5" s="6" t="str">
        <f>Cen!B301</f>
        <v>ZS7M400LU</v>
      </c>
      <c r="D5" s="6" t="str">
        <f>Cen!C301</f>
        <v>R737</v>
      </c>
      <c r="E5" s="9"/>
      <c r="F5" s="112">
        <f>Cen!F301</f>
        <v>620.08266000000003</v>
      </c>
      <c r="G5" s="803">
        <f t="shared" si="0"/>
        <v>0</v>
      </c>
      <c r="I5" s="2"/>
    </row>
    <row r="6" spans="1:9" x14ac:dyDescent="0.25">
      <c r="A6" s="113" t="s">
        <v>232</v>
      </c>
      <c r="B6" s="6" t="str">
        <f>Cen!A302</f>
        <v>Boční stabilizace, sada NL 450-600mm</v>
      </c>
      <c r="C6" s="6" t="str">
        <f>Cen!B302</f>
        <v>ZS7M650LU</v>
      </c>
      <c r="D6" s="6" t="str">
        <f>Cen!C302</f>
        <v>R737</v>
      </c>
      <c r="E6" s="9"/>
      <c r="F6" s="112">
        <f>Cen!F302</f>
        <v>620.08266000000003</v>
      </c>
      <c r="G6" s="803">
        <f t="shared" si="0"/>
        <v>0</v>
      </c>
      <c r="I6" s="2" t="str">
        <f>List!$B$12&amp;":"</f>
        <v>Pokračovat na:</v>
      </c>
    </row>
    <row r="7" spans="1:9" ht="13" thickBot="1" x14ac:dyDescent="0.3">
      <c r="A7" s="113">
        <v>4</v>
      </c>
      <c r="B7" s="6" t="str">
        <f>Cen!A306</f>
        <v>TIP-ON BLM synchronizační adaptér</v>
      </c>
      <c r="C7" s="6" t="str">
        <f>Cen!B306</f>
        <v>T60.000D</v>
      </c>
      <c r="D7" s="6" t="str">
        <f>Cen!C306</f>
        <v>R736</v>
      </c>
      <c r="E7" s="9"/>
      <c r="F7" s="112">
        <f>Cen!F306</f>
        <v>6.7107799999999997</v>
      </c>
      <c r="G7" s="803">
        <f t="shared" si="0"/>
        <v>0</v>
      </c>
      <c r="I7" s="149" t="str">
        <f>" "&amp;List!$B$6</f>
        <v xml:space="preserve"> Výběr SERVO-DRIVE</v>
      </c>
    </row>
    <row r="8" spans="1:9" ht="13" thickBot="1" x14ac:dyDescent="0.3">
      <c r="A8" s="113">
        <v>5</v>
      </c>
      <c r="B8" s="6" t="str">
        <f>Cen!A307</f>
        <v>TIP-ON BLM hřídel synchronizace, ke zkrácení</v>
      </c>
      <c r="C8" s="6" t="str">
        <f>Cen!B307</f>
        <v>T60L1125W</v>
      </c>
      <c r="D8" s="6" t="str">
        <f>Cen!C307</f>
        <v>S</v>
      </c>
      <c r="E8" s="9"/>
      <c r="F8" s="112">
        <f>Cen!F307</f>
        <v>110.51743999999999</v>
      </c>
      <c r="G8" s="803">
        <f t="shared" si="0"/>
        <v>0</v>
      </c>
      <c r="I8" s="242" t="str">
        <f>" "&amp;List!$B$7</f>
        <v xml:space="preserve"> Výběr AMBIA-LINE</v>
      </c>
    </row>
    <row r="9" spans="1:9" ht="13" thickBot="1" x14ac:dyDescent="0.3">
      <c r="A9" s="113">
        <v>6</v>
      </c>
      <c r="B9" s="6" t="str">
        <f>Cen!A308</f>
        <v>TIP-ON BLM jednodílná synchronizace, ke zkrácení</v>
      </c>
      <c r="C9" s="6" t="str">
        <f>Cen!B308</f>
        <v>T60.300D</v>
      </c>
      <c r="D9" s="6" t="str">
        <f>Cen!C308</f>
        <v>R735</v>
      </c>
      <c r="E9" s="9"/>
      <c r="F9" s="112">
        <f>Cen!F308</f>
        <v>27.348769999999998</v>
      </c>
      <c r="G9" s="803">
        <f t="shared" ref="G9" si="1">E9*F9</f>
        <v>0</v>
      </c>
      <c r="I9" s="150" t="str">
        <f>" "&amp;List!$B$18</f>
        <v xml:space="preserve"> Souhrn</v>
      </c>
    </row>
    <row r="10" spans="1:9" x14ac:dyDescent="0.25">
      <c r="A10" s="113">
        <v>8</v>
      </c>
      <c r="B10" s="6" t="str">
        <f>Cen!A398</f>
        <v>Unašeč pro vnirřní zásuvku M, Orion šedá</v>
      </c>
      <c r="C10" s="6" t="str">
        <f>Cen!B398</f>
        <v>ZI7.0M07</v>
      </c>
      <c r="D10" s="6" t="str">
        <f>Cen!C398</f>
        <v>OG-M</v>
      </c>
      <c r="E10" s="9"/>
      <c r="F10" s="112">
        <f>Cen!F398</f>
        <v>172.86022</v>
      </c>
      <c r="G10" s="803">
        <f t="shared" si="0"/>
        <v>0</v>
      </c>
      <c r="I10" s="150" t="str">
        <f>" "&amp;List!$B$20</f>
        <v xml:space="preserve"> Objednávka</v>
      </c>
    </row>
    <row r="11" spans="1:9" x14ac:dyDescent="0.25">
      <c r="A11" s="113"/>
      <c r="B11" s="6"/>
      <c r="C11" s="6"/>
      <c r="D11" s="6"/>
      <c r="E11" s="9"/>
      <c r="F11" s="112"/>
      <c r="G11" s="803"/>
    </row>
    <row r="12" spans="1:9" x14ac:dyDescent="0.25">
      <c r="A12" s="113">
        <v>11</v>
      </c>
      <c r="B12" s="6" t="str">
        <f>Cen!A634</f>
        <v>Stabilizace čel</v>
      </c>
      <c r="C12" s="6" t="str">
        <f>Cen!B634</f>
        <v>Z96.10E1</v>
      </c>
      <c r="D12" s="6" t="str">
        <f>Cen!C634</f>
        <v>R737</v>
      </c>
      <c r="E12" s="9"/>
      <c r="F12" s="112">
        <f>Cen!F634</f>
        <v>35.153820000000003</v>
      </c>
      <c r="G12" s="803">
        <f t="shared" ref="G12:G17" si="2">E12*F12</f>
        <v>0</v>
      </c>
      <c r="I12" s="183" t="str">
        <f>"     "&amp;List!$B$25</f>
        <v xml:space="preserve">     Informace k objednávání</v>
      </c>
    </row>
    <row r="13" spans="1:9" x14ac:dyDescent="0.25">
      <c r="A13" s="113">
        <v>12</v>
      </c>
      <c r="B13" s="6" t="str">
        <f>Cen!A635</f>
        <v>Tlumící čočka k zavrtání</v>
      </c>
      <c r="C13" s="6" t="str">
        <f>Cen!B635</f>
        <v>993.706</v>
      </c>
      <c r="D13" s="6" t="str">
        <f>Cen!C635</f>
        <v>R906</v>
      </c>
      <c r="E13" s="9"/>
      <c r="F13" s="112">
        <f>Cen!F635</f>
        <v>4.1288499999999999</v>
      </c>
      <c r="G13" s="803">
        <f t="shared" si="2"/>
        <v>0</v>
      </c>
    </row>
    <row r="14" spans="1:9" x14ac:dyDescent="0.25">
      <c r="A14" s="113">
        <v>13</v>
      </c>
      <c r="B14" s="6" t="str">
        <f>Cen!A633</f>
        <v>Upevňovací šrouby s plochou hlavou 4x15mm</v>
      </c>
      <c r="C14" s="6" t="str">
        <f>Cen!B633</f>
        <v>61D.1500</v>
      </c>
      <c r="D14" s="6" t="str">
        <f>Cen!C633</f>
        <v>ZN</v>
      </c>
      <c r="E14" s="9"/>
      <c r="F14" s="112">
        <f>Cen!F633</f>
        <v>1.8800600000000001</v>
      </c>
      <c r="G14" s="803">
        <f t="shared" si="2"/>
        <v>0</v>
      </c>
    </row>
    <row r="15" spans="1:9" x14ac:dyDescent="0.25">
      <c r="A15" s="113">
        <v>14</v>
      </c>
      <c r="B15" s="6" t="str">
        <f>Cen!A636</f>
        <v>Torxový šroubovák, T20</v>
      </c>
      <c r="C15" s="6" t="str">
        <f>Cen!B636</f>
        <v>209.093.7</v>
      </c>
      <c r="D15" s="6" t="str">
        <f>Cen!C636</f>
        <v>OR</v>
      </c>
      <c r="E15" s="9"/>
      <c r="F15" s="112">
        <f>Cen!F636</f>
        <v>165</v>
      </c>
      <c r="G15" s="803">
        <f t="shared" si="2"/>
        <v>0</v>
      </c>
    </row>
    <row r="16" spans="1:9" x14ac:dyDescent="0.25">
      <c r="A16" s="113">
        <v>15</v>
      </c>
      <c r="B16" s="6" t="str">
        <f>Cen!A637</f>
        <v>Transportní pojistka</v>
      </c>
      <c r="C16" s="6" t="str">
        <f>Cen!B637</f>
        <v>780C0009</v>
      </c>
      <c r="D16" s="6" t="str">
        <f>Cen!C637</f>
        <v>GELB</v>
      </c>
      <c r="E16" s="9"/>
      <c r="F16" s="112">
        <f>Cen!F637</f>
        <v>33.796340000000001</v>
      </c>
      <c r="G16" s="803">
        <f t="shared" si="2"/>
        <v>0</v>
      </c>
      <c r="I16" s="191"/>
    </row>
    <row r="17" spans="1:9" x14ac:dyDescent="0.25">
      <c r="A17" s="113">
        <v>16</v>
      </c>
      <c r="B17" s="6" t="str">
        <f>Cen!A638</f>
        <v>Šablona pro nastavení mezery čela</v>
      </c>
      <c r="C17" s="6" t="str">
        <f>Cen!B638</f>
        <v>65.5631</v>
      </c>
      <c r="D17" s="6" t="str">
        <f>Cen!C638</f>
        <v>OR</v>
      </c>
      <c r="E17" s="9"/>
      <c r="F17" s="112">
        <f>Cen!F638</f>
        <v>161.81934999999999</v>
      </c>
      <c r="G17" s="803">
        <f t="shared" si="2"/>
        <v>0</v>
      </c>
      <c r="I17" s="191"/>
    </row>
    <row r="18" spans="1:9" x14ac:dyDescent="0.25">
      <c r="A18" s="656">
        <v>17</v>
      </c>
      <c r="B18" s="6" t="str">
        <f>Cen!A639</f>
        <v>Stabilizace čel, pro tenké materiály</v>
      </c>
      <c r="C18" s="6" t="str">
        <f>Cen!B639</f>
        <v>Z96.00T1</v>
      </c>
      <c r="D18" s="6" t="str">
        <f>Cen!C639</f>
        <v>R737</v>
      </c>
      <c r="E18" s="9"/>
      <c r="F18" s="112">
        <f>Cen!F639</f>
        <v>90.96396</v>
      </c>
      <c r="G18" s="803">
        <f t="shared" ref="G18" si="3">E18*F18</f>
        <v>0</v>
      </c>
      <c r="I18" s="191"/>
    </row>
    <row r="19" spans="1:9" x14ac:dyDescent="0.25">
      <c r="A19" s="656">
        <v>18</v>
      </c>
      <c r="B19" s="6" t="str">
        <f>Cen!A640</f>
        <v>EXPANDO T, samostatná hmoždinka</v>
      </c>
      <c r="C19" s="6" t="str">
        <f>Cen!B640</f>
        <v>70T4532T</v>
      </c>
      <c r="D19" s="6" t="str">
        <f>Cen!C640</f>
        <v>DGR</v>
      </c>
      <c r="E19" s="9"/>
      <c r="F19" s="112">
        <f>Cen!F640</f>
        <v>58.394089999999998</v>
      </c>
      <c r="G19" s="803">
        <f>E19*F19</f>
        <v>0</v>
      </c>
      <c r="I19" s="191"/>
    </row>
    <row r="20" spans="1:9" ht="20" customHeight="1" x14ac:dyDescent="0.25">
      <c r="A20" s="2"/>
      <c r="B20" s="6"/>
      <c r="C20" s="6"/>
      <c r="D20" s="6"/>
      <c r="E20" s="5"/>
      <c r="F20" s="4" t="str">
        <f>List!$B$107&amp;":"</f>
        <v>Celkem:</v>
      </c>
      <c r="G20" s="803">
        <f>SUM(G3:G19)</f>
        <v>0</v>
      </c>
      <c r="I20" s="191"/>
    </row>
    <row r="21" spans="1:9" x14ac:dyDescent="0.25">
      <c r="A21" s="2"/>
      <c r="B21" s="2"/>
      <c r="C21" s="2"/>
      <c r="D21" s="2"/>
      <c r="E21" s="2"/>
      <c r="F21" s="2"/>
      <c r="G21" s="804"/>
      <c r="I21" s="191"/>
    </row>
    <row r="22" spans="1:9" ht="17.5" x14ac:dyDescent="0.35">
      <c r="B22" s="190" t="str">
        <f>List!B159</f>
        <v>Závěsy pro potravinové skříně</v>
      </c>
      <c r="C22" s="7"/>
      <c r="D22" s="7"/>
      <c r="E22" s="187" t="str">
        <f>List!$B$101&amp;":"</f>
        <v>Počet:</v>
      </c>
      <c r="F22" s="111"/>
      <c r="G22" s="805"/>
      <c r="I22" s="191"/>
    </row>
    <row r="23" spans="1:9" x14ac:dyDescent="0.25">
      <c r="A23" s="113" t="s">
        <v>236</v>
      </c>
      <c r="B23" s="6" t="str">
        <f>Cen!A704</f>
        <v>CLIP top BLUMOTION 155° s nulovým přesahem</v>
      </c>
      <c r="C23" s="6" t="str">
        <f>Cen!B704</f>
        <v>71B7550</v>
      </c>
      <c r="D23" s="6" t="str">
        <f>Cen!C704</f>
        <v>NI</v>
      </c>
      <c r="E23" s="9"/>
      <c r="F23" s="112">
        <f>Cen!F704</f>
        <v>165.76643000000001</v>
      </c>
      <c r="G23" s="803">
        <f>E23*F23</f>
        <v>0</v>
      </c>
      <c r="I23" s="191"/>
    </row>
    <row r="24" spans="1:9" x14ac:dyDescent="0.25">
      <c r="A24" s="113" t="s">
        <v>235</v>
      </c>
      <c r="B24" s="6" t="str">
        <f>Cen!A705</f>
        <v>CLIP top BLUMOTION 155° s nul. přes., EXPANDO</v>
      </c>
      <c r="C24" s="6" t="str">
        <f>Cen!B705</f>
        <v>71B758E</v>
      </c>
      <c r="D24" s="6" t="str">
        <f>Cen!C705</f>
        <v>NI</v>
      </c>
      <c r="E24" s="9"/>
      <c r="F24" s="112">
        <f>Cen!F705</f>
        <v>0</v>
      </c>
      <c r="G24" s="803">
        <f>E24*F24</f>
        <v>0</v>
      </c>
      <c r="I24" s="191"/>
    </row>
    <row r="25" spans="1:9" ht="12.75" customHeight="1" x14ac:dyDescent="0.25">
      <c r="A25" s="113" t="s">
        <v>234</v>
      </c>
      <c r="B25" s="6" t="str">
        <f>Cen!A706</f>
        <v>CLIP top 155° s nulovým přesahem, bez pružiny</v>
      </c>
      <c r="C25" s="6" t="str">
        <f>Cen!B706</f>
        <v>70T7550.TL</v>
      </c>
      <c r="D25" s="6" t="str">
        <f>Cen!C706</f>
        <v>NI</v>
      </c>
      <c r="E25" s="9"/>
      <c r="F25" s="112">
        <f>Cen!F706</f>
        <v>125.78175000000002</v>
      </c>
      <c r="G25" s="803">
        <f>E25*F25</f>
        <v>0</v>
      </c>
      <c r="I25" s="183" t="str">
        <f>"     "&amp;List!$B$25</f>
        <v xml:space="preserve">     Informace k objednávání</v>
      </c>
    </row>
    <row r="26" spans="1:9" x14ac:dyDescent="0.25">
      <c r="A26" s="113" t="s">
        <v>58</v>
      </c>
      <c r="B26" s="6" t="str">
        <f>Cen!A707</f>
        <v>CLIP top BLUMOTION 125° s nulovým přesahem</v>
      </c>
      <c r="C26" s="6" t="str">
        <f>Cen!B707</f>
        <v>71B7550D</v>
      </c>
      <c r="D26" s="6" t="str">
        <f>Cen!C707</f>
        <v>NI</v>
      </c>
      <c r="E26" s="9"/>
      <c r="F26" s="112">
        <f>Cen!F707</f>
        <v>165.76643000000001</v>
      </c>
      <c r="G26" s="803">
        <f>E26*F26</f>
        <v>0</v>
      </c>
      <c r="I26" s="191"/>
    </row>
    <row r="27" spans="1:9" x14ac:dyDescent="0.25">
      <c r="A27" s="113" t="s">
        <v>233</v>
      </c>
      <c r="B27" s="6" t="str">
        <f>Cen!A708</f>
        <v>CLIP top BLUMOTION 110° pro tenké materiály</v>
      </c>
      <c r="C27" s="6" t="str">
        <f>Cen!B708</f>
        <v>71B453T</v>
      </c>
      <c r="D27" s="6" t="str">
        <f>Cen!C708</f>
        <v>NI</v>
      </c>
      <c r="E27" s="9"/>
      <c r="F27" s="112">
        <f>Cen!F708</f>
        <v>330.55977000000001</v>
      </c>
      <c r="G27" s="803">
        <f t="shared" ref="G27:G28" si="4">E27*F27</f>
        <v>0</v>
      </c>
      <c r="I27" s="191"/>
    </row>
    <row r="28" spans="1:9" x14ac:dyDescent="0.25">
      <c r="A28" s="113" t="s">
        <v>1411</v>
      </c>
      <c r="B28" s="6" t="str">
        <f>Cen!A709</f>
        <v>CLIP top 110°, pro tenké materiály, bez pružiny</v>
      </c>
      <c r="C28" s="6" t="str">
        <f>Cen!B709</f>
        <v>70T753T.TL</v>
      </c>
      <c r="D28" s="6" t="str">
        <f>Cen!C709</f>
        <v>NI</v>
      </c>
      <c r="E28" s="9"/>
      <c r="F28" s="112">
        <f>Cen!F709</f>
        <v>283.51188000000002</v>
      </c>
      <c r="G28" s="803">
        <f t="shared" si="4"/>
        <v>0</v>
      </c>
      <c r="I28" s="191"/>
    </row>
    <row r="29" spans="1:9" ht="12.75" customHeight="1" x14ac:dyDescent="0.25">
      <c r="A29" s="113" t="s">
        <v>88</v>
      </c>
      <c r="B29" s="6" t="str">
        <f>Cen!A711</f>
        <v>Podložka CLIP na vruty</v>
      </c>
      <c r="C29" s="6" t="str">
        <f>Cen!B711</f>
        <v>173L6100</v>
      </c>
      <c r="D29" s="6" t="str">
        <f>Cen!C711</f>
        <v>NI</v>
      </c>
      <c r="E29" s="9"/>
      <c r="F29" s="112">
        <f>Cen!F711</f>
        <v>5.3514999999999997</v>
      </c>
      <c r="G29" s="803">
        <f t="shared" ref="G29:G40" si="5">E29*F29</f>
        <v>0</v>
      </c>
      <c r="I29" s="191"/>
    </row>
    <row r="30" spans="1:9" x14ac:dyDescent="0.25">
      <c r="A30" s="113" t="s">
        <v>89</v>
      </c>
      <c r="B30" s="6" t="str">
        <f>Cen!A712</f>
        <v>Podložka CLIP EXPANDO</v>
      </c>
      <c r="C30" s="6" t="str">
        <f>Cen!B712</f>
        <v>174E6100.01</v>
      </c>
      <c r="D30" s="6" t="str">
        <f>Cen!C712</f>
        <v>NI</v>
      </c>
      <c r="E30" s="9"/>
      <c r="F30" s="112">
        <f>Cen!F712</f>
        <v>8.2889099999999996</v>
      </c>
      <c r="G30" s="803">
        <f t="shared" si="5"/>
        <v>0</v>
      </c>
    </row>
    <row r="31" spans="1:9" x14ac:dyDescent="0.25">
      <c r="A31" s="113" t="s">
        <v>301</v>
      </c>
      <c r="B31" s="6" t="str">
        <f>Cen!A713</f>
        <v>Podložka CLIP s excentrem</v>
      </c>
      <c r="C31" s="6" t="str">
        <f>Cen!B713</f>
        <v>173H7100</v>
      </c>
      <c r="D31" s="6" t="str">
        <f>Cen!C713</f>
        <v>NI</v>
      </c>
      <c r="E31" s="9"/>
      <c r="F31" s="112">
        <f>Cen!F713</f>
        <v>13.941179999999999</v>
      </c>
      <c r="G31" s="803">
        <f t="shared" si="5"/>
        <v>0</v>
      </c>
    </row>
    <row r="32" spans="1:9" x14ac:dyDescent="0.25">
      <c r="A32" s="113" t="s">
        <v>90</v>
      </c>
      <c r="B32" s="6" t="str">
        <f>Cen!A714</f>
        <v>Podložka CLIP s excentrem, EXPANDO</v>
      </c>
      <c r="C32" s="6" t="str">
        <f>Cen!B714</f>
        <v>174H7100E</v>
      </c>
      <c r="D32" s="6" t="str">
        <f>Cen!C714</f>
        <v>NI</v>
      </c>
      <c r="E32" s="9"/>
      <c r="F32" s="112">
        <f>Cen!F714</f>
        <v>17.038019999999999</v>
      </c>
      <c r="G32" s="803">
        <f t="shared" si="5"/>
        <v>0</v>
      </c>
    </row>
    <row r="33" spans="1:7" x14ac:dyDescent="0.25">
      <c r="A33" s="113" t="s">
        <v>0</v>
      </c>
      <c r="B33" s="6" t="str">
        <f>Cen!A715</f>
        <v>Podložka CLIP top přímá</v>
      </c>
      <c r="C33" s="6" t="str">
        <f>Cen!B715</f>
        <v>175H5400</v>
      </c>
      <c r="D33" s="6" t="str">
        <f>Cen!C715</f>
        <v>NI</v>
      </c>
      <c r="E33" s="9"/>
      <c r="F33" s="112">
        <f>Cen!F715</f>
        <v>20.467960000000001</v>
      </c>
      <c r="G33" s="803">
        <f t="shared" si="5"/>
        <v>0</v>
      </c>
    </row>
    <row r="34" spans="1:7" x14ac:dyDescent="0.25">
      <c r="A34" s="113" t="s">
        <v>1</v>
      </c>
      <c r="B34" s="6" t="str">
        <f>Cen!A716</f>
        <v>Podložka CLIP top přímá, EXPANDO</v>
      </c>
      <c r="C34" s="6" t="str">
        <f>Cen!B716</f>
        <v>177H5400E</v>
      </c>
      <c r="D34" s="6" t="str">
        <f>Cen!C716</f>
        <v>NI</v>
      </c>
      <c r="E34" s="9"/>
      <c r="F34" s="112">
        <f>Cen!F716</f>
        <v>23.60594</v>
      </c>
      <c r="G34" s="803">
        <f t="shared" si="5"/>
        <v>0</v>
      </c>
    </row>
    <row r="35" spans="1:7" x14ac:dyDescent="0.25">
      <c r="A35" s="113" t="s">
        <v>1412</v>
      </c>
      <c r="B35" s="6" t="str">
        <f>Cen!A717</f>
        <v>Podložka CLIP top přímá, ocel.</v>
      </c>
      <c r="C35" s="6" t="str">
        <f>Cen!B717</f>
        <v>175H3100</v>
      </c>
      <c r="D35" s="6" t="str">
        <f>Cen!C717</f>
        <v>NI</v>
      </c>
      <c r="E35" s="9"/>
      <c r="F35" s="112">
        <f>Cen!F717</f>
        <v>13.269839999999999</v>
      </c>
      <c r="G35" s="803">
        <f t="shared" si="5"/>
        <v>0</v>
      </c>
    </row>
    <row r="36" spans="1:7" x14ac:dyDescent="0.25">
      <c r="A36" s="113" t="s">
        <v>1413</v>
      </c>
      <c r="B36" s="6" t="str">
        <f>Cen!A718</f>
        <v>Podložka CLIP top přímá, ocel., EXPANDO</v>
      </c>
      <c r="C36" s="6" t="str">
        <f>Cen!B718</f>
        <v>177H3100E</v>
      </c>
      <c r="D36" s="6" t="str">
        <f>Cen!C718</f>
        <v>NI</v>
      </c>
      <c r="E36" s="9"/>
      <c r="F36" s="112">
        <f>Cen!F718</f>
        <v>15.007749999999998</v>
      </c>
      <c r="G36" s="803">
        <f t="shared" si="5"/>
        <v>0</v>
      </c>
    </row>
    <row r="37" spans="1:7" x14ac:dyDescent="0.25">
      <c r="A37" s="113">
        <v>8</v>
      </c>
      <c r="B37" s="6" t="str">
        <f>Cen!A720</f>
        <v>BLUMOTION v křížovém adaptéru</v>
      </c>
      <c r="C37" s="6" t="str">
        <f>Cen!B720</f>
        <v>971A0500</v>
      </c>
      <c r="D37" s="6" t="str">
        <f>Cen!C720</f>
        <v>NI</v>
      </c>
      <c r="E37" s="9"/>
      <c r="F37" s="112">
        <f>Cen!F720</f>
        <v>79.750699999999995</v>
      </c>
      <c r="G37" s="803">
        <f t="shared" si="5"/>
        <v>0</v>
      </c>
    </row>
    <row r="38" spans="1:7" x14ac:dyDescent="0.25">
      <c r="A38" s="113">
        <v>9</v>
      </c>
      <c r="B38" s="6" t="str">
        <f>Cen!A721</f>
        <v>TIP-ON, prodloužená délka, šedá</v>
      </c>
      <c r="C38" s="6" t="str">
        <f>Cen!B721</f>
        <v>956A1004</v>
      </c>
      <c r="D38" s="6" t="str">
        <f>Cen!C721</f>
        <v>PG</v>
      </c>
      <c r="E38" s="9"/>
      <c r="F38" s="112">
        <f>Cen!F721</f>
        <v>129.02763999999999</v>
      </c>
      <c r="G38" s="803">
        <f t="shared" si="5"/>
        <v>0</v>
      </c>
    </row>
    <row r="39" spans="1:7" x14ac:dyDescent="0.25">
      <c r="A39" s="113">
        <v>10</v>
      </c>
      <c r="B39" s="6" t="str">
        <f>Cen!A724</f>
        <v>TIP-ON přímý adaptér, prodl.délka, šedá</v>
      </c>
      <c r="C39" s="6" t="str">
        <f>Cen!B724</f>
        <v>956A1201</v>
      </c>
      <c r="D39" s="6" t="str">
        <f>Cen!C724</f>
        <v>PG</v>
      </c>
      <c r="E39" s="9"/>
      <c r="F39" s="112">
        <f>Cen!F724</f>
        <v>25.413550000000001</v>
      </c>
      <c r="G39" s="803">
        <f t="shared" si="5"/>
        <v>0</v>
      </c>
    </row>
    <row r="40" spans="1:7" x14ac:dyDescent="0.25">
      <c r="A40" s="113">
        <v>11</v>
      </c>
      <c r="B40" s="6" t="str">
        <f>Cen!A727</f>
        <v>TIP-ON křížový adaptér, šedá</v>
      </c>
      <c r="C40" s="6" t="str">
        <f>Cen!B727</f>
        <v>956A1501</v>
      </c>
      <c r="D40" s="6" t="str">
        <f>Cen!C727</f>
        <v>PG</v>
      </c>
      <c r="E40" s="9"/>
      <c r="F40" s="112">
        <f>Cen!F727</f>
        <v>19.052040000000002</v>
      </c>
      <c r="G40" s="803">
        <f t="shared" si="5"/>
        <v>0</v>
      </c>
    </row>
    <row r="41" spans="1:7" ht="20" customHeight="1" x14ac:dyDescent="0.25">
      <c r="B41" s="6"/>
      <c r="C41" s="6"/>
      <c r="D41" s="6"/>
      <c r="E41" s="5"/>
      <c r="F41" s="4" t="str">
        <f>List!$B$107&amp;":"</f>
        <v>Celkem:</v>
      </c>
      <c r="G41" s="803">
        <f>SUM(G23:G40)</f>
        <v>0</v>
      </c>
    </row>
    <row r="46" spans="1:7" ht="12" customHeight="1" x14ac:dyDescent="0.25"/>
    <row r="113" spans="1:11" x14ac:dyDescent="0.25">
      <c r="A113" s="816"/>
      <c r="J113" s="886" t="str">
        <f>List!$B$112</f>
        <v>Zpět</v>
      </c>
      <c r="K113" s="886"/>
    </row>
    <row r="114" spans="1:11" x14ac:dyDescent="0.25">
      <c r="A114" s="816"/>
    </row>
    <row r="115" spans="1:11" x14ac:dyDescent="0.25">
      <c r="A115" s="816"/>
    </row>
    <row r="116" spans="1:11" x14ac:dyDescent="0.25">
      <c r="A116" s="816"/>
    </row>
    <row r="117" spans="1:11" x14ac:dyDescent="0.25">
      <c r="A117" s="816"/>
    </row>
    <row r="118" spans="1:11" x14ac:dyDescent="0.25">
      <c r="A118" s="816"/>
    </row>
    <row r="119" spans="1:11" x14ac:dyDescent="0.25">
      <c r="A119" s="816"/>
    </row>
    <row r="120" spans="1:11" x14ac:dyDescent="0.25">
      <c r="A120" s="816"/>
    </row>
    <row r="121" spans="1:11" x14ac:dyDescent="0.25">
      <c r="A121" s="816"/>
    </row>
    <row r="122" spans="1:11" x14ac:dyDescent="0.25">
      <c r="A122" s="816"/>
    </row>
    <row r="123" spans="1:11" x14ac:dyDescent="0.25">
      <c r="A123" s="816"/>
    </row>
    <row r="124" spans="1:11" x14ac:dyDescent="0.25">
      <c r="A124" s="816"/>
    </row>
    <row r="125" spans="1:11" x14ac:dyDescent="0.25">
      <c r="A125" s="816"/>
    </row>
    <row r="126" spans="1:11" x14ac:dyDescent="0.25">
      <c r="A126" s="816"/>
    </row>
    <row r="127" spans="1:11" x14ac:dyDescent="0.25">
      <c r="A127" s="816"/>
    </row>
    <row r="128" spans="1:11" x14ac:dyDescent="0.25">
      <c r="A128" s="816"/>
    </row>
    <row r="129" spans="1:1" x14ac:dyDescent="0.25">
      <c r="A129" s="816"/>
    </row>
    <row r="130" spans="1:1" x14ac:dyDescent="0.25">
      <c r="A130" s="816"/>
    </row>
    <row r="131" spans="1:1" x14ac:dyDescent="0.25">
      <c r="A131" s="816"/>
    </row>
    <row r="132" spans="1:1" x14ac:dyDescent="0.25">
      <c r="A132" s="816"/>
    </row>
    <row r="133" spans="1:1" x14ac:dyDescent="0.25">
      <c r="A133" s="816"/>
    </row>
    <row r="134" spans="1:1" x14ac:dyDescent="0.25">
      <c r="A134" s="816"/>
    </row>
    <row r="135" spans="1:1" x14ac:dyDescent="0.25">
      <c r="A135" s="816"/>
    </row>
    <row r="136" spans="1:1" x14ac:dyDescent="0.25">
      <c r="A136" s="816"/>
    </row>
    <row r="137" spans="1:1" x14ac:dyDescent="0.25">
      <c r="A137" s="816"/>
    </row>
    <row r="138" spans="1:1" x14ac:dyDescent="0.25">
      <c r="A138" s="816"/>
    </row>
    <row r="139" spans="1:1" x14ac:dyDescent="0.25">
      <c r="A139" s="816"/>
    </row>
    <row r="140" spans="1:1" x14ac:dyDescent="0.25">
      <c r="A140" s="816"/>
    </row>
    <row r="141" spans="1:1" x14ac:dyDescent="0.25">
      <c r="A141" s="816"/>
    </row>
    <row r="142" spans="1:1" x14ac:dyDescent="0.25">
      <c r="A142" s="816"/>
    </row>
    <row r="143" spans="1:1" x14ac:dyDescent="0.25">
      <c r="A143" s="816"/>
    </row>
    <row r="144" spans="1:1" x14ac:dyDescent="0.25">
      <c r="A144" s="816"/>
    </row>
    <row r="145" spans="1:1" x14ac:dyDescent="0.25">
      <c r="A145" s="816"/>
    </row>
    <row r="146" spans="1:1" x14ac:dyDescent="0.25">
      <c r="A146" s="816"/>
    </row>
    <row r="147" spans="1:1" x14ac:dyDescent="0.25">
      <c r="A147" s="816"/>
    </row>
    <row r="148" spans="1:1" x14ac:dyDescent="0.25">
      <c r="A148" s="816"/>
    </row>
    <row r="149" spans="1:1" x14ac:dyDescent="0.25">
      <c r="A149" s="816"/>
    </row>
    <row r="150" spans="1:1" x14ac:dyDescent="0.25">
      <c r="A150" s="816"/>
    </row>
    <row r="151" spans="1:1" x14ac:dyDescent="0.25">
      <c r="A151" s="816"/>
    </row>
    <row r="152" spans="1:1" x14ac:dyDescent="0.25">
      <c r="A152" s="816"/>
    </row>
    <row r="153" spans="1:1" x14ac:dyDescent="0.25">
      <c r="A153" s="816"/>
    </row>
    <row r="154" spans="1:1" x14ac:dyDescent="0.25">
      <c r="A154" s="816"/>
    </row>
    <row r="155" spans="1:1" x14ac:dyDescent="0.25">
      <c r="A155" s="816"/>
    </row>
    <row r="156" spans="1:1" x14ac:dyDescent="0.25">
      <c r="A156" s="816"/>
    </row>
    <row r="157" spans="1:1" x14ac:dyDescent="0.25">
      <c r="A157" s="816"/>
    </row>
    <row r="158" spans="1:1" x14ac:dyDescent="0.25">
      <c r="A158" s="816"/>
    </row>
    <row r="159" spans="1:1" x14ac:dyDescent="0.25">
      <c r="A159" s="816"/>
    </row>
    <row r="160" spans="1:1" x14ac:dyDescent="0.25">
      <c r="A160" s="816"/>
    </row>
    <row r="161" spans="1:1" x14ac:dyDescent="0.25">
      <c r="A161" s="816"/>
    </row>
    <row r="162" spans="1:1" x14ac:dyDescent="0.25">
      <c r="A162" s="816"/>
    </row>
    <row r="163" spans="1:1" x14ac:dyDescent="0.25">
      <c r="A163" s="163"/>
    </row>
    <row r="164" spans="1:1" x14ac:dyDescent="0.25">
      <c r="A164" s="163"/>
    </row>
    <row r="165" spans="1:1" x14ac:dyDescent="0.25">
      <c r="A165" s="163"/>
    </row>
    <row r="166" spans="1:1" x14ac:dyDescent="0.25">
      <c r="A166" s="163"/>
    </row>
    <row r="167" spans="1:1" x14ac:dyDescent="0.25">
      <c r="A167" s="163"/>
    </row>
    <row r="168" spans="1:1" x14ac:dyDescent="0.25">
      <c r="A168" s="163"/>
    </row>
    <row r="169" spans="1:1" x14ac:dyDescent="0.25">
      <c r="A169" s="163"/>
    </row>
    <row r="170" spans="1:1" x14ac:dyDescent="0.25">
      <c r="A170" s="163"/>
    </row>
    <row r="171" spans="1:1" x14ac:dyDescent="0.25">
      <c r="A171" s="163"/>
    </row>
    <row r="172" spans="1:1" x14ac:dyDescent="0.25">
      <c r="A172" s="163"/>
    </row>
    <row r="173" spans="1:1" x14ac:dyDescent="0.25">
      <c r="A173" s="163"/>
    </row>
    <row r="174" spans="1:1" x14ac:dyDescent="0.25">
      <c r="A174" s="163"/>
    </row>
    <row r="175" spans="1:1" x14ac:dyDescent="0.25">
      <c r="A175" s="163"/>
    </row>
    <row r="176" spans="1:1" x14ac:dyDescent="0.25">
      <c r="A176" s="163"/>
    </row>
    <row r="177" spans="1:1" x14ac:dyDescent="0.25">
      <c r="A177" s="163"/>
    </row>
    <row r="178" spans="1:1" x14ac:dyDescent="0.25">
      <c r="A178" s="163"/>
    </row>
    <row r="179" spans="1:1" x14ac:dyDescent="0.25">
      <c r="A179" s="163"/>
    </row>
    <row r="180" spans="1:1" x14ac:dyDescent="0.25">
      <c r="A180" s="163"/>
    </row>
    <row r="181" spans="1:1" x14ac:dyDescent="0.25">
      <c r="A181" s="163"/>
    </row>
    <row r="182" spans="1:1" x14ac:dyDescent="0.25">
      <c r="A182" s="163"/>
    </row>
    <row r="183" spans="1:1" x14ac:dyDescent="0.25">
      <c r="A183" s="163"/>
    </row>
    <row r="184" spans="1:1" x14ac:dyDescent="0.25">
      <c r="A184" s="163"/>
    </row>
    <row r="185" spans="1:1" x14ac:dyDescent="0.25">
      <c r="A185" s="163"/>
    </row>
    <row r="186" spans="1:1" x14ac:dyDescent="0.25">
      <c r="A186" s="163"/>
    </row>
    <row r="187" spans="1:1" x14ac:dyDescent="0.25">
      <c r="A187" s="163"/>
    </row>
    <row r="188" spans="1:1" x14ac:dyDescent="0.25">
      <c r="A188" s="163"/>
    </row>
    <row r="189" spans="1:1" x14ac:dyDescent="0.25">
      <c r="A189" s="163"/>
    </row>
    <row r="190" spans="1:1" x14ac:dyDescent="0.25">
      <c r="A190" s="163"/>
    </row>
    <row r="191" spans="1:1" x14ac:dyDescent="0.25">
      <c r="A191" s="163"/>
    </row>
    <row r="192" spans="1:1" x14ac:dyDescent="0.25">
      <c r="A192" s="163"/>
    </row>
    <row r="193" spans="1:1" x14ac:dyDescent="0.25">
      <c r="A193" s="163"/>
    </row>
    <row r="194" spans="1:1" x14ac:dyDescent="0.25">
      <c r="A194" s="163"/>
    </row>
    <row r="195" spans="1:1" x14ac:dyDescent="0.25">
      <c r="A195" s="163"/>
    </row>
    <row r="196" spans="1:1" x14ac:dyDescent="0.25">
      <c r="A196" s="163"/>
    </row>
    <row r="197" spans="1:1" x14ac:dyDescent="0.25">
      <c r="A197" s="163"/>
    </row>
    <row r="198" spans="1:1" x14ac:dyDescent="0.25">
      <c r="A198" s="163"/>
    </row>
    <row r="199" spans="1:1" x14ac:dyDescent="0.25">
      <c r="A199" s="163"/>
    </row>
    <row r="200" spans="1:1" x14ac:dyDescent="0.25">
      <c r="A200" s="163"/>
    </row>
    <row r="201" spans="1:1" x14ac:dyDescent="0.25">
      <c r="A201" s="163"/>
    </row>
    <row r="202" spans="1:1" x14ac:dyDescent="0.25">
      <c r="A202" s="163"/>
    </row>
    <row r="203" spans="1:1" x14ac:dyDescent="0.25">
      <c r="A203" s="163"/>
    </row>
    <row r="204" spans="1:1" x14ac:dyDescent="0.25">
      <c r="A204" s="163"/>
    </row>
    <row r="205" spans="1:1" x14ac:dyDescent="0.25">
      <c r="A205" s="163"/>
    </row>
    <row r="206" spans="1:1" x14ac:dyDescent="0.25">
      <c r="A206" s="163"/>
    </row>
    <row r="207" spans="1:1" x14ac:dyDescent="0.25">
      <c r="A207" s="163"/>
    </row>
    <row r="208" spans="1:1" x14ac:dyDescent="0.25">
      <c r="A208" s="163"/>
    </row>
    <row r="209" spans="1:11" x14ac:dyDescent="0.25">
      <c r="A209" s="163"/>
    </row>
    <row r="210" spans="1:11" x14ac:dyDescent="0.25">
      <c r="A210" s="163"/>
    </row>
    <row r="211" spans="1:11" x14ac:dyDescent="0.25">
      <c r="A211" s="163"/>
    </row>
    <row r="212" spans="1:11" x14ac:dyDescent="0.25">
      <c r="A212" s="163"/>
    </row>
    <row r="217" spans="1:11" x14ac:dyDescent="0.25">
      <c r="J217" s="886" t="str">
        <f>List!$B$112</f>
        <v>Zpět</v>
      </c>
      <c r="K217" s="886"/>
    </row>
    <row r="277" spans="1:11" x14ac:dyDescent="0.25">
      <c r="A277" s="816"/>
      <c r="J277" s="886" t="str">
        <f>List!$B$112</f>
        <v>Zpět</v>
      </c>
      <c r="K277" s="886"/>
    </row>
    <row r="278" spans="1:11" x14ac:dyDescent="0.25">
      <c r="A278" s="816"/>
    </row>
    <row r="279" spans="1:11" x14ac:dyDescent="0.25">
      <c r="A279" s="816"/>
    </row>
    <row r="280" spans="1:11" x14ac:dyDescent="0.25">
      <c r="A280" s="816"/>
    </row>
    <row r="281" spans="1:11" x14ac:dyDescent="0.25">
      <c r="A281" s="816"/>
    </row>
    <row r="282" spans="1:11" x14ac:dyDescent="0.25">
      <c r="A282" s="816"/>
    </row>
    <row r="283" spans="1:11" x14ac:dyDescent="0.25">
      <c r="A283" s="816"/>
    </row>
    <row r="284" spans="1:11" x14ac:dyDescent="0.25">
      <c r="A284" s="816"/>
    </row>
    <row r="285" spans="1:11" x14ac:dyDescent="0.25">
      <c r="A285" s="816"/>
    </row>
    <row r="286" spans="1:11" x14ac:dyDescent="0.25">
      <c r="A286" s="816"/>
    </row>
    <row r="287" spans="1:11" x14ac:dyDescent="0.25">
      <c r="A287" s="816"/>
    </row>
    <row r="288" spans="1:11" x14ac:dyDescent="0.25">
      <c r="A288" s="816"/>
    </row>
    <row r="289" spans="1:1" x14ac:dyDescent="0.25">
      <c r="A289" s="816"/>
    </row>
    <row r="290" spans="1:1" x14ac:dyDescent="0.25">
      <c r="A290" s="816"/>
    </row>
    <row r="291" spans="1:1" x14ac:dyDescent="0.25">
      <c r="A291" s="816"/>
    </row>
    <row r="292" spans="1:1" x14ac:dyDescent="0.25">
      <c r="A292" s="816"/>
    </row>
    <row r="293" spans="1:1" x14ac:dyDescent="0.25">
      <c r="A293" s="816"/>
    </row>
    <row r="294" spans="1:1" x14ac:dyDescent="0.25">
      <c r="A294" s="816"/>
    </row>
    <row r="295" spans="1:1" x14ac:dyDescent="0.25">
      <c r="A295" s="816"/>
    </row>
    <row r="296" spans="1:1" x14ac:dyDescent="0.25">
      <c r="A296" s="816"/>
    </row>
    <row r="297" spans="1:1" x14ac:dyDescent="0.25">
      <c r="A297" s="816"/>
    </row>
    <row r="298" spans="1:1" x14ac:dyDescent="0.25">
      <c r="A298" s="816"/>
    </row>
    <row r="299" spans="1:1" x14ac:dyDescent="0.25">
      <c r="A299" s="816"/>
    </row>
    <row r="300" spans="1:1" x14ac:dyDescent="0.25">
      <c r="A300" s="816"/>
    </row>
    <row r="301" spans="1:1" x14ac:dyDescent="0.25">
      <c r="A301" s="816"/>
    </row>
    <row r="302" spans="1:1" x14ac:dyDescent="0.25">
      <c r="A302" s="816"/>
    </row>
    <row r="303" spans="1:1" x14ac:dyDescent="0.25">
      <c r="A303" s="816"/>
    </row>
    <row r="304" spans="1:1" x14ac:dyDescent="0.25">
      <c r="A304" s="816"/>
    </row>
    <row r="305" spans="1:1" x14ac:dyDescent="0.25">
      <c r="A305" s="816"/>
    </row>
    <row r="306" spans="1:1" x14ac:dyDescent="0.25">
      <c r="A306" s="816"/>
    </row>
    <row r="307" spans="1:1" x14ac:dyDescent="0.25">
      <c r="A307" s="816"/>
    </row>
    <row r="308" spans="1:1" x14ac:dyDescent="0.25">
      <c r="A308" s="816"/>
    </row>
    <row r="309" spans="1:1" x14ac:dyDescent="0.25">
      <c r="A309" s="816"/>
    </row>
    <row r="310" spans="1:1" x14ac:dyDescent="0.25">
      <c r="A310" s="816"/>
    </row>
    <row r="311" spans="1:1" x14ac:dyDescent="0.25">
      <c r="A311" s="816"/>
    </row>
    <row r="312" spans="1:1" x14ac:dyDescent="0.25">
      <c r="A312" s="816"/>
    </row>
    <row r="313" spans="1:1" x14ac:dyDescent="0.25">
      <c r="A313" s="816"/>
    </row>
    <row r="314" spans="1:1" x14ac:dyDescent="0.25">
      <c r="A314" s="816"/>
    </row>
    <row r="315" spans="1:1" x14ac:dyDescent="0.25">
      <c r="A315" s="816"/>
    </row>
    <row r="316" spans="1:1" x14ac:dyDescent="0.25">
      <c r="A316" s="816"/>
    </row>
    <row r="317" spans="1:1" x14ac:dyDescent="0.25">
      <c r="A317" s="816"/>
    </row>
    <row r="318" spans="1:1" x14ac:dyDescent="0.25">
      <c r="A318" s="816"/>
    </row>
    <row r="319" spans="1:1" x14ac:dyDescent="0.25">
      <c r="A319" s="816"/>
    </row>
    <row r="320" spans="1:1" x14ac:dyDescent="0.25">
      <c r="A320" s="816"/>
    </row>
    <row r="321" spans="1:1" x14ac:dyDescent="0.25">
      <c r="A321" s="816"/>
    </row>
    <row r="322" spans="1:1" x14ac:dyDescent="0.25">
      <c r="A322" s="816"/>
    </row>
    <row r="323" spans="1:1" x14ac:dyDescent="0.25">
      <c r="A323" s="816"/>
    </row>
    <row r="324" spans="1:1" x14ac:dyDescent="0.25">
      <c r="A324" s="816"/>
    </row>
    <row r="325" spans="1:1" x14ac:dyDescent="0.25">
      <c r="A325" s="816"/>
    </row>
    <row r="326" spans="1:1" x14ac:dyDescent="0.25">
      <c r="A326" s="816"/>
    </row>
  </sheetData>
  <sheetProtection algorithmName="SHA-512" hashValue="zrI7DuJ/MJiGsr33dqzNlq9zOfy2DkrS9pGe8u+htKA4lWJy8Q/o9ky9+K5qgnFkod4UDoYV/Be+g1Rb3oEe1g==" saltValue="J+Y6CIDxZ0G1fhwJ55b+0Q==" spinCount="100000" sheet="1" objects="1" scenarios="1"/>
  <mergeCells count="5">
    <mergeCell ref="J277:K277"/>
    <mergeCell ref="J113:K113"/>
    <mergeCell ref="A113:A162"/>
    <mergeCell ref="A277:A326"/>
    <mergeCell ref="J217:K217"/>
  </mergeCells>
  <phoneticPr fontId="52" type="noConversion"/>
  <hyperlinks>
    <hyperlink ref="I3" location="Form!A1" tooltip=" " display="Form!A1" xr:uid="{00000000-0004-0000-1E00-000000000000}"/>
    <hyperlink ref="I4" location="Menu!A1" tooltip=" " display="Menu!A1" xr:uid="{00000000-0004-0000-1E00-000001000000}"/>
    <hyperlink ref="I12" location="Acs!A150" tooltip=" " display="Acs!A150" xr:uid="{00000000-0004-0000-1E00-000002000000}"/>
    <hyperlink ref="I25" location="Acs!A280" tooltip=" " display="Acs!A280" xr:uid="{00000000-0004-0000-1E00-000003000000}"/>
    <hyperlink ref="J277:K277" location="Acs!A1" tooltip=" " display="Acs!A1" xr:uid="{00000000-0004-0000-1E00-000004000000}"/>
    <hyperlink ref="J113:K113" location="Acs!A1" tooltip=" " display="Acs!A1" xr:uid="{00000000-0004-0000-1E00-000005000000}"/>
    <hyperlink ref="I7" location="SD!A1" tooltip=" " display="SD!A1" xr:uid="{00000000-0004-0000-1E00-000006000000}"/>
    <hyperlink ref="I9" location="Sum!A1" tooltip=" " display="Sum!A1" xr:uid="{00000000-0004-0000-1E00-000007000000}"/>
    <hyperlink ref="I10" location="Ord!A1" tooltip=" " display="Ord!A1" xr:uid="{00000000-0004-0000-1E00-000008000000}"/>
    <hyperlink ref="I8" location="AL!A1" tooltip=" " display="AL!A1" xr:uid="{00000000-0004-0000-1E00-000009000000}"/>
    <hyperlink ref="J217:K217" location="Acs!A1" tooltip=" " display="Acs!A1" xr:uid="{00000000-0004-0000-1E00-00000A000000}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0">
    <tabColor indexed="57"/>
  </sheetPr>
  <dimension ref="A1:K256"/>
  <sheetViews>
    <sheetView showGridLines="0" showRowColHeaders="0" workbookViewId="0">
      <selection activeCell="I10" sqref="I10"/>
    </sheetView>
  </sheetViews>
  <sheetFormatPr defaultColWidth="9.1796875" defaultRowHeight="12.5" x14ac:dyDescent="0.25"/>
  <cols>
    <col min="1" max="1" width="7.1796875" style="117" customWidth="1"/>
    <col min="2" max="2" width="44.26953125" style="117" customWidth="1"/>
    <col min="3" max="3" width="17.1796875" style="117" customWidth="1"/>
    <col min="4" max="6" width="10" style="117" customWidth="1"/>
    <col min="7" max="7" width="10.7265625" style="117" customWidth="1"/>
    <col min="8" max="8" width="3.1796875" style="117" customWidth="1"/>
    <col min="9" max="9" width="27.54296875" style="117" customWidth="1"/>
    <col min="10" max="16384" width="9.1796875" style="117"/>
  </cols>
  <sheetData>
    <row r="1" spans="1:9" ht="19.5" customHeight="1" x14ac:dyDescent="0.4">
      <c r="G1" s="189" t="s">
        <v>298</v>
      </c>
    </row>
    <row r="2" spans="1:9" ht="17.5" x14ac:dyDescent="0.35">
      <c r="B2" s="190"/>
      <c r="C2" s="7"/>
      <c r="D2" s="7"/>
      <c r="E2" s="187" t="str">
        <f>List!$B$101&amp;":"</f>
        <v>Počet:</v>
      </c>
      <c r="F2" s="111"/>
      <c r="G2" s="114"/>
      <c r="I2" s="151" t="str">
        <f>List!$B$11&amp;":"</f>
        <v>Zpět na:</v>
      </c>
    </row>
    <row r="3" spans="1:9" ht="13" thickBot="1" x14ac:dyDescent="0.3">
      <c r="A3" s="113">
        <v>1</v>
      </c>
      <c r="B3" s="6" t="str">
        <f>Cen!A651</f>
        <v>Distanční doraz Blum, 5mm</v>
      </c>
      <c r="C3" s="6" t="str">
        <f>Cen!B651</f>
        <v>993.0530</v>
      </c>
      <c r="D3" s="6" t="str">
        <f>Cen!C651</f>
        <v>R737</v>
      </c>
      <c r="E3" s="9"/>
      <c r="F3" s="112">
        <f>Cen!F651</f>
        <v>20.736229999999999</v>
      </c>
      <c r="G3" s="3">
        <f t="shared" ref="G3:G30" si="0">E3*F3</f>
        <v>0</v>
      </c>
      <c r="I3" s="149" t="str">
        <f>" "&amp;List!$B$13</f>
        <v xml:space="preserve"> Úvod</v>
      </c>
    </row>
    <row r="4" spans="1:9" ht="13" thickBot="1" x14ac:dyDescent="0.3">
      <c r="A4" s="113">
        <v>1</v>
      </c>
      <c r="B4" s="6" t="str">
        <f>Cen!A652</f>
        <v>Distanční doraz Blum, 8mm</v>
      </c>
      <c r="C4" s="6" t="str">
        <f>Cen!B652</f>
        <v>993.0830.01</v>
      </c>
      <c r="D4" s="6" t="str">
        <f>Cen!C652</f>
        <v>R737</v>
      </c>
      <c r="E4" s="9"/>
      <c r="F4" s="112">
        <f>Cen!F652</f>
        <v>18.628139999999998</v>
      </c>
      <c r="G4" s="3">
        <f t="shared" si="0"/>
        <v>0</v>
      </c>
      <c r="I4" s="149" t="str">
        <f>" "&amp;List!$B$4</f>
        <v xml:space="preserve"> Výběr zásuvek a výsuvů</v>
      </c>
    </row>
    <row r="5" spans="1:9" x14ac:dyDescent="0.25">
      <c r="A5" s="113">
        <v>2</v>
      </c>
      <c r="B5" s="6" t="str">
        <f>Cen!A670</f>
        <v xml:space="preserve">Nosník, 670mm, s předmont. kabelem </v>
      </c>
      <c r="C5" s="6" t="str">
        <f>Cen!B670</f>
        <v xml:space="preserve">Z10T670AA </v>
      </c>
      <c r="D5" s="6" t="str">
        <f>Cen!C670</f>
        <v>Alu</v>
      </c>
      <c r="E5" s="9"/>
      <c r="F5" s="112">
        <f>Cen!F670</f>
        <v>1030.4817499999999</v>
      </c>
      <c r="G5" s="3">
        <f t="shared" si="0"/>
        <v>0</v>
      </c>
      <c r="I5" s="150" t="s">
        <v>318</v>
      </c>
    </row>
    <row r="6" spans="1:9" x14ac:dyDescent="0.25">
      <c r="A6" s="113">
        <v>2</v>
      </c>
      <c r="B6" s="6" t="str">
        <f>Cen!A671</f>
        <v xml:space="preserve">Nosník, 750mm, s předmont. kabelem </v>
      </c>
      <c r="C6" s="6" t="str">
        <f>Cen!B671</f>
        <v xml:space="preserve">Z10T750AA </v>
      </c>
      <c r="D6" s="6" t="str">
        <f>Cen!C671</f>
        <v>Alu</v>
      </c>
      <c r="E6" s="9"/>
      <c r="F6" s="112">
        <f>Cen!F671</f>
        <v>1128.9011499999999</v>
      </c>
      <c r="G6" s="3">
        <f t="shared" si="0"/>
        <v>0</v>
      </c>
      <c r="I6" s="2"/>
    </row>
    <row r="7" spans="1:9" ht="13" thickBot="1" x14ac:dyDescent="0.3">
      <c r="A7" s="113">
        <v>2</v>
      </c>
      <c r="B7" s="6" t="str">
        <f>Cen!A672</f>
        <v>Nosník 1170mm, bez kabelu</v>
      </c>
      <c r="C7" s="6" t="str">
        <f>Cen!B672</f>
        <v>Z10T1170A</v>
      </c>
      <c r="D7" s="6" t="str">
        <f>Cen!C672</f>
        <v>Alu</v>
      </c>
      <c r="E7" s="9"/>
      <c r="F7" s="112">
        <f>Cen!F672</f>
        <v>1202.0177100000001</v>
      </c>
      <c r="G7" s="3">
        <f t="shared" si="0"/>
        <v>0</v>
      </c>
      <c r="I7" s="2" t="str">
        <f>List!$B$12&amp;":"</f>
        <v>Pokračovat na:</v>
      </c>
    </row>
    <row r="8" spans="1:9" ht="13" thickBot="1" x14ac:dyDescent="0.3">
      <c r="A8" s="113">
        <v>3.4</v>
      </c>
      <c r="B8" s="6" t="str">
        <f>Cen!A654</f>
        <v>Držák nosníku, vlys naležato</v>
      </c>
      <c r="C8" s="6" t="str">
        <f>Cen!B654</f>
        <v>Z10D01E0.01</v>
      </c>
      <c r="D8" s="6" t="str">
        <f>Cen!C654</f>
        <v>R737</v>
      </c>
      <c r="E8" s="9"/>
      <c r="F8" s="112">
        <f>Cen!F654</f>
        <v>98.899799999999999</v>
      </c>
      <c r="G8" s="3">
        <f t="shared" si="0"/>
        <v>0</v>
      </c>
      <c r="I8" s="242" t="str">
        <f>" "&amp;List!$B$7</f>
        <v xml:space="preserve"> Výběr AMBIA-LINE</v>
      </c>
    </row>
    <row r="9" spans="1:9" ht="13" thickBot="1" x14ac:dyDescent="0.3">
      <c r="A9" s="113" t="s">
        <v>302</v>
      </c>
      <c r="B9" s="6" t="str">
        <f>Cen!A655</f>
        <v>Držák nosníku, vlys nastojato</v>
      </c>
      <c r="C9" s="6" t="str">
        <f>Cen!B655</f>
        <v>Z10D01EA.01</v>
      </c>
      <c r="D9" s="6" t="str">
        <f>Cen!C655</f>
        <v>R737</v>
      </c>
      <c r="E9" s="9"/>
      <c r="F9" s="112">
        <f>Cen!F655</f>
        <v>123.32662000000001</v>
      </c>
      <c r="G9" s="3">
        <f t="shared" si="0"/>
        <v>0</v>
      </c>
      <c r="I9" s="150" t="str">
        <f>" "&amp;List!$B$18</f>
        <v xml:space="preserve"> Souhrn</v>
      </c>
    </row>
    <row r="10" spans="1:9" x14ac:dyDescent="0.25">
      <c r="A10" s="113">
        <v>5</v>
      </c>
      <c r="B10" s="6" t="str">
        <f>Cen!A653</f>
        <v>Pohonná servo jednotka</v>
      </c>
      <c r="C10" s="6" t="str">
        <f>Cen!B653</f>
        <v>Z10A3000.03</v>
      </c>
      <c r="D10" s="6" t="str">
        <f>Cen!C653</f>
        <v>R737</v>
      </c>
      <c r="E10" s="9"/>
      <c r="F10" s="112">
        <f>Cen!F653</f>
        <v>2017.38859</v>
      </c>
      <c r="G10" s="3">
        <f t="shared" si="0"/>
        <v>0</v>
      </c>
      <c r="I10" s="150" t="str">
        <f>" "&amp;List!$B$20</f>
        <v xml:space="preserve"> Objednávka</v>
      </c>
    </row>
    <row r="11" spans="1:9" x14ac:dyDescent="0.25">
      <c r="A11" s="113">
        <v>6.7</v>
      </c>
      <c r="B11" s="6" t="str">
        <f>Cen!A669</f>
        <v>Propojovací svorka s hroty + krytka</v>
      </c>
      <c r="C11" s="6" t="str">
        <f>Cen!B669</f>
        <v>Z10V100E.01</v>
      </c>
      <c r="D11" s="6" t="str">
        <f>Cen!C669</f>
        <v>S</v>
      </c>
      <c r="E11" s="9"/>
      <c r="F11" s="112">
        <f>Cen!F669</f>
        <v>187.78470999999999</v>
      </c>
      <c r="G11" s="3">
        <f t="shared" si="0"/>
        <v>0</v>
      </c>
    </row>
    <row r="12" spans="1:9" x14ac:dyDescent="0.25">
      <c r="A12" s="113">
        <v>8.6999999999999993</v>
      </c>
      <c r="B12" s="6" t="str">
        <f>Cen!A664</f>
        <v>Elektrokabel, délka 8m + 5 krytek</v>
      </c>
      <c r="C12" s="6" t="str">
        <f>Cen!B664</f>
        <v>Z10K800AE</v>
      </c>
      <c r="D12" s="6" t="str">
        <f>Cen!C664</f>
        <v>S</v>
      </c>
      <c r="E12" s="9"/>
      <c r="F12" s="112">
        <f>Cen!F664</f>
        <v>788.36121000000003</v>
      </c>
      <c r="G12" s="3">
        <f t="shared" si="0"/>
        <v>0</v>
      </c>
      <c r="I12" s="183" t="str">
        <f>"     "&amp;List!$B$25</f>
        <v xml:space="preserve">     Informace k objednávání</v>
      </c>
    </row>
    <row r="13" spans="1:9" x14ac:dyDescent="0.25">
      <c r="A13" s="113">
        <v>9</v>
      </c>
      <c r="B13" s="6" t="str">
        <f>Cen!A666</f>
        <v>Napájecí zdroj 24W</v>
      </c>
      <c r="C13" s="6" t="str">
        <f>Cen!B666</f>
        <v>Z10NE030E</v>
      </c>
      <c r="D13" s="6" t="str">
        <f>Cen!C666</f>
        <v>S</v>
      </c>
      <c r="E13" s="9"/>
      <c r="F13" s="112">
        <f>Cen!F666</f>
        <v>2910.1035299999999</v>
      </c>
      <c r="G13" s="3">
        <f t="shared" si="0"/>
        <v>0</v>
      </c>
    </row>
    <row r="14" spans="1:9" x14ac:dyDescent="0.25">
      <c r="A14" s="113">
        <v>10</v>
      </c>
      <c r="B14" s="6" t="str">
        <f>Cen!A665</f>
        <v>Napájecí kabel se zástrčkou, 2m</v>
      </c>
      <c r="C14" s="6" t="str">
        <f>Cen!B665</f>
        <v xml:space="preserve">Z10M200E </v>
      </c>
      <c r="D14" s="6" t="str">
        <f>Cen!C665</f>
        <v>S</v>
      </c>
      <c r="E14" s="9"/>
      <c r="F14" s="112">
        <f>Cen!F665</f>
        <v>191.19835999999998</v>
      </c>
      <c r="G14" s="3">
        <f t="shared" si="0"/>
        <v>0</v>
      </c>
    </row>
    <row r="15" spans="1:9" x14ac:dyDescent="0.25">
      <c r="A15" s="113">
        <v>11</v>
      </c>
      <c r="B15" s="6" t="str">
        <f>Cen!A667</f>
        <v>Držák napájecího zdroje - montáž do dna</v>
      </c>
      <c r="C15" s="6" t="str">
        <f>Cen!B667</f>
        <v>Z10NG000</v>
      </c>
      <c r="D15" s="6" t="str">
        <f>Cen!C667</f>
        <v>R737</v>
      </c>
      <c r="E15" s="9"/>
      <c r="F15" s="112">
        <f>Cen!F667</f>
        <v>196.81618999999998</v>
      </c>
      <c r="G15" s="3">
        <f t="shared" si="0"/>
        <v>0</v>
      </c>
    </row>
    <row r="16" spans="1:9" x14ac:dyDescent="0.25">
      <c r="A16" s="113">
        <v>12</v>
      </c>
      <c r="B16" s="6" t="str">
        <f>Cen!A668</f>
        <v>Držák napájecího zdroje - montáž na stěnu</v>
      </c>
      <c r="C16" s="6" t="str">
        <f>Cen!B668</f>
        <v>Z10NG120</v>
      </c>
      <c r="D16" s="6" t="str">
        <f>Cen!C668</f>
        <v>WGR</v>
      </c>
      <c r="E16" s="9"/>
      <c r="F16" s="112">
        <f>Cen!F668</f>
        <v>106.14533</v>
      </c>
      <c r="G16" s="3">
        <f t="shared" si="0"/>
        <v>0</v>
      </c>
    </row>
    <row r="17" spans="1:7" x14ac:dyDescent="0.25">
      <c r="A17" s="113">
        <v>13</v>
      </c>
      <c r="B17" s="6" t="str">
        <f>Cen!A660</f>
        <v>Synchronizační kabel 8cm</v>
      </c>
      <c r="C17" s="6" t="str">
        <f>Cen!B660</f>
        <v xml:space="preserve">Z10K008S </v>
      </c>
      <c r="D17" s="6" t="str">
        <f>Cen!C660</f>
        <v>W</v>
      </c>
      <c r="E17" s="9"/>
      <c r="F17" s="112">
        <f>Cen!F660</f>
        <v>126.53116</v>
      </c>
      <c r="G17" s="3">
        <f t="shared" si="0"/>
        <v>0</v>
      </c>
    </row>
    <row r="18" spans="1:7" x14ac:dyDescent="0.25">
      <c r="A18" s="113">
        <v>13</v>
      </c>
      <c r="B18" s="6" t="str">
        <f>Cen!A661</f>
        <v>Synchronizační kabel 50cm</v>
      </c>
      <c r="C18" s="6" t="str">
        <f>Cen!B661</f>
        <v>Z10K050S</v>
      </c>
      <c r="D18" s="6" t="str">
        <f>Cen!C661</f>
        <v>W</v>
      </c>
      <c r="E18" s="9"/>
      <c r="F18" s="112">
        <f>Cen!F661</f>
        <v>175.72389999999999</v>
      </c>
      <c r="G18" s="3">
        <f t="shared" si="0"/>
        <v>0</v>
      </c>
    </row>
    <row r="19" spans="1:7" x14ac:dyDescent="0.25">
      <c r="A19" s="113">
        <v>13</v>
      </c>
      <c r="B19" s="6" t="str">
        <f>Cen!A662</f>
        <v>Synchronizační kabel 120cm</v>
      </c>
      <c r="C19" s="6" t="str">
        <f>Cen!B662</f>
        <v>Z10K120S</v>
      </c>
      <c r="D19" s="6" t="str">
        <f>Cen!C662</f>
        <v>W</v>
      </c>
      <c r="E19" s="9"/>
      <c r="F19" s="112">
        <f>Cen!F662</f>
        <v>272.02954999999997</v>
      </c>
      <c r="G19" s="3">
        <f t="shared" si="0"/>
        <v>0</v>
      </c>
    </row>
    <row r="20" spans="1:7" x14ac:dyDescent="0.25">
      <c r="A20" s="113">
        <v>13</v>
      </c>
      <c r="B20" s="6" t="str">
        <f>Cen!A663</f>
        <v>Synchronizační kabel 160cm</v>
      </c>
      <c r="C20" s="6" t="str">
        <f>Cen!B663</f>
        <v>Z10K160S</v>
      </c>
      <c r="D20" s="6" t="str">
        <f>Cen!C663</f>
        <v>W</v>
      </c>
      <c r="E20" s="9"/>
      <c r="F20" s="112">
        <f>Cen!F663</f>
        <v>307.17772000000002</v>
      </c>
      <c r="G20" s="3">
        <f t="shared" si="0"/>
        <v>0</v>
      </c>
    </row>
    <row r="21" spans="1:7" x14ac:dyDescent="0.25">
      <c r="A21" s="113">
        <v>14</v>
      </c>
      <c r="B21" s="6" t="str">
        <f>Cen!A657</f>
        <v>Držák servo jednotky zdvojený</v>
      </c>
      <c r="C21" s="6" t="str">
        <f>Cen!B657</f>
        <v>Z10D7201.01</v>
      </c>
      <c r="D21" s="6" t="str">
        <f>Cen!C657</f>
        <v>R737</v>
      </c>
      <c r="E21" s="9"/>
      <c r="F21" s="112">
        <f>Cen!F657</f>
        <v>402.35302000000001</v>
      </c>
      <c r="G21" s="3">
        <f t="shared" si="0"/>
        <v>0</v>
      </c>
    </row>
    <row r="22" spans="1:7" x14ac:dyDescent="0.25">
      <c r="A22" s="113">
        <v>15</v>
      </c>
      <c r="B22" s="6" t="str">
        <f>Cen!A656</f>
        <v>Držák servo jednotky jednoduchý</v>
      </c>
      <c r="C22" s="6" t="str">
        <f>Cen!B656</f>
        <v>Z10D0311</v>
      </c>
      <c r="D22" s="6" t="str">
        <f>Cen!C656</f>
        <v>R737</v>
      </c>
      <c r="E22" s="9"/>
      <c r="F22" s="112">
        <f>Cen!F656</f>
        <v>201.70495</v>
      </c>
      <c r="G22" s="3">
        <f t="shared" si="0"/>
        <v>0</v>
      </c>
    </row>
    <row r="23" spans="1:7" x14ac:dyDescent="0.25">
      <c r="A23" s="113">
        <v>16</v>
      </c>
      <c r="B23" s="6" t="str">
        <f>Cen!A659</f>
        <v>Držák kabelu s Klebesockel</v>
      </c>
      <c r="C23" s="6" t="str">
        <f>Cen!B659</f>
        <v>Z10K0009</v>
      </c>
      <c r="D23" s="6" t="str">
        <f>Cen!C659</f>
        <v>NA</v>
      </c>
      <c r="E23" s="9"/>
      <c r="F23" s="112">
        <f>Cen!F659</f>
        <v>22.708690000000001</v>
      </c>
      <c r="G23" s="3">
        <f t="shared" si="0"/>
        <v>0</v>
      </c>
    </row>
    <row r="24" spans="1:7" x14ac:dyDescent="0.25">
      <c r="A24" s="113">
        <v>17</v>
      </c>
      <c r="B24" s="6" t="str">
        <f>Cen!A634</f>
        <v>Stabilizace čel</v>
      </c>
      <c r="C24" s="6" t="str">
        <f>Cen!B634</f>
        <v>Z96.10E1</v>
      </c>
      <c r="D24" s="6" t="str">
        <f>Cen!C634</f>
        <v>R737</v>
      </c>
      <c r="E24" s="9"/>
      <c r="F24" s="112">
        <f>Cen!F634</f>
        <v>35.153820000000003</v>
      </c>
      <c r="G24" s="3">
        <f t="shared" si="0"/>
        <v>0</v>
      </c>
    </row>
    <row r="25" spans="1:7" x14ac:dyDescent="0.25">
      <c r="A25" s="349">
        <v>18.2</v>
      </c>
      <c r="B25" s="6" t="str">
        <f>Cen!A675</f>
        <v>Adaptér + držák horizont. nosníku</v>
      </c>
      <c r="C25" s="6" t="str">
        <f>Cen!B675</f>
        <v>Z10D5210</v>
      </c>
      <c r="D25" s="6" t="str">
        <f>Cen!C675</f>
        <v>R737</v>
      </c>
      <c r="E25" s="9"/>
      <c r="F25" s="112">
        <f>Cen!F675</f>
        <v>156.04454000000001</v>
      </c>
      <c r="G25" s="3">
        <f t="shared" si="0"/>
        <v>0</v>
      </c>
    </row>
    <row r="26" spans="1:7" x14ac:dyDescent="0.25">
      <c r="A26" s="113">
        <v>19</v>
      </c>
      <c r="B26" s="6" t="str">
        <f>Cen!A674</f>
        <v>Horizontální nosník</v>
      </c>
      <c r="C26" s="6" t="str">
        <f>Cen!B674</f>
        <v>Z10T1143B</v>
      </c>
      <c r="D26" s="6" t="str">
        <f>Cen!C674</f>
        <v>Alu</v>
      </c>
      <c r="E26" s="9"/>
      <c r="F26" s="112">
        <f>Cen!F674</f>
        <v>496.95749999999998</v>
      </c>
      <c r="G26" s="3">
        <f t="shared" si="0"/>
        <v>0</v>
      </c>
    </row>
    <row r="27" spans="1:7" x14ac:dyDescent="0.25">
      <c r="A27" s="113">
        <v>21</v>
      </c>
      <c r="B27" s="6" t="str">
        <f>Cen!A658</f>
        <v>Držák servo jednotky horní</v>
      </c>
      <c r="C27" s="6" t="str">
        <f>Cen!B658</f>
        <v>Z10D6252</v>
      </c>
      <c r="D27" s="6" t="str">
        <f>Cen!C658</f>
        <v>R737</v>
      </c>
      <c r="E27" s="9"/>
      <c r="F27" s="112">
        <f>Cen!F658</f>
        <v>567.60990000000004</v>
      </c>
      <c r="G27" s="3">
        <f t="shared" si="0"/>
        <v>0</v>
      </c>
    </row>
    <row r="28" spans="1:7" x14ac:dyDescent="0.25">
      <c r="A28" s="113">
        <v>22</v>
      </c>
      <c r="B28" s="6" t="str">
        <f>Cen!A673</f>
        <v xml:space="preserve">Mechanizmus vyhazovače </v>
      </c>
      <c r="C28" s="6" t="str">
        <f>Cen!B673</f>
        <v>Z10A3H00</v>
      </c>
      <c r="D28" s="6" t="str">
        <f>Cen!C673</f>
        <v>R737</v>
      </c>
      <c r="E28" s="9"/>
      <c r="F28" s="112">
        <f>Cen!F673</f>
        <v>84.346569999999986</v>
      </c>
      <c r="G28" s="3">
        <f t="shared" si="0"/>
        <v>0</v>
      </c>
    </row>
    <row r="29" spans="1:7" x14ac:dyDescent="0.25">
      <c r="A29" s="113"/>
      <c r="B29" s="6" t="str">
        <f>Cen!A676</f>
        <v>COMBOX</v>
      </c>
      <c r="C29" s="6" t="str">
        <f>Cen!B676</f>
        <v>Z10ZC00A</v>
      </c>
      <c r="D29" s="6" t="str">
        <f>Cen!C676</f>
        <v>S</v>
      </c>
      <c r="E29" s="9"/>
      <c r="F29" s="112">
        <f>Cen!F676</f>
        <v>3438.92031</v>
      </c>
      <c r="G29" s="3">
        <f t="shared" si="0"/>
        <v>0</v>
      </c>
    </row>
    <row r="30" spans="1:7" x14ac:dyDescent="0.25">
      <c r="A30" s="113"/>
      <c r="B30" s="6" t="str">
        <f>Cen!A677</f>
        <v>SD uno - sada pro výsuv na odpad</v>
      </c>
      <c r="C30" s="6" t="str">
        <f>Cen!B677</f>
        <v>Z10NA30EE</v>
      </c>
      <c r="D30" s="6" t="str">
        <f>Cen!C677</f>
        <v>R737</v>
      </c>
      <c r="E30" s="9"/>
      <c r="F30" s="112">
        <f>Cen!F677</f>
        <v>3967.578</v>
      </c>
      <c r="G30" s="3">
        <f t="shared" si="0"/>
        <v>0</v>
      </c>
    </row>
    <row r="31" spans="1:7" x14ac:dyDescent="0.25">
      <c r="A31" s="113">
        <v>23</v>
      </c>
      <c r="B31" s="6" t="str">
        <f>Cen!A678</f>
        <v>SERVO-DRIVE flex - jednotka (sada)</v>
      </c>
      <c r="C31" s="6" t="str">
        <f>Cen!B678</f>
        <v>Z10C500A</v>
      </c>
      <c r="D31" s="6" t="str">
        <f>Cen!C678</f>
        <v>R736</v>
      </c>
      <c r="E31" s="9"/>
      <c r="F31" s="112">
        <f>Cen!F678</f>
        <v>4810.0468899999996</v>
      </c>
      <c r="G31" s="3">
        <f>E31*F31</f>
        <v>0</v>
      </c>
    </row>
    <row r="32" spans="1:7" x14ac:dyDescent="0.25">
      <c r="A32" s="113">
        <v>24</v>
      </c>
      <c r="B32" s="6" t="str">
        <f>Cen!A679</f>
        <v>SERVO-DRIVE flex - bezdrátový přijímač</v>
      </c>
      <c r="C32" s="6" t="str">
        <f>Cen!B679</f>
        <v>Z10C5007</v>
      </c>
      <c r="D32" s="6" t="str">
        <f>Cen!C679</f>
        <v>R736</v>
      </c>
      <c r="E32" s="9"/>
      <c r="F32" s="112">
        <f>Cen!F679</f>
        <v>1884.95928</v>
      </c>
      <c r="G32" s="3">
        <f>E32*F32</f>
        <v>0</v>
      </c>
    </row>
    <row r="33" spans="1:7" x14ac:dyDescent="0.25">
      <c r="A33" s="113">
        <v>25</v>
      </c>
      <c r="B33" s="6" t="str">
        <f>Cen!A680</f>
        <v>Spínač SERVO-DRIVE, světle šedá</v>
      </c>
      <c r="C33" s="6" t="str">
        <f>Cen!B680</f>
        <v>21P5020</v>
      </c>
      <c r="D33" s="6" t="str">
        <f>Cen!C680</f>
        <v>HGR</v>
      </c>
      <c r="E33" s="9"/>
      <c r="F33" s="112">
        <f>Cen!F680</f>
        <v>841.70610999999985</v>
      </c>
      <c r="G33" s="3">
        <f>E33*F33</f>
        <v>0</v>
      </c>
    </row>
    <row r="34" spans="1:7" x14ac:dyDescent="0.25">
      <c r="A34" s="113">
        <v>25</v>
      </c>
      <c r="B34" s="6" t="str">
        <f>Cen!A681</f>
        <v>Spínač SERVO-DRIVE, hedvábně bílá</v>
      </c>
      <c r="C34" s="6" t="str">
        <f>Cen!B681</f>
        <v>21P5020</v>
      </c>
      <c r="D34" s="6" t="str">
        <f>Cen!C681</f>
        <v>SW</v>
      </c>
      <c r="E34" s="9"/>
      <c r="F34" s="112">
        <f>Cen!F681</f>
        <v>875.38149999999996</v>
      </c>
      <c r="G34" s="3">
        <f>E34*F34</f>
        <v>0</v>
      </c>
    </row>
    <row r="35" spans="1:7" x14ac:dyDescent="0.25">
      <c r="A35" s="113">
        <v>26</v>
      </c>
      <c r="B35" s="6" t="str">
        <f>Cen!A682</f>
        <v>Montážní podložka - boční adaptér</v>
      </c>
      <c r="C35" s="6" t="str">
        <f>Cen!B682</f>
        <v>Z10C5005</v>
      </c>
      <c r="D35" s="6" t="str">
        <f>Cen!C682</f>
        <v>R735</v>
      </c>
      <c r="E35" s="9"/>
      <c r="F35" s="112">
        <f>Cen!F682</f>
        <v>16.96725</v>
      </c>
      <c r="G35" s="3">
        <f>E35*F35</f>
        <v>0</v>
      </c>
    </row>
    <row r="36" spans="1:7" ht="20" customHeight="1" x14ac:dyDescent="0.25">
      <c r="B36" s="6"/>
      <c r="C36" s="6"/>
      <c r="D36" s="6"/>
      <c r="E36" s="5"/>
      <c r="F36" s="4" t="str">
        <f>List!$B$107&amp;":"</f>
        <v>Celkem:</v>
      </c>
      <c r="G36" s="3">
        <f>SUM(G3:G35)</f>
        <v>0</v>
      </c>
    </row>
    <row r="37" spans="1:7" ht="18" customHeight="1" x14ac:dyDescent="0.25">
      <c r="A37" s="240"/>
    </row>
    <row r="38" spans="1:7" x14ac:dyDescent="0.25">
      <c r="A38" s="240"/>
    </row>
    <row r="39" spans="1:7" x14ac:dyDescent="0.25">
      <c r="A39" s="240"/>
    </row>
    <row r="40" spans="1:7" x14ac:dyDescent="0.25">
      <c r="A40" s="240"/>
    </row>
    <row r="41" spans="1:7" x14ac:dyDescent="0.25">
      <c r="A41" s="240"/>
    </row>
    <row r="42" spans="1:7" x14ac:dyDescent="0.25">
      <c r="A42" s="240"/>
    </row>
    <row r="43" spans="1:7" x14ac:dyDescent="0.25">
      <c r="A43" s="240"/>
    </row>
    <row r="44" spans="1:7" x14ac:dyDescent="0.25">
      <c r="A44" s="240"/>
    </row>
    <row r="45" spans="1:7" x14ac:dyDescent="0.25">
      <c r="A45" s="240"/>
    </row>
    <row r="46" spans="1:7" x14ac:dyDescent="0.25">
      <c r="A46" s="240"/>
    </row>
    <row r="47" spans="1:7" x14ac:dyDescent="0.25">
      <c r="A47" s="240"/>
    </row>
    <row r="48" spans="1:7" x14ac:dyDescent="0.25">
      <c r="A48" s="240"/>
    </row>
    <row r="49" spans="1:1" x14ac:dyDescent="0.25">
      <c r="A49" s="240"/>
    </row>
    <row r="50" spans="1:1" x14ac:dyDescent="0.25">
      <c r="A50" s="240"/>
    </row>
    <row r="51" spans="1:1" x14ac:dyDescent="0.25">
      <c r="A51" s="240"/>
    </row>
    <row r="52" spans="1:1" x14ac:dyDescent="0.25">
      <c r="A52" s="240"/>
    </row>
    <row r="53" spans="1:1" x14ac:dyDescent="0.25">
      <c r="A53" s="240"/>
    </row>
    <row r="54" spans="1:1" x14ac:dyDescent="0.25">
      <c r="A54" s="240"/>
    </row>
    <row r="55" spans="1:1" x14ac:dyDescent="0.25">
      <c r="A55" s="240"/>
    </row>
    <row r="56" spans="1:1" x14ac:dyDescent="0.25">
      <c r="A56" s="240"/>
    </row>
    <row r="57" spans="1:1" x14ac:dyDescent="0.25">
      <c r="A57" s="240"/>
    </row>
    <row r="58" spans="1:1" x14ac:dyDescent="0.25">
      <c r="A58" s="240"/>
    </row>
    <row r="59" spans="1:1" x14ac:dyDescent="0.25">
      <c r="A59" s="240"/>
    </row>
    <row r="60" spans="1:1" x14ac:dyDescent="0.25">
      <c r="A60" s="240"/>
    </row>
    <row r="61" spans="1:1" x14ac:dyDescent="0.25">
      <c r="A61" s="240"/>
    </row>
    <row r="62" spans="1:1" x14ac:dyDescent="0.25">
      <c r="A62" s="240"/>
    </row>
    <row r="63" spans="1:1" x14ac:dyDescent="0.25">
      <c r="A63" s="240"/>
    </row>
    <row r="64" spans="1:1" x14ac:dyDescent="0.25">
      <c r="A64" s="240"/>
    </row>
    <row r="65" spans="1:1" x14ac:dyDescent="0.25">
      <c r="A65" s="240"/>
    </row>
    <row r="66" spans="1:1" x14ac:dyDescent="0.25">
      <c r="A66" s="240"/>
    </row>
    <row r="67" spans="1:1" x14ac:dyDescent="0.25">
      <c r="A67" s="240"/>
    </row>
    <row r="68" spans="1:1" x14ac:dyDescent="0.25">
      <c r="A68" s="240"/>
    </row>
    <row r="69" spans="1:1" x14ac:dyDescent="0.25">
      <c r="A69" s="240"/>
    </row>
    <row r="70" spans="1:1" x14ac:dyDescent="0.25">
      <c r="A70" s="240"/>
    </row>
    <row r="71" spans="1:1" x14ac:dyDescent="0.25">
      <c r="A71" s="240"/>
    </row>
    <row r="72" spans="1:1" x14ac:dyDescent="0.25">
      <c r="A72" s="240"/>
    </row>
    <row r="73" spans="1:1" x14ac:dyDescent="0.25">
      <c r="A73" s="240"/>
    </row>
    <row r="74" spans="1:1" x14ac:dyDescent="0.25">
      <c r="A74" s="240"/>
    </row>
    <row r="75" spans="1:1" x14ac:dyDescent="0.25">
      <c r="A75" s="240"/>
    </row>
    <row r="76" spans="1:1" x14ac:dyDescent="0.25">
      <c r="A76" s="240"/>
    </row>
    <row r="77" spans="1:1" x14ac:dyDescent="0.25">
      <c r="A77" s="240"/>
    </row>
    <row r="78" spans="1:1" x14ac:dyDescent="0.25">
      <c r="A78" s="240"/>
    </row>
    <row r="79" spans="1:1" x14ac:dyDescent="0.25">
      <c r="A79" s="240"/>
    </row>
    <row r="80" spans="1:1" x14ac:dyDescent="0.25">
      <c r="A80" s="240"/>
    </row>
    <row r="81" spans="1:1" x14ac:dyDescent="0.25">
      <c r="A81" s="240"/>
    </row>
    <row r="82" spans="1:1" x14ac:dyDescent="0.25">
      <c r="A82" s="240"/>
    </row>
    <row r="83" spans="1:1" x14ac:dyDescent="0.25">
      <c r="A83" s="240"/>
    </row>
    <row r="84" spans="1:1" x14ac:dyDescent="0.25">
      <c r="A84" s="240"/>
    </row>
    <row r="85" spans="1:1" x14ac:dyDescent="0.25">
      <c r="A85" s="240"/>
    </row>
    <row r="86" spans="1:1" x14ac:dyDescent="0.25">
      <c r="A86" s="163"/>
    </row>
    <row r="87" spans="1:1" x14ac:dyDescent="0.25">
      <c r="A87" s="163"/>
    </row>
    <row r="88" spans="1:1" x14ac:dyDescent="0.25">
      <c r="A88" s="163"/>
    </row>
    <row r="89" spans="1:1" x14ac:dyDescent="0.25">
      <c r="A89" s="163"/>
    </row>
    <row r="90" spans="1:1" x14ac:dyDescent="0.25">
      <c r="A90" s="163"/>
    </row>
    <row r="91" spans="1:1" x14ac:dyDescent="0.25">
      <c r="A91" s="163"/>
    </row>
    <row r="92" spans="1:1" x14ac:dyDescent="0.25">
      <c r="A92" s="163"/>
    </row>
    <row r="93" spans="1:1" x14ac:dyDescent="0.25">
      <c r="A93" s="163"/>
    </row>
    <row r="94" spans="1:1" x14ac:dyDescent="0.25">
      <c r="A94" s="163"/>
    </row>
    <row r="95" spans="1:1" x14ac:dyDescent="0.25">
      <c r="A95" s="163"/>
    </row>
    <row r="96" spans="1:1" x14ac:dyDescent="0.25">
      <c r="A96" s="163"/>
    </row>
    <row r="97" spans="1:1" x14ac:dyDescent="0.25">
      <c r="A97" s="163"/>
    </row>
    <row r="98" spans="1:1" x14ac:dyDescent="0.25">
      <c r="A98" s="163"/>
    </row>
    <row r="99" spans="1:1" x14ac:dyDescent="0.25">
      <c r="A99" s="163"/>
    </row>
    <row r="100" spans="1:1" x14ac:dyDescent="0.25">
      <c r="A100" s="163"/>
    </row>
    <row r="101" spans="1:1" x14ac:dyDescent="0.25">
      <c r="A101" s="163"/>
    </row>
    <row r="102" spans="1:1" x14ac:dyDescent="0.25">
      <c r="A102" s="163"/>
    </row>
    <row r="103" spans="1:1" x14ac:dyDescent="0.25">
      <c r="A103" s="163"/>
    </row>
    <row r="104" spans="1:1" x14ac:dyDescent="0.25">
      <c r="A104" s="163"/>
    </row>
    <row r="105" spans="1:1" x14ac:dyDescent="0.25">
      <c r="A105" s="163"/>
    </row>
    <row r="106" spans="1:1" x14ac:dyDescent="0.25">
      <c r="A106" s="163"/>
    </row>
    <row r="107" spans="1:1" x14ac:dyDescent="0.25">
      <c r="A107" s="163"/>
    </row>
    <row r="108" spans="1:1" x14ac:dyDescent="0.25">
      <c r="A108" s="163"/>
    </row>
    <row r="109" spans="1:1" x14ac:dyDescent="0.25">
      <c r="A109" s="163"/>
    </row>
    <row r="110" spans="1:1" x14ac:dyDescent="0.25">
      <c r="A110" s="163"/>
    </row>
    <row r="111" spans="1:1" x14ac:dyDescent="0.25">
      <c r="A111" s="163"/>
    </row>
    <row r="112" spans="1:1" x14ac:dyDescent="0.25">
      <c r="A112" s="163"/>
    </row>
    <row r="113" spans="1:1" x14ac:dyDescent="0.25">
      <c r="A113" s="163"/>
    </row>
    <row r="114" spans="1:1" x14ac:dyDescent="0.25">
      <c r="A114" s="163"/>
    </row>
    <row r="115" spans="1:1" x14ac:dyDescent="0.25">
      <c r="A115" s="163"/>
    </row>
    <row r="116" spans="1:1" x14ac:dyDescent="0.25">
      <c r="A116" s="163"/>
    </row>
    <row r="117" spans="1:1" x14ac:dyDescent="0.25">
      <c r="A117" s="163"/>
    </row>
    <row r="118" spans="1:1" x14ac:dyDescent="0.25">
      <c r="A118" s="163"/>
    </row>
    <row r="119" spans="1:1" x14ac:dyDescent="0.25">
      <c r="A119" s="163"/>
    </row>
    <row r="120" spans="1:1" x14ac:dyDescent="0.25">
      <c r="A120" s="163"/>
    </row>
    <row r="121" spans="1:1" x14ac:dyDescent="0.25">
      <c r="A121" s="163"/>
    </row>
    <row r="122" spans="1:1" x14ac:dyDescent="0.25">
      <c r="A122" s="163"/>
    </row>
    <row r="123" spans="1:1" x14ac:dyDescent="0.25">
      <c r="A123" s="163"/>
    </row>
    <row r="124" spans="1:1" x14ac:dyDescent="0.25">
      <c r="A124" s="163"/>
    </row>
    <row r="125" spans="1:1" x14ac:dyDescent="0.25">
      <c r="A125" s="163"/>
    </row>
    <row r="126" spans="1:1" x14ac:dyDescent="0.25">
      <c r="A126" s="163"/>
    </row>
    <row r="127" spans="1:1" x14ac:dyDescent="0.25">
      <c r="A127" s="163"/>
    </row>
    <row r="128" spans="1:1" x14ac:dyDescent="0.25">
      <c r="A128" s="163"/>
    </row>
    <row r="129" spans="1:11" x14ac:dyDescent="0.25">
      <c r="A129" s="816"/>
    </row>
    <row r="130" spans="1:11" x14ac:dyDescent="0.25">
      <c r="A130" s="816"/>
    </row>
    <row r="131" spans="1:11" x14ac:dyDescent="0.25">
      <c r="A131" s="816"/>
      <c r="J131" s="886" t="str">
        <f>List!$B$112</f>
        <v>Zpět</v>
      </c>
      <c r="K131" s="886"/>
    </row>
    <row r="132" spans="1:11" x14ac:dyDescent="0.25">
      <c r="A132" s="816"/>
    </row>
    <row r="133" spans="1:11" x14ac:dyDescent="0.25">
      <c r="A133" s="816"/>
    </row>
    <row r="134" spans="1:11" x14ac:dyDescent="0.25">
      <c r="A134" s="816"/>
    </row>
    <row r="135" spans="1:11" x14ac:dyDescent="0.25">
      <c r="A135" s="816"/>
    </row>
    <row r="136" spans="1:11" x14ac:dyDescent="0.25">
      <c r="A136" s="816"/>
    </row>
    <row r="137" spans="1:11" x14ac:dyDescent="0.25">
      <c r="A137" s="816"/>
    </row>
    <row r="138" spans="1:11" x14ac:dyDescent="0.25">
      <c r="A138" s="816"/>
    </row>
    <row r="139" spans="1:11" x14ac:dyDescent="0.25">
      <c r="A139" s="816"/>
    </row>
    <row r="140" spans="1:11" x14ac:dyDescent="0.25">
      <c r="A140" s="816"/>
    </row>
    <row r="141" spans="1:11" x14ac:dyDescent="0.25">
      <c r="A141" s="816"/>
    </row>
    <row r="142" spans="1:11" x14ac:dyDescent="0.25">
      <c r="A142" s="816"/>
    </row>
    <row r="143" spans="1:11" x14ac:dyDescent="0.25">
      <c r="A143" s="816"/>
    </row>
    <row r="144" spans="1:11" x14ac:dyDescent="0.25">
      <c r="A144" s="816"/>
    </row>
    <row r="145" spans="1:1" x14ac:dyDescent="0.25">
      <c r="A145" s="816"/>
    </row>
    <row r="146" spans="1:1" x14ac:dyDescent="0.25">
      <c r="A146" s="816"/>
    </row>
    <row r="147" spans="1:1" x14ac:dyDescent="0.25">
      <c r="A147" s="816"/>
    </row>
    <row r="148" spans="1:1" x14ac:dyDescent="0.25">
      <c r="A148" s="816"/>
    </row>
    <row r="149" spans="1:1" x14ac:dyDescent="0.25">
      <c r="A149" s="816"/>
    </row>
    <row r="150" spans="1:1" x14ac:dyDescent="0.25">
      <c r="A150" s="816"/>
    </row>
    <row r="151" spans="1:1" x14ac:dyDescent="0.25">
      <c r="A151" s="816"/>
    </row>
    <row r="152" spans="1:1" x14ac:dyDescent="0.25">
      <c r="A152" s="816"/>
    </row>
    <row r="153" spans="1:1" x14ac:dyDescent="0.25">
      <c r="A153" s="816"/>
    </row>
    <row r="154" spans="1:1" x14ac:dyDescent="0.25">
      <c r="A154" s="816"/>
    </row>
    <row r="155" spans="1:1" x14ac:dyDescent="0.25">
      <c r="A155" s="816"/>
    </row>
    <row r="156" spans="1:1" x14ac:dyDescent="0.25">
      <c r="A156" s="816"/>
    </row>
    <row r="157" spans="1:1" x14ac:dyDescent="0.25">
      <c r="A157" s="816"/>
    </row>
    <row r="158" spans="1:1" x14ac:dyDescent="0.25">
      <c r="A158" s="816"/>
    </row>
    <row r="159" spans="1:1" x14ac:dyDescent="0.25">
      <c r="A159" s="816"/>
    </row>
    <row r="160" spans="1:1" x14ac:dyDescent="0.25">
      <c r="A160" s="816"/>
    </row>
    <row r="161" spans="1:1" x14ac:dyDescent="0.25">
      <c r="A161" s="816"/>
    </row>
    <row r="162" spans="1:1" x14ac:dyDescent="0.25">
      <c r="A162" s="816"/>
    </row>
    <row r="163" spans="1:1" x14ac:dyDescent="0.25">
      <c r="A163" s="816"/>
    </row>
    <row r="164" spans="1:1" x14ac:dyDescent="0.25">
      <c r="A164" s="816"/>
    </row>
    <row r="165" spans="1:1" x14ac:dyDescent="0.25">
      <c r="A165" s="816"/>
    </row>
    <row r="166" spans="1:1" x14ac:dyDescent="0.25">
      <c r="A166" s="816"/>
    </row>
    <row r="167" spans="1:1" x14ac:dyDescent="0.25">
      <c r="A167" s="816"/>
    </row>
    <row r="168" spans="1:1" x14ac:dyDescent="0.25">
      <c r="A168" s="816"/>
    </row>
    <row r="169" spans="1:1" x14ac:dyDescent="0.25">
      <c r="A169" s="816"/>
    </row>
    <row r="170" spans="1:1" x14ac:dyDescent="0.25">
      <c r="A170" s="816"/>
    </row>
    <row r="171" spans="1:1" x14ac:dyDescent="0.25">
      <c r="A171" s="816"/>
    </row>
    <row r="172" spans="1:1" x14ac:dyDescent="0.25">
      <c r="A172" s="816"/>
    </row>
    <row r="173" spans="1:1" x14ac:dyDescent="0.25">
      <c r="A173" s="816"/>
    </row>
    <row r="174" spans="1:1" x14ac:dyDescent="0.25">
      <c r="A174" s="816"/>
    </row>
    <row r="175" spans="1:1" x14ac:dyDescent="0.25">
      <c r="A175" s="816"/>
    </row>
    <row r="176" spans="1:1" x14ac:dyDescent="0.25">
      <c r="A176" s="816"/>
    </row>
    <row r="177" spans="1:1" x14ac:dyDescent="0.25">
      <c r="A177" s="816"/>
    </row>
    <row r="178" spans="1:1" x14ac:dyDescent="0.25">
      <c r="A178" s="816"/>
    </row>
    <row r="179" spans="1:1" x14ac:dyDescent="0.25">
      <c r="A179" s="816"/>
    </row>
    <row r="180" spans="1:1" x14ac:dyDescent="0.25">
      <c r="A180" s="816"/>
    </row>
    <row r="181" spans="1:1" x14ac:dyDescent="0.25">
      <c r="A181" s="816"/>
    </row>
    <row r="182" spans="1:1" x14ac:dyDescent="0.25">
      <c r="A182" s="816"/>
    </row>
    <row r="183" spans="1:1" x14ac:dyDescent="0.25">
      <c r="A183" s="816"/>
    </row>
    <row r="184" spans="1:1" x14ac:dyDescent="0.25">
      <c r="A184" s="816"/>
    </row>
    <row r="185" spans="1:1" x14ac:dyDescent="0.25">
      <c r="A185" s="816"/>
    </row>
    <row r="186" spans="1:1" x14ac:dyDescent="0.25">
      <c r="A186" s="816"/>
    </row>
    <row r="187" spans="1:1" x14ac:dyDescent="0.25">
      <c r="A187" s="816"/>
    </row>
    <row r="188" spans="1:1" x14ac:dyDescent="0.25">
      <c r="A188" s="816"/>
    </row>
    <row r="189" spans="1:1" x14ac:dyDescent="0.25">
      <c r="A189" s="816"/>
    </row>
    <row r="190" spans="1:1" x14ac:dyDescent="0.25">
      <c r="A190" s="816"/>
    </row>
    <row r="191" spans="1:1" x14ac:dyDescent="0.25">
      <c r="A191" s="816"/>
    </row>
    <row r="192" spans="1:1" x14ac:dyDescent="0.25">
      <c r="A192" s="816"/>
    </row>
    <row r="193" spans="1:1" x14ac:dyDescent="0.25">
      <c r="A193" s="816"/>
    </row>
    <row r="194" spans="1:1" x14ac:dyDescent="0.25">
      <c r="A194" s="816"/>
    </row>
    <row r="195" spans="1:1" x14ac:dyDescent="0.25">
      <c r="A195" s="816"/>
    </row>
    <row r="196" spans="1:1" x14ac:dyDescent="0.25">
      <c r="A196" s="816"/>
    </row>
    <row r="197" spans="1:1" x14ac:dyDescent="0.25">
      <c r="A197" s="816"/>
    </row>
    <row r="198" spans="1:1" x14ac:dyDescent="0.25">
      <c r="A198" s="816"/>
    </row>
    <row r="199" spans="1:1" x14ac:dyDescent="0.25">
      <c r="A199" s="816"/>
    </row>
    <row r="200" spans="1:1" x14ac:dyDescent="0.25">
      <c r="A200" s="816"/>
    </row>
    <row r="201" spans="1:1" x14ac:dyDescent="0.25">
      <c r="A201" s="816"/>
    </row>
    <row r="202" spans="1:1" x14ac:dyDescent="0.25">
      <c r="A202" s="816"/>
    </row>
    <row r="203" spans="1:1" x14ac:dyDescent="0.25">
      <c r="A203" s="816"/>
    </row>
    <row r="204" spans="1:1" x14ac:dyDescent="0.25">
      <c r="A204" s="816"/>
    </row>
    <row r="205" spans="1:1" x14ac:dyDescent="0.25">
      <c r="A205" s="816"/>
    </row>
    <row r="206" spans="1:1" x14ac:dyDescent="0.25">
      <c r="A206" s="816"/>
    </row>
    <row r="207" spans="1:1" x14ac:dyDescent="0.25">
      <c r="A207" s="816"/>
    </row>
    <row r="208" spans="1:1" x14ac:dyDescent="0.25">
      <c r="A208" s="816"/>
    </row>
    <row r="209" spans="1:1" x14ac:dyDescent="0.25">
      <c r="A209" s="816"/>
    </row>
    <row r="210" spans="1:1" x14ac:dyDescent="0.25">
      <c r="A210" s="816"/>
    </row>
    <row r="211" spans="1:1" x14ac:dyDescent="0.25">
      <c r="A211" s="816"/>
    </row>
    <row r="212" spans="1:1" x14ac:dyDescent="0.25">
      <c r="A212" s="816"/>
    </row>
    <row r="213" spans="1:1" x14ac:dyDescent="0.25">
      <c r="A213" s="816"/>
    </row>
    <row r="214" spans="1:1" x14ac:dyDescent="0.25">
      <c r="A214" s="816"/>
    </row>
    <row r="215" spans="1:1" x14ac:dyDescent="0.25">
      <c r="A215" s="816"/>
    </row>
    <row r="216" spans="1:1" x14ac:dyDescent="0.25">
      <c r="A216" s="816"/>
    </row>
    <row r="217" spans="1:1" x14ac:dyDescent="0.25">
      <c r="A217" s="816"/>
    </row>
    <row r="218" spans="1:1" x14ac:dyDescent="0.25">
      <c r="A218" s="816"/>
    </row>
    <row r="219" spans="1:1" x14ac:dyDescent="0.25">
      <c r="A219" s="816"/>
    </row>
    <row r="220" spans="1:1" x14ac:dyDescent="0.25">
      <c r="A220" s="816"/>
    </row>
    <row r="221" spans="1:1" x14ac:dyDescent="0.25">
      <c r="A221" s="816"/>
    </row>
    <row r="222" spans="1:1" x14ac:dyDescent="0.25">
      <c r="A222" s="816"/>
    </row>
    <row r="223" spans="1:1" x14ac:dyDescent="0.25">
      <c r="A223" s="816"/>
    </row>
    <row r="224" spans="1:1" x14ac:dyDescent="0.25">
      <c r="A224" s="816"/>
    </row>
    <row r="225" spans="1:11" x14ac:dyDescent="0.25">
      <c r="A225" s="816"/>
    </row>
    <row r="226" spans="1:11" x14ac:dyDescent="0.25">
      <c r="A226" s="816"/>
    </row>
    <row r="227" spans="1:11" x14ac:dyDescent="0.25">
      <c r="A227" s="816"/>
    </row>
    <row r="228" spans="1:11" x14ac:dyDescent="0.25">
      <c r="A228" s="816"/>
    </row>
    <row r="229" spans="1:11" x14ac:dyDescent="0.25">
      <c r="A229" s="816"/>
      <c r="J229" s="886" t="str">
        <f>List!$B$112</f>
        <v>Zpět</v>
      </c>
      <c r="K229" s="886"/>
    </row>
    <row r="230" spans="1:11" x14ac:dyDescent="0.25">
      <c r="A230" s="816"/>
    </row>
    <row r="231" spans="1:11" x14ac:dyDescent="0.25">
      <c r="A231" s="816"/>
    </row>
    <row r="232" spans="1:11" x14ac:dyDescent="0.25">
      <c r="A232" s="816"/>
    </row>
    <row r="233" spans="1:11" x14ac:dyDescent="0.25">
      <c r="A233" s="816"/>
    </row>
    <row r="234" spans="1:11" x14ac:dyDescent="0.25">
      <c r="A234" s="816"/>
    </row>
    <row r="235" spans="1:11" x14ac:dyDescent="0.25">
      <c r="A235" s="816"/>
    </row>
    <row r="236" spans="1:11" x14ac:dyDescent="0.25">
      <c r="A236" s="816"/>
    </row>
    <row r="237" spans="1:11" x14ac:dyDescent="0.25">
      <c r="A237" s="816"/>
    </row>
    <row r="238" spans="1:11" x14ac:dyDescent="0.25">
      <c r="A238" s="816"/>
    </row>
    <row r="239" spans="1:11" x14ac:dyDescent="0.25">
      <c r="A239" s="816"/>
    </row>
    <row r="240" spans="1:11" x14ac:dyDescent="0.25">
      <c r="A240" s="816"/>
    </row>
    <row r="241" spans="1:1" x14ac:dyDescent="0.25">
      <c r="A241" s="816"/>
    </row>
    <row r="242" spans="1:1" x14ac:dyDescent="0.25">
      <c r="A242" s="816"/>
    </row>
    <row r="243" spans="1:1" x14ac:dyDescent="0.25">
      <c r="A243" s="816"/>
    </row>
    <row r="244" spans="1:1" x14ac:dyDescent="0.25">
      <c r="A244" s="816"/>
    </row>
    <row r="245" spans="1:1" x14ac:dyDescent="0.25">
      <c r="A245" s="816"/>
    </row>
    <row r="246" spans="1:1" x14ac:dyDescent="0.25">
      <c r="A246" s="816"/>
    </row>
    <row r="247" spans="1:1" x14ac:dyDescent="0.25">
      <c r="A247" s="816"/>
    </row>
    <row r="248" spans="1:1" x14ac:dyDescent="0.25">
      <c r="A248" s="816"/>
    </row>
    <row r="249" spans="1:1" x14ac:dyDescent="0.25">
      <c r="A249" s="816"/>
    </row>
    <row r="250" spans="1:1" x14ac:dyDescent="0.25">
      <c r="A250" s="816"/>
    </row>
    <row r="251" spans="1:1" x14ac:dyDescent="0.25">
      <c r="A251" s="816"/>
    </row>
    <row r="252" spans="1:1" x14ac:dyDescent="0.25">
      <c r="A252" s="816"/>
    </row>
    <row r="253" spans="1:1" x14ac:dyDescent="0.25">
      <c r="A253" s="816"/>
    </row>
    <row r="254" spans="1:1" x14ac:dyDescent="0.25">
      <c r="A254" s="816"/>
    </row>
    <row r="255" spans="1:1" x14ac:dyDescent="0.25">
      <c r="A255" s="816"/>
    </row>
    <row r="256" spans="1:1" x14ac:dyDescent="0.25">
      <c r="A256" s="816"/>
    </row>
  </sheetData>
  <sheetProtection algorithmName="SHA-512" hashValue="4FqGa6nwCHiRA262mzhs3jY1m/CxOaa3t1l8Sv8aUqENxO0+Ee9ijpLiLOT8mXQ8heiO8GT4l53gXxdUg5vFIg==" saltValue="n8MfDxv64QrRgEQerJrKvw==" spinCount="100000" sheet="1" objects="1" scenarios="1"/>
  <mergeCells count="3">
    <mergeCell ref="J131:K131"/>
    <mergeCell ref="A129:A256"/>
    <mergeCell ref="J229:K229"/>
  </mergeCells>
  <phoneticPr fontId="52" type="noConversion"/>
  <hyperlinks>
    <hyperlink ref="I3" location="Form!A1" tooltip=" " display="Form!A1" xr:uid="{00000000-0004-0000-1F00-000000000000}"/>
    <hyperlink ref="I4" location="Menu!A1" tooltip=" " display="Menu!A1" xr:uid="{00000000-0004-0000-1F00-000001000000}"/>
    <hyperlink ref="I12" location="SD!A150" tooltip=" " display="SD!A150" xr:uid="{00000000-0004-0000-1F00-000002000000}"/>
    <hyperlink ref="J131:K131" location="SD!A1" tooltip=" " display="SD!A1" xr:uid="{00000000-0004-0000-1F00-000003000000}"/>
    <hyperlink ref="I5" location="Acs!A1" tooltip=" " display="Acs!A1" xr:uid="{00000000-0004-0000-1F00-000004000000}"/>
    <hyperlink ref="J229:K229" location="SD!A1" tooltip=" " display="SD!A1" xr:uid="{00000000-0004-0000-1F00-000005000000}"/>
    <hyperlink ref="I9" location="Sum!A1" tooltip=" " display="Sum!A1" xr:uid="{00000000-0004-0000-1F00-000006000000}"/>
    <hyperlink ref="I10" location="Ord!A1" tooltip=" " display="Ord!A1" xr:uid="{00000000-0004-0000-1F00-000007000000}"/>
    <hyperlink ref="I8" location="AL!A1" tooltip=" " display="AL!A1" xr:uid="{00000000-0004-0000-1F00-000008000000}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2">
    <tabColor theme="5"/>
  </sheetPr>
  <dimension ref="A1:W37"/>
  <sheetViews>
    <sheetView showGridLines="0" showRowColHeaders="0" workbookViewId="0">
      <selection activeCell="P10" sqref="P10"/>
    </sheetView>
  </sheetViews>
  <sheetFormatPr defaultColWidth="9.1796875" defaultRowHeight="12.5" x14ac:dyDescent="0.25"/>
  <cols>
    <col min="1" max="1" width="2.54296875" style="117" customWidth="1"/>
    <col min="2" max="4" width="9.1796875" style="117"/>
    <col min="5" max="5" width="18.81640625" style="117" customWidth="1"/>
    <col min="6" max="6" width="13.54296875" style="117" customWidth="1"/>
    <col min="7" max="7" width="1.453125" style="117" customWidth="1"/>
    <col min="8" max="8" width="2.81640625" style="117" customWidth="1"/>
    <col min="9" max="11" width="9.1796875" style="117"/>
    <col min="12" max="12" width="18.81640625" style="117" customWidth="1"/>
    <col min="13" max="13" width="13.54296875" style="117" customWidth="1"/>
    <col min="14" max="14" width="1.453125" style="117" customWidth="1"/>
    <col min="15" max="15" width="4.81640625" style="117" customWidth="1"/>
    <col min="16" max="16" width="27.453125" style="117" customWidth="1"/>
    <col min="17" max="16384" width="9.1796875" style="117"/>
  </cols>
  <sheetData>
    <row r="1" spans="2:16" ht="21" customHeight="1" x14ac:dyDescent="0.4">
      <c r="N1" s="538" t="s">
        <v>24</v>
      </c>
      <c r="O1" s="200"/>
    </row>
    <row r="2" spans="2:16" ht="15" customHeight="1" x14ac:dyDescent="0.3">
      <c r="B2" s="176" t="str">
        <f>"AMBIA-LINE "&amp;List!$B$116</f>
        <v>AMBIA-LINE pro zásuvky</v>
      </c>
      <c r="I2" s="176"/>
      <c r="P2" s="151" t="str">
        <f>List!$B$11&amp;":"</f>
        <v>Zpět na:</v>
      </c>
    </row>
    <row r="3" spans="2:16" ht="13.5" thickBot="1" x14ac:dyDescent="0.35">
      <c r="B3" s="174"/>
      <c r="C3" s="174"/>
      <c r="D3" s="174"/>
      <c r="E3" s="887" t="str">
        <f>List!$B$119</f>
        <v>Design ocel</v>
      </c>
      <c r="F3" s="887" t="str">
        <f>List!$B$120</f>
        <v>Design dřevo</v>
      </c>
      <c r="G3" s="177"/>
      <c r="I3" s="174"/>
      <c r="J3" s="174"/>
      <c r="K3" s="174"/>
      <c r="L3" s="887" t="str">
        <f>List!$B$120</f>
        <v>Design dřevo</v>
      </c>
      <c r="M3" s="887" t="str">
        <f>List!$B$120</f>
        <v>Design dřevo</v>
      </c>
      <c r="N3" s="177"/>
      <c r="P3" s="149" t="str">
        <f>" "&amp;List!$B$13</f>
        <v xml:space="preserve"> Úvod</v>
      </c>
    </row>
    <row r="4" spans="2:16" ht="13" thickBot="1" x14ac:dyDescent="0.3">
      <c r="G4" s="144"/>
      <c r="N4" s="144"/>
      <c r="P4" s="150" t="str">
        <f>" "&amp;List!$B$4</f>
        <v xml:space="preserve"> Výběr zásuvek a výsuvů</v>
      </c>
    </row>
    <row r="5" spans="2:16" ht="13" thickBot="1" x14ac:dyDescent="0.3">
      <c r="G5" s="144"/>
      <c r="N5" s="144"/>
      <c r="P5" s="150" t="str">
        <f>" "&amp;List!$B$5</f>
        <v xml:space="preserve"> Výběr doplňků</v>
      </c>
    </row>
    <row r="6" spans="2:16" x14ac:dyDescent="0.25">
      <c r="E6" s="164" t="str">
        <f>List!$B$146&amp;":"</f>
        <v>Základní prvek:</v>
      </c>
      <c r="F6" s="164" t="str">
        <f>List!$B$50&amp;" M"</f>
        <v>Zásuvka M</v>
      </c>
      <c r="G6" s="144"/>
      <c r="L6" s="164" t="str">
        <f>List!$B$146&amp;":"</f>
        <v>Základní prvek:</v>
      </c>
      <c r="M6" s="164" t="str">
        <f>List!$B$50&amp;" M"</f>
        <v>Zásuvka M</v>
      </c>
      <c r="N6" s="144"/>
      <c r="P6" s="150" t="str">
        <f>" "&amp;List!$B$6</f>
        <v xml:space="preserve"> Výběr SERVO-DRIVE</v>
      </c>
    </row>
    <row r="7" spans="2:16" x14ac:dyDescent="0.25">
      <c r="E7" s="164" t="str">
        <f>List!$B$115&amp;" KB:"</f>
        <v>Šířka korpusu KB:</v>
      </c>
      <c r="F7" s="164" t="s">
        <v>46</v>
      </c>
      <c r="G7" s="144"/>
      <c r="L7" s="164" t="str">
        <f>List!$B$115&amp;" KB:"</f>
        <v>Šířka korpusu KB:</v>
      </c>
      <c r="M7" s="164" t="s">
        <v>46</v>
      </c>
      <c r="N7" s="144"/>
      <c r="P7" s="2"/>
    </row>
    <row r="8" spans="2:16" ht="13" thickBot="1" x14ac:dyDescent="0.3">
      <c r="G8" s="144"/>
      <c r="N8" s="144"/>
      <c r="P8" s="2" t="str">
        <f>List!$B$12&amp;":"</f>
        <v>Pokračovat na:</v>
      </c>
    </row>
    <row r="9" spans="2:16" ht="13" thickBot="1" x14ac:dyDescent="0.3">
      <c r="P9" s="150" t="str">
        <f>" "&amp;List!$B$18</f>
        <v xml:space="preserve"> Souhrn</v>
      </c>
    </row>
    <row r="10" spans="2:16" x14ac:dyDescent="0.25">
      <c r="P10" s="150" t="str">
        <f>" "&amp;List!$B$20</f>
        <v xml:space="preserve"> Objednávka</v>
      </c>
    </row>
    <row r="11" spans="2:16" ht="15" customHeight="1" x14ac:dyDescent="0.3">
      <c r="B11" s="176" t="str">
        <f>"AMBIA-LINE "&amp;List!$B$117&amp;" C, F"</f>
        <v>AMBIA-LINE pro čelní výsuvy C, F</v>
      </c>
    </row>
    <row r="12" spans="2:16" ht="13" x14ac:dyDescent="0.3">
      <c r="B12" s="174"/>
      <c r="C12" s="174"/>
      <c r="D12" s="174"/>
      <c r="E12" s="887" t="str">
        <f>List!$B$119</f>
        <v>Design ocel</v>
      </c>
      <c r="F12" s="887" t="str">
        <f>List!$B$119</f>
        <v>Design ocel</v>
      </c>
      <c r="G12" s="177"/>
      <c r="I12" s="174"/>
      <c r="J12" s="174"/>
      <c r="K12" s="174"/>
      <c r="L12" s="887" t="str">
        <f>List!$B$120</f>
        <v>Design dřevo</v>
      </c>
      <c r="M12" s="887" t="str">
        <f>List!$B$120</f>
        <v>Design dřevo</v>
      </c>
      <c r="N12" s="177"/>
      <c r="P12" s="2"/>
    </row>
    <row r="13" spans="2:16" x14ac:dyDescent="0.25">
      <c r="G13" s="144"/>
      <c r="N13" s="144"/>
    </row>
    <row r="14" spans="2:16" x14ac:dyDescent="0.25">
      <c r="G14" s="144"/>
      <c r="N14" s="144"/>
    </row>
    <row r="15" spans="2:16" ht="13" x14ac:dyDescent="0.3">
      <c r="G15" s="144"/>
      <c r="N15" s="144"/>
      <c r="P15" s="181" t="str">
        <f>List!$B$199&amp;":"</f>
        <v>Zóny DYNAMIC SPACE:</v>
      </c>
    </row>
    <row r="16" spans="2:16" x14ac:dyDescent="0.25">
      <c r="E16" s="164" t="str">
        <f>List!$B$146&amp;":"</f>
        <v>Základní prvek:</v>
      </c>
      <c r="F16" s="164" t="str">
        <f>List!$B$52&amp;" C, F"</f>
        <v>Čelní výsuv C, F</v>
      </c>
      <c r="G16" s="144"/>
      <c r="L16" s="164" t="str">
        <f>List!$B$146&amp;":"</f>
        <v>Základní prvek:</v>
      </c>
      <c r="M16" s="164" t="str">
        <f>List!$B$52&amp;" C, F"</f>
        <v>Čelní výsuv C, F</v>
      </c>
      <c r="N16" s="144"/>
    </row>
    <row r="17" spans="1:23" x14ac:dyDescent="0.25">
      <c r="E17" s="164" t="str">
        <f>List!$B$115&amp;" KB:"</f>
        <v>Šířka korpusu KB:</v>
      </c>
      <c r="F17" s="164" t="s">
        <v>46</v>
      </c>
      <c r="G17" s="144"/>
      <c r="L17" s="164" t="str">
        <f>List!$B$115&amp;" KB:"</f>
        <v>Šířka korpusu KB:</v>
      </c>
      <c r="M17" s="164" t="s">
        <v>46</v>
      </c>
      <c r="N17" s="144"/>
      <c r="P17" s="117" t="str">
        <f>"       "&amp;List!$B$200</f>
        <v xml:space="preserve">       Zásoby</v>
      </c>
    </row>
    <row r="18" spans="1:23" ht="13" x14ac:dyDescent="0.25">
      <c r="F18" s="504" t="str">
        <f>IF(Form!$O$2=3,List!$B$190&amp;"!"," ")</f>
        <v xml:space="preserve"> </v>
      </c>
      <c r="G18" s="144"/>
      <c r="M18" s="504" t="str">
        <f>List!$B$190&amp;"!"</f>
        <v>Nutno ověřit dostupnost!</v>
      </c>
      <c r="N18" s="144"/>
    </row>
    <row r="19" spans="1:23" x14ac:dyDescent="0.25">
      <c r="A19" s="175"/>
      <c r="B19" s="175"/>
      <c r="C19" s="175"/>
      <c r="D19" s="175"/>
      <c r="E19" s="175"/>
      <c r="F19" s="175"/>
      <c r="G19" s="178"/>
      <c r="H19" s="175"/>
      <c r="I19" s="175"/>
      <c r="J19" s="175"/>
      <c r="K19" s="175"/>
      <c r="L19" s="175"/>
      <c r="M19" s="175"/>
      <c r="N19" s="178"/>
      <c r="P19" s="117" t="str">
        <f>"       "&amp;List!$B$201</f>
        <v xml:space="preserve">       Ukládání</v>
      </c>
    </row>
    <row r="20" spans="1:23" x14ac:dyDescent="0.25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42"/>
      <c r="M20" s="142"/>
      <c r="N20" s="142"/>
      <c r="O20" s="142"/>
    </row>
    <row r="21" spans="1:23" ht="13" x14ac:dyDescent="0.3">
      <c r="B21" s="174"/>
      <c r="C21" s="174"/>
      <c r="D21" s="174"/>
      <c r="E21" s="887" t="str">
        <f>List!$B$215</f>
        <v>Souprava na lahve</v>
      </c>
      <c r="F21" s="887"/>
      <c r="G21" s="177"/>
      <c r="I21" s="174"/>
      <c r="J21" s="174"/>
      <c r="K21" s="174"/>
      <c r="L21" s="887" t="str">
        <f>List!$B$154</f>
        <v>Příčný reling</v>
      </c>
      <c r="M21" s="887"/>
      <c r="N21" s="177"/>
      <c r="O21" s="142"/>
      <c r="P21" s="117" t="str">
        <f>"       "&amp;List!$B$202</f>
        <v xml:space="preserve">       Mytí</v>
      </c>
    </row>
    <row r="22" spans="1:23" x14ac:dyDescent="0.25">
      <c r="G22" s="144"/>
      <c r="N22" s="144"/>
      <c r="O22" s="142"/>
    </row>
    <row r="23" spans="1:23" x14ac:dyDescent="0.25">
      <c r="G23" s="144"/>
      <c r="N23" s="144"/>
      <c r="O23" s="142"/>
      <c r="P23" s="117" t="str">
        <f>"       "&amp;List!$B$203</f>
        <v xml:space="preserve">       Příprava</v>
      </c>
    </row>
    <row r="24" spans="1:23" x14ac:dyDescent="0.25">
      <c r="G24" s="144"/>
      <c r="N24" s="144"/>
      <c r="O24" s="142"/>
    </row>
    <row r="25" spans="1:23" x14ac:dyDescent="0.25">
      <c r="E25" s="164" t="str">
        <f>List!$B$146&amp;":"</f>
        <v>Základní prvek:</v>
      </c>
      <c r="F25" s="164" t="str">
        <f>List!$B$52&amp;" C, F"</f>
        <v>Čelní výsuv C, F</v>
      </c>
      <c r="G25" s="144"/>
      <c r="L25" s="164" t="str">
        <f>List!$B$146&amp;":"</f>
        <v>Základní prvek:</v>
      </c>
      <c r="M25" s="164" t="str">
        <f>List!$B$52&amp;" C, F"</f>
        <v>Čelní výsuv C, F</v>
      </c>
      <c r="N25" s="144"/>
      <c r="O25" s="142"/>
      <c r="P25" s="117" t="str">
        <f>"       "&amp;List!$B$204</f>
        <v xml:space="preserve">       Vaření / pečení</v>
      </c>
    </row>
    <row r="26" spans="1:23" x14ac:dyDescent="0.25">
      <c r="E26" s="164" t="str">
        <f>List!$B$115&amp;" KB:"</f>
        <v>Šířka korpusu KB:</v>
      </c>
      <c r="F26" s="164" t="s">
        <v>1010</v>
      </c>
      <c r="G26" s="144"/>
      <c r="L26" s="164" t="str">
        <f>List!$B$115&amp;" KB:"</f>
        <v>Šířka korpusu KB:</v>
      </c>
      <c r="M26" s="164" t="s">
        <v>47</v>
      </c>
      <c r="N26" s="144"/>
      <c r="O26" s="142"/>
      <c r="Q26" s="142"/>
      <c r="R26" s="142"/>
      <c r="S26" s="142"/>
      <c r="T26" s="142"/>
      <c r="U26" s="142"/>
      <c r="V26" s="142"/>
      <c r="W26" s="142"/>
    </row>
    <row r="27" spans="1:23" x14ac:dyDescent="0.25">
      <c r="G27" s="144"/>
      <c r="N27" s="144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1:23" ht="13" x14ac:dyDescent="0.3">
      <c r="A28" s="175"/>
      <c r="B28" s="175"/>
      <c r="C28" s="175"/>
      <c r="D28" s="175"/>
      <c r="E28" s="175"/>
      <c r="F28" s="175"/>
      <c r="G28" s="178"/>
      <c r="H28" s="175"/>
      <c r="I28" s="175"/>
      <c r="J28" s="175"/>
      <c r="K28" s="175"/>
      <c r="L28" s="175"/>
      <c r="M28" s="175"/>
      <c r="N28" s="178"/>
      <c r="O28" s="142"/>
      <c r="P28" s="142"/>
      <c r="Q28" s="142"/>
      <c r="R28" s="142"/>
      <c r="S28" s="142"/>
      <c r="T28" s="142"/>
      <c r="U28" s="188"/>
      <c r="V28" s="142"/>
      <c r="W28" s="142"/>
    </row>
    <row r="29" spans="1:23" x14ac:dyDescent="0.25">
      <c r="I29" s="142"/>
      <c r="J29" s="142"/>
      <c r="K29" s="142"/>
      <c r="L29" s="142"/>
      <c r="M29" s="142"/>
      <c r="N29" s="142"/>
      <c r="O29" s="142"/>
    </row>
    <row r="30" spans="1:23" ht="13" x14ac:dyDescent="0.3">
      <c r="B30" s="174"/>
      <c r="C30" s="174"/>
      <c r="D30" s="174"/>
      <c r="E30" s="887" t="str">
        <f>List!$B$127</f>
        <v>Pomůcky do kuchyně</v>
      </c>
      <c r="F30" s="887"/>
      <c r="G30" s="177"/>
      <c r="I30" s="142"/>
      <c r="J30" s="142"/>
      <c r="K30" s="142"/>
      <c r="L30" s="718"/>
      <c r="M30" s="718"/>
      <c r="N30" s="142"/>
      <c r="O30" s="142"/>
    </row>
    <row r="31" spans="1:23" x14ac:dyDescent="0.25">
      <c r="G31" s="144"/>
      <c r="I31" s="142"/>
      <c r="J31" s="142"/>
      <c r="K31" s="142"/>
      <c r="L31" s="142"/>
      <c r="M31" s="142"/>
      <c r="N31" s="142"/>
      <c r="O31" s="142"/>
    </row>
    <row r="32" spans="1:23" x14ac:dyDescent="0.25">
      <c r="G32" s="144"/>
      <c r="I32" s="142"/>
      <c r="J32" s="142"/>
      <c r="K32" s="142"/>
      <c r="L32" s="142"/>
      <c r="M32" s="142"/>
      <c r="N32" s="142"/>
      <c r="O32" s="142"/>
    </row>
    <row r="33" spans="2:15" x14ac:dyDescent="0.25">
      <c r="G33" s="144"/>
      <c r="I33" s="142"/>
      <c r="J33" s="142"/>
      <c r="K33" s="142"/>
      <c r="L33" s="142"/>
      <c r="M33" s="142"/>
      <c r="N33" s="142"/>
      <c r="O33" s="142"/>
    </row>
    <row r="34" spans="2:15" x14ac:dyDescent="0.25">
      <c r="E34" s="164"/>
      <c r="F34" s="164"/>
      <c r="G34" s="144"/>
      <c r="I34" s="142"/>
      <c r="J34" s="142"/>
      <c r="K34" s="142"/>
      <c r="L34" s="143"/>
      <c r="M34" s="143"/>
      <c r="N34" s="142"/>
      <c r="O34" s="142"/>
    </row>
    <row r="35" spans="2:15" x14ac:dyDescent="0.25">
      <c r="E35" s="164" t="str">
        <f>List!$B$115&amp;" KB:"</f>
        <v>Šířka korpusu KB:</v>
      </c>
      <c r="F35" s="164" t="s">
        <v>47</v>
      </c>
      <c r="G35" s="144"/>
      <c r="I35" s="142"/>
      <c r="J35" s="142"/>
      <c r="K35" s="142"/>
      <c r="L35" s="143"/>
      <c r="M35" s="143"/>
      <c r="N35" s="142"/>
      <c r="O35" s="142"/>
    </row>
    <row r="36" spans="2:15" x14ac:dyDescent="0.25">
      <c r="G36" s="144"/>
      <c r="I36" s="142"/>
      <c r="J36" s="142"/>
      <c r="K36" s="142"/>
      <c r="L36" s="142"/>
      <c r="M36" s="142"/>
      <c r="N36" s="142"/>
      <c r="O36" s="142"/>
    </row>
    <row r="37" spans="2:15" x14ac:dyDescent="0.25">
      <c r="B37" s="175"/>
      <c r="C37" s="175"/>
      <c r="D37" s="175"/>
      <c r="E37" s="175"/>
      <c r="F37" s="175"/>
      <c r="G37" s="178"/>
      <c r="H37" s="175"/>
      <c r="I37" s="175"/>
      <c r="J37" s="175"/>
      <c r="K37" s="175"/>
      <c r="L37" s="175"/>
      <c r="M37" s="175"/>
      <c r="N37" s="175"/>
      <c r="O37" s="142"/>
    </row>
  </sheetData>
  <sheetProtection algorithmName="SHA-512" hashValue="sqTKNWPq8HNAC/s3XT0ubnhkBj0xlbRkmVxr14lCj2mPAuwXTg2D5H87HtUS1VP3nFI6Ut5AwqyG3AOfMIVZTg==" saltValue="hpZyQFSY62NpAhCSyZ4KPA==" spinCount="100000" sheet="1" objects="1" scenarios="1"/>
  <mergeCells count="7">
    <mergeCell ref="E30:F30"/>
    <mergeCell ref="E21:F21"/>
    <mergeCell ref="L3:M3"/>
    <mergeCell ref="E3:F3"/>
    <mergeCell ref="L12:M12"/>
    <mergeCell ref="E12:F12"/>
    <mergeCell ref="L21:M21"/>
  </mergeCells>
  <phoneticPr fontId="52" type="noConversion"/>
  <hyperlinks>
    <hyperlink ref="P3" location="Form!A1" tooltip=" " display="Form!A1" xr:uid="{00000000-0004-0000-2000-000000000000}"/>
    <hyperlink ref="P4" location="Menu!A1" tooltip=" " display="Menu!A1" xr:uid="{00000000-0004-0000-2000-000001000000}"/>
    <hyperlink ref="P9" location="Sum!A1" tooltip=" " display="Sum!A1" xr:uid="{00000000-0004-0000-2000-000002000000}"/>
    <hyperlink ref="P5" location="Acs!A1" tooltip=" " display="Acs!A1" xr:uid="{00000000-0004-0000-2000-000003000000}"/>
    <hyperlink ref="P10" location="Ord!A1" tooltip=" " display="Ord!A1" xr:uid="{00000000-0004-0000-2000-000004000000}"/>
    <hyperlink ref="L3" location="OLRo!A1" tooltip=" " display="OLRo!A1" xr:uid="{00000000-0004-0000-2000-000005000000}"/>
    <hyperlink ref="E12" location="OLP1!A1" tooltip=" " display="OLP1!A1" xr:uid="{00000000-0004-0000-2000-000006000000}"/>
    <hyperlink ref="L12" location="OLP2!A1" tooltip=" " display="OLP2!A1" xr:uid="{00000000-0004-0000-2000-000007000000}"/>
    <hyperlink ref="E21" location="ALkh!A1" tooltip=" " display="ALkh!A1" xr:uid="{00000000-0004-0000-2000-000008000000}"/>
    <hyperlink ref="P6" location="SD!A1" tooltip=" " display="SD!A1" xr:uid="{00000000-0004-0000-2000-000009000000}"/>
    <hyperlink ref="E3" location="OLRo!A1" tooltip=" " display="OLRo!A1" xr:uid="{00000000-0004-0000-2000-00000A000000}"/>
    <hyperlink ref="E3:F3" location="ALds!A1" tooltip=" " display="ALds!A1" xr:uid="{00000000-0004-0000-2000-00000B000000}"/>
    <hyperlink ref="E12:F12" location="ALpos!A1" tooltip=" " display="ALpos!A1" xr:uid="{00000000-0004-0000-2000-00000C000000}"/>
    <hyperlink ref="L12:M12" location="ALpow!A1" tooltip=" " display="ALpow!A1" xr:uid="{00000000-0004-0000-2000-00000D000000}"/>
    <hyperlink ref="L3:M3" location="ALdw!A1" tooltip=" " display="ALdw!A1" xr:uid="{00000000-0004-0000-2000-00000E000000}"/>
    <hyperlink ref="E21:F21" location="ALbot!A1" tooltip=" " display="ALbot!A1" xr:uid="{00000000-0004-0000-2000-00000F000000}"/>
    <hyperlink ref="L21" location="ALkh!A1" tooltip=" " display="ALkh!A1" xr:uid="{00000000-0004-0000-2000-000010000000}"/>
    <hyperlink ref="L21:M21" location="ALrel!A1" tooltip=" " display="ALrel!A1" xr:uid="{00000000-0004-0000-2000-000011000000}"/>
    <hyperlink ref="E30" location="ALkh!A1" tooltip=" " display="ALkh!A1" xr:uid="{00000000-0004-0000-2000-000012000000}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3">
    <tabColor indexed="53"/>
  </sheetPr>
  <dimension ref="A1:U53"/>
  <sheetViews>
    <sheetView showGridLines="0" showRowColHeaders="0" topLeftCell="B1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1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"&amp;List!$B$119</f>
        <v>AMBIA-LINE - Design ocel</v>
      </c>
      <c r="L2" s="10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1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List!$B$50&amp;" M"</f>
        <v>Zásuvka M</v>
      </c>
      <c r="L3" s="656"/>
      <c r="M3" s="117"/>
      <c r="N3" s="149" t="str">
        <f>" "&amp;List!$B$13</f>
        <v xml:space="preserve"> Úvod</v>
      </c>
      <c r="O3" s="117"/>
      <c r="P3" s="428" t="str">
        <f>Cen!A427</f>
        <v>Příborník, 450mm, Orion šedá</v>
      </c>
      <c r="Q3" s="428" t="str">
        <f>Cen!B427</f>
        <v>ZC7S450BS3</v>
      </c>
      <c r="R3" s="428" t="str">
        <f>Cen!C427</f>
        <v>OG-M</v>
      </c>
      <c r="S3" s="429">
        <f>H16</f>
        <v>0</v>
      </c>
      <c r="T3" s="430">
        <f>Cen!F427</f>
        <v>2198.2389899999998</v>
      </c>
      <c r="U3" s="430">
        <f t="shared" ref="U3:U12" si="0">S3*T3</f>
        <v>0</v>
      </c>
    </row>
    <row r="4" spans="1:21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List!$B$51&amp;" M"</f>
        <v>Vnitřní zásuvka M</v>
      </c>
      <c r="L4" s="74"/>
      <c r="M4" s="117"/>
      <c r="N4" s="150" t="str">
        <f>" "&amp;List!$B$4</f>
        <v xml:space="preserve"> Výběr zásuvek a výsuvů</v>
      </c>
      <c r="O4" s="117"/>
      <c r="P4" s="428" t="str">
        <f>Cen!A430</f>
        <v>Příborník, 500mm, Orion šedá</v>
      </c>
      <c r="Q4" s="428" t="str">
        <f>Cen!B430</f>
        <v>ZC7S500BS3</v>
      </c>
      <c r="R4" s="428" t="str">
        <f>Cen!C430</f>
        <v>OG-M</v>
      </c>
      <c r="S4" s="429">
        <f>I16</f>
        <v>0</v>
      </c>
      <c r="T4" s="430">
        <f>Cen!F430</f>
        <v>2266.93325</v>
      </c>
      <c r="U4" s="430">
        <f t="shared" si="0"/>
        <v>0</v>
      </c>
    </row>
    <row r="5" spans="1:21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656"/>
      <c r="M5" s="117"/>
      <c r="N5" s="150" t="str">
        <f>" "&amp;List!$B$5</f>
        <v xml:space="preserve"> Výběr doplňků</v>
      </c>
      <c r="O5" s="117"/>
      <c r="P5" s="428" t="str">
        <f>Cen!A433</f>
        <v>Příborník, 550mm, Orion šedá</v>
      </c>
      <c r="Q5" s="428" t="str">
        <f>Cen!B433</f>
        <v>ZC7S550BS3</v>
      </c>
      <c r="R5" s="428" t="str">
        <f>Cen!C433</f>
        <v>OG-M</v>
      </c>
      <c r="S5" s="429">
        <f>J16</f>
        <v>0</v>
      </c>
      <c r="T5" s="430">
        <f>Cen!F433</f>
        <v>3355.7471999999998</v>
      </c>
      <c r="U5" s="430">
        <f t="shared" si="0"/>
        <v>0</v>
      </c>
    </row>
    <row r="6" spans="1:21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List!$B$27&amp;":"</f>
        <v>barva:</v>
      </c>
      <c r="I6" s="119"/>
      <c r="J6" s="6"/>
      <c r="K6" s="243" t="str">
        <f>Form!$U$2</f>
        <v>Orion šedá (OG-M)</v>
      </c>
      <c r="L6" s="143"/>
      <c r="M6" s="117"/>
      <c r="N6" s="150" t="str">
        <f>" "&amp;List!$B$6</f>
        <v xml:space="preserve"> Výběr SERVO-DRIVE</v>
      </c>
      <c r="O6" s="117"/>
      <c r="P6" s="125" t="str">
        <f>Cen!A436</f>
        <v>Příborník, 600mm, Orion šedá</v>
      </c>
      <c r="Q6" s="125" t="str">
        <f>Cen!B436</f>
        <v>ZC7S600BS3</v>
      </c>
      <c r="R6" s="125" t="str">
        <f>Cen!C436</f>
        <v>OG-M</v>
      </c>
      <c r="S6" s="257">
        <f>K16</f>
        <v>0</v>
      </c>
      <c r="T6" s="258">
        <f>Cen!F436</f>
        <v>3424.44146</v>
      </c>
      <c r="U6" s="258">
        <f t="shared" si="0"/>
        <v>0</v>
      </c>
    </row>
    <row r="7" spans="1:21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52"/>
      <c r="M7" s="117"/>
      <c r="N7" s="242" t="str">
        <f>" "&amp;List!$B$7</f>
        <v xml:space="preserve"> Výběr AMBIA-LINE</v>
      </c>
      <c r="O7" s="117"/>
      <c r="P7" s="125" t="str">
        <f>Cen!A439</f>
        <v>Příborník, 650mm, Orion šedá</v>
      </c>
      <c r="Q7" s="125" t="str">
        <f>Cen!B439</f>
        <v>ZC7S650BS3</v>
      </c>
      <c r="R7" s="125" t="str">
        <f>Cen!C439</f>
        <v>OG-M</v>
      </c>
      <c r="S7" s="257">
        <f>L16</f>
        <v>0</v>
      </c>
      <c r="T7" s="258">
        <f>Cen!F439</f>
        <v>4310.6076300000004</v>
      </c>
      <c r="U7" s="258">
        <f>S7*T7</f>
        <v>0</v>
      </c>
    </row>
    <row r="8" spans="1:21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U45</f>
        <v>0</v>
      </c>
      <c r="L8" s="152"/>
      <c r="M8" s="117"/>
      <c r="O8" s="117"/>
      <c r="P8" s="120"/>
      <c r="Q8" s="120"/>
      <c r="R8" s="120"/>
      <c r="S8" s="121"/>
      <c r="T8" s="116"/>
      <c r="U8" s="116"/>
    </row>
    <row r="9" spans="1:21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2" t="str">
        <f>List!$B$12&amp;":"</f>
        <v>Pokračovat na:</v>
      </c>
      <c r="O9" s="117"/>
      <c r="P9" s="124" t="str">
        <f>Cen!A443</f>
        <v>Zásuvkové rámečky úzké, 450mm, Orion šedá</v>
      </c>
      <c r="Q9" s="124" t="str">
        <f>Cen!B443</f>
        <v>ZC7S450RS1</v>
      </c>
      <c r="R9" s="124" t="str">
        <f>Cen!C443</f>
        <v>OG-M</v>
      </c>
      <c r="S9" s="327">
        <f>H21</f>
        <v>0</v>
      </c>
      <c r="T9" s="328">
        <f>Cen!F443</f>
        <v>609.31690000000003</v>
      </c>
      <c r="U9" s="328">
        <f t="shared" si="0"/>
        <v>0</v>
      </c>
    </row>
    <row r="10" spans="1:21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Cen!A446</f>
        <v>Zásuvkové rámečky úzké, 500mm, Orion šedá</v>
      </c>
      <c r="Q10" s="125" t="str">
        <f>Cen!B446</f>
        <v>ZC7S500RS1</v>
      </c>
      <c r="R10" s="125" t="str">
        <f>Cen!C446</f>
        <v>OG-M</v>
      </c>
      <c r="S10" s="257">
        <f>I21</f>
        <v>0</v>
      </c>
      <c r="T10" s="258">
        <f>Cen!F446</f>
        <v>618.24832000000004</v>
      </c>
      <c r="U10" s="258">
        <f t="shared" si="0"/>
        <v>0</v>
      </c>
    </row>
    <row r="11" spans="1:21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Cen!A449</f>
        <v>Zásuvkové rámečky úzké, 550mm, Orion šedá</v>
      </c>
      <c r="Q11" s="125" t="str">
        <f>Cen!B449</f>
        <v>ZC7S550RS1</v>
      </c>
      <c r="R11" s="125" t="str">
        <f>Cen!C449</f>
        <v>OG-M</v>
      </c>
      <c r="S11" s="257">
        <f>J21</f>
        <v>0</v>
      </c>
      <c r="T11" s="258">
        <f>Cen!F449</f>
        <v>634.03956000000005</v>
      </c>
      <c r="U11" s="258">
        <f t="shared" si="0"/>
        <v>0</v>
      </c>
    </row>
    <row r="12" spans="1:21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5" t="str">
        <f>Cen!A452</f>
        <v>Zásuvkové rámečky úzké, 600mm, Orion šedá</v>
      </c>
      <c r="Q12" s="125" t="str">
        <f>Cen!B452</f>
        <v>ZC7S600RS1</v>
      </c>
      <c r="R12" s="125" t="str">
        <f>Cen!C452</f>
        <v>OG-M</v>
      </c>
      <c r="S12" s="257">
        <f>K21</f>
        <v>0</v>
      </c>
      <c r="T12" s="258">
        <f>Cen!F452</f>
        <v>649.83617000000004</v>
      </c>
      <c r="U12" s="258">
        <f t="shared" si="0"/>
        <v>0</v>
      </c>
    </row>
    <row r="13" spans="1:21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125" t="str">
        <f>Cen!A455</f>
        <v>Zásuvkové rámečky úzké, 650mm, Orion šedá</v>
      </c>
      <c r="Q13" s="125" t="str">
        <f>Cen!B455</f>
        <v>ZC7S650RS1</v>
      </c>
      <c r="R13" s="125" t="str">
        <f>Cen!C455</f>
        <v>OG-M</v>
      </c>
      <c r="S13" s="257">
        <f>L21</f>
        <v>0</v>
      </c>
      <c r="T13" s="258">
        <f>Cen!F455</f>
        <v>665.62681999999995</v>
      </c>
      <c r="U13" s="258">
        <f>S13*T13</f>
        <v>0</v>
      </c>
    </row>
    <row r="14" spans="1:21" ht="15.5" x14ac:dyDescent="0.25">
      <c r="A14" s="117"/>
      <c r="B14" s="307" t="str">
        <f>"[1]  "&amp;List!$B$209</f>
        <v>[1]  Příborníky</v>
      </c>
      <c r="C14" s="7"/>
      <c r="H14" s="285"/>
      <c r="I14" s="285"/>
      <c r="J14" s="285"/>
      <c r="K14" s="285"/>
      <c r="L14" s="285"/>
      <c r="M14" s="117"/>
      <c r="N14" s="117"/>
      <c r="O14" s="117"/>
      <c r="P14" s="120"/>
      <c r="Q14" s="120"/>
      <c r="R14" s="120"/>
      <c r="S14" s="121"/>
      <c r="T14" s="116"/>
      <c r="U14" s="116"/>
    </row>
    <row r="15" spans="1:21" ht="14" x14ac:dyDescent="0.3">
      <c r="A15" s="117"/>
      <c r="B15" s="6"/>
      <c r="C15" s="315" t="str">
        <f>List!$B$118&amp;":"</f>
        <v>Jmenovitá délka:</v>
      </c>
      <c r="D15" s="303"/>
      <c r="E15" s="300"/>
      <c r="F15" s="300"/>
      <c r="G15" s="300"/>
      <c r="H15" s="300" t="s">
        <v>111</v>
      </c>
      <c r="I15" s="770" t="s">
        <v>525</v>
      </c>
      <c r="J15" s="300" t="s">
        <v>526</v>
      </c>
      <c r="K15" s="300" t="s">
        <v>112</v>
      </c>
      <c r="L15" s="302" t="s">
        <v>770</v>
      </c>
      <c r="M15" s="117"/>
      <c r="N15" s="117"/>
      <c r="O15" s="117"/>
      <c r="P15" s="124" t="str">
        <f>Cen!A462</f>
        <v>Zásuvkové rámečky široké, 450mm, Orion šedá</v>
      </c>
      <c r="Q15" s="124" t="str">
        <f>Cen!B462</f>
        <v>ZC7S450RS2</v>
      </c>
      <c r="R15" s="124" t="str">
        <f>Cen!C462</f>
        <v>OG-M</v>
      </c>
      <c r="S15" s="327">
        <f>H22</f>
        <v>0</v>
      </c>
      <c r="T15" s="328">
        <f>Cen!F462</f>
        <v>746.71677999999997</v>
      </c>
      <c r="U15" s="328">
        <f>S15*T15</f>
        <v>0</v>
      </c>
    </row>
    <row r="16" spans="1:21" ht="14.5" thickBot="1" x14ac:dyDescent="0.35">
      <c r="A16" s="117"/>
      <c r="B16" s="293"/>
      <c r="C16" s="427" t="str">
        <f>List!$B$75&amp;": 300mm"</f>
        <v>šířka: 300mm</v>
      </c>
      <c r="D16" s="347"/>
      <c r="E16" s="347"/>
      <c r="F16" s="347"/>
      <c r="G16" s="347"/>
      <c r="H16" s="294"/>
      <c r="I16" s="294"/>
      <c r="J16" s="294"/>
      <c r="K16" s="294"/>
      <c r="L16" s="295"/>
      <c r="M16" s="117"/>
      <c r="N16" s="117"/>
      <c r="O16" s="117"/>
      <c r="P16" s="125" t="str">
        <f>Cen!A465</f>
        <v>Zásuvkové rámečky široké, 500mm, Orion šedá</v>
      </c>
      <c r="Q16" s="125" t="str">
        <f>Cen!B465</f>
        <v>ZC7S500RS2</v>
      </c>
      <c r="R16" s="125" t="str">
        <f>Cen!C465</f>
        <v>OG-M</v>
      </c>
      <c r="S16" s="257">
        <f>I22</f>
        <v>0</v>
      </c>
      <c r="T16" s="258">
        <f>Cen!F465</f>
        <v>755.64283</v>
      </c>
      <c r="U16" s="258">
        <f>S16*T16</f>
        <v>0</v>
      </c>
    </row>
    <row r="17" spans="1:21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285"/>
      <c r="M17" s="117"/>
      <c r="N17" s="117"/>
      <c r="O17" s="117"/>
      <c r="P17" s="125" t="str">
        <f>Cen!A468</f>
        <v>Zásuvkové rámečky široké, 550mm, Orion šedá</v>
      </c>
      <c r="Q17" s="125" t="str">
        <f>Cen!B468</f>
        <v>ZC7S550RS2</v>
      </c>
      <c r="R17" s="125" t="str">
        <f>Cen!C468</f>
        <v>OG-M</v>
      </c>
      <c r="S17" s="257">
        <f>J22</f>
        <v>0</v>
      </c>
      <c r="T17" s="258">
        <f>Cen!F468</f>
        <v>771.43943999999999</v>
      </c>
      <c r="U17" s="258">
        <f>S17*T17</f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125" t="str">
        <f>Cen!A471</f>
        <v>Zásuvkové rámečky široké, 600mm, Orion šedá</v>
      </c>
      <c r="Q18" s="125" t="str">
        <f>Cen!B471</f>
        <v>ZC7S600RS2</v>
      </c>
      <c r="R18" s="125" t="str">
        <f>Cen!C471</f>
        <v>OG-M</v>
      </c>
      <c r="S18" s="257">
        <f>K22</f>
        <v>0</v>
      </c>
      <c r="T18" s="258">
        <f>Cen!F471</f>
        <v>787.23006999999996</v>
      </c>
      <c r="U18" s="258">
        <f>S18*T18</f>
        <v>0</v>
      </c>
    </row>
    <row r="19" spans="1:21" ht="15.5" x14ac:dyDescent="0.25">
      <c r="A19" s="117"/>
      <c r="B19" s="307" t="str">
        <f>"[2, 3]  "&amp;List!$B$210</f>
        <v>[2, 3]  Zásuvkové rámečky</v>
      </c>
      <c r="C19" s="7"/>
      <c r="H19" s="285"/>
      <c r="I19" s="285"/>
      <c r="J19" s="285"/>
      <c r="K19" s="285"/>
      <c r="L19" s="285"/>
      <c r="M19" s="117"/>
      <c r="N19" s="117"/>
      <c r="O19" s="117"/>
      <c r="P19" s="125" t="str">
        <f>Cen!A474</f>
        <v>Zásuvkové rámečky široké, 650mm, Orion šedá</v>
      </c>
      <c r="Q19" s="125" t="str">
        <f>Cen!B474</f>
        <v>ZC7S650RS2</v>
      </c>
      <c r="R19" s="125" t="str">
        <f>Cen!C474</f>
        <v>OG-M</v>
      </c>
      <c r="S19" s="257">
        <f>L22</f>
        <v>0</v>
      </c>
      <c r="T19" s="258">
        <f>Cen!F474</f>
        <v>803.0213</v>
      </c>
      <c r="U19" s="258">
        <f>S19*T19</f>
        <v>0</v>
      </c>
    </row>
    <row r="20" spans="1:21" ht="14" x14ac:dyDescent="0.3">
      <c r="A20" s="117"/>
      <c r="B20" s="6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770" t="s">
        <v>525</v>
      </c>
      <c r="J20" s="300" t="s">
        <v>526</v>
      </c>
      <c r="K20" s="300" t="s">
        <v>112</v>
      </c>
      <c r="L20" s="302" t="s">
        <v>770</v>
      </c>
      <c r="M20" s="117"/>
      <c r="N20" s="117"/>
      <c r="O20" s="117"/>
      <c r="P20" s="120"/>
      <c r="Q20" s="120"/>
      <c r="R20" s="120"/>
      <c r="S20" s="121"/>
      <c r="T20" s="116"/>
      <c r="U20" s="116"/>
    </row>
    <row r="21" spans="1:21" ht="14.5" thickBot="1" x14ac:dyDescent="0.35">
      <c r="A21" s="117"/>
      <c r="B21" s="293"/>
      <c r="C21" s="427" t="str">
        <f>"[2]   "&amp;List!$B$75&amp;" 100mm"</f>
        <v>[2]   šířka 100mm</v>
      </c>
      <c r="D21" s="347"/>
      <c r="E21" s="347"/>
      <c r="F21" s="347"/>
      <c r="G21" s="347"/>
      <c r="H21" s="294"/>
      <c r="I21" s="294"/>
      <c r="J21" s="294"/>
      <c r="K21" s="294"/>
      <c r="L21" s="295"/>
      <c r="M21" s="117"/>
      <c r="N21" s="117"/>
      <c r="O21" s="117"/>
      <c r="P21" s="120" t="str">
        <f>Cen!A481</f>
        <v>Zásuvkové rámečky, od 270mm, Orion šedá</v>
      </c>
      <c r="Q21" s="120" t="str">
        <f>Cen!B481</f>
        <v>ZC7S300RSU</v>
      </c>
      <c r="R21" s="120" t="str">
        <f>Cen!C481</f>
        <v>OG-M</v>
      </c>
      <c r="S21" s="121">
        <f>H26</f>
        <v>0</v>
      </c>
      <c r="T21" s="116">
        <f>Cen!F481</f>
        <v>961.73096999999996</v>
      </c>
      <c r="U21" s="116">
        <f>S21*T21</f>
        <v>0</v>
      </c>
    </row>
    <row r="22" spans="1:21" ht="14" x14ac:dyDescent="0.3">
      <c r="A22" s="117"/>
      <c r="B22" s="425"/>
      <c r="C22" s="426" t="str">
        <f>"[3]   "&amp;List!$B$75&amp;" 200mm"</f>
        <v>[3]   šířka 200mm</v>
      </c>
      <c r="D22" s="424"/>
      <c r="E22" s="424"/>
      <c r="F22" s="424"/>
      <c r="G22" s="424"/>
      <c r="H22" s="298"/>
      <c r="I22" s="298"/>
      <c r="J22" s="298"/>
      <c r="K22" s="298"/>
      <c r="L22" s="299"/>
      <c r="M22" s="117"/>
      <c r="N22" s="117"/>
      <c r="O22" s="117"/>
      <c r="P22" s="120" t="str">
        <f>Cen!A484</f>
        <v>Adaptér pro dřevěná záda M, Orion šedá</v>
      </c>
      <c r="Q22" s="120" t="str">
        <f>Cen!B484</f>
        <v>ZC7A0U0M</v>
      </c>
      <c r="R22" s="120" t="str">
        <f>Cen!C484</f>
        <v>OG-M</v>
      </c>
      <c r="S22" s="121">
        <f>H27</f>
        <v>0</v>
      </c>
      <c r="T22" s="116">
        <f>Cen!F484</f>
        <v>123.65338</v>
      </c>
      <c r="U22" s="116">
        <f>S22*T22</f>
        <v>0</v>
      </c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120" t="str">
        <f>Cen!A487</f>
        <v>Adaptér pro dřevěná záda K, Orion šedá</v>
      </c>
      <c r="Q23" s="120" t="str">
        <f>Cen!B487</f>
        <v>ZC7A0U0K</v>
      </c>
      <c r="R23" s="120" t="str">
        <f>Cen!C487</f>
        <v>OG-M</v>
      </c>
      <c r="S23" s="121">
        <f>J27</f>
        <v>0</v>
      </c>
      <c r="T23" s="116">
        <f>Cen!F487</f>
        <v>137.38853</v>
      </c>
      <c r="U23" s="116">
        <f>S23*T23</f>
        <v>0</v>
      </c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124"/>
      <c r="Q24" s="124"/>
      <c r="R24" s="124"/>
      <c r="S24" s="327"/>
      <c r="T24" s="124"/>
      <c r="U24" s="328"/>
    </row>
    <row r="25" spans="1:21" ht="15.5" x14ac:dyDescent="0.25">
      <c r="A25" s="117"/>
      <c r="B25" s="307" t="str">
        <f>"[4]  "&amp;List!$B$211&amp;" 270mm"</f>
        <v>[4]  Zásuvkové rámečky pro jmenovitou délku od  270mm</v>
      </c>
      <c r="C25" s="7"/>
      <c r="D25" s="7"/>
      <c r="E25" s="7"/>
      <c r="F25" s="7"/>
      <c r="G25" s="7"/>
      <c r="H25" s="285"/>
      <c r="I25" s="285"/>
      <c r="J25" s="285"/>
      <c r="K25" s="285"/>
      <c r="L25" s="285"/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.5" thickBot="1" x14ac:dyDescent="0.35">
      <c r="A26" s="117"/>
      <c r="B26" s="293"/>
      <c r="C26" s="427" t="str">
        <f>List!$B$75&amp;": 242mm"</f>
        <v>šířka: 242mm</v>
      </c>
      <c r="D26" s="347"/>
      <c r="E26" s="347"/>
      <c r="F26" s="347"/>
      <c r="G26" s="347"/>
      <c r="H26" s="294"/>
      <c r="I26" s="117"/>
      <c r="J26" s="117"/>
      <c r="K26" s="117"/>
      <c r="L26" s="117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425"/>
      <c r="C27" s="426" t="str">
        <f>"[4a]   "&amp;List!$B$214&amp;" M"</f>
        <v>[4a]   Adaptér pro zadní stěnu M</v>
      </c>
      <c r="D27" s="424"/>
      <c r="E27" s="424"/>
      <c r="F27" s="424"/>
      <c r="G27" s="424"/>
      <c r="H27" s="298"/>
      <c r="I27" s="117"/>
      <c r="J27" s="117"/>
      <c r="K27" s="117"/>
      <c r="L27" s="117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/>
      <c r="Q28" s="205"/>
      <c r="R28" s="205"/>
      <c r="S28" s="255"/>
      <c r="T28" s="256"/>
      <c r="U28" s="256"/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356"/>
      <c r="Q29" s="356"/>
      <c r="R29" s="356"/>
      <c r="S29" s="357"/>
      <c r="T29" s="358"/>
      <c r="U29" s="358"/>
    </row>
    <row r="30" spans="1:21" ht="13" x14ac:dyDescent="0.3">
      <c r="A30" s="117"/>
      <c r="B30" s="437"/>
      <c r="C30" s="282"/>
      <c r="H30" s="284"/>
      <c r="I30" s="284"/>
      <c r="J30" s="284"/>
      <c r="K30" s="284"/>
      <c r="L30" s="284"/>
      <c r="M30" s="117"/>
      <c r="N30" s="117"/>
      <c r="O30" s="117"/>
      <c r="P30" s="356"/>
      <c r="Q30" s="356"/>
      <c r="R30" s="356"/>
      <c r="S30" s="357"/>
      <c r="T30" s="358"/>
      <c r="U30" s="358"/>
    </row>
    <row r="31" spans="1:21" ht="13" x14ac:dyDescent="0.3">
      <c r="A31" s="117"/>
      <c r="B31" s="2" t="str">
        <f>"      "&amp;List!$C$197&amp;"!"</f>
        <v xml:space="preserve">      Adaptér je nutný pro připojení rámečku k dřevěné zadní stěně!</v>
      </c>
      <c r="C31" s="282"/>
      <c r="H31" s="285"/>
      <c r="I31" s="285"/>
      <c r="J31" s="285"/>
      <c r="K31" s="285"/>
      <c r="L31" s="285"/>
      <c r="M31" s="117"/>
      <c r="N31" s="117"/>
      <c r="O31" s="117"/>
      <c r="P31" s="356"/>
      <c r="Q31" s="356"/>
      <c r="R31" s="356"/>
      <c r="S31" s="357"/>
      <c r="T31" s="358"/>
      <c r="U31" s="358"/>
    </row>
    <row r="32" spans="1:21" ht="13" x14ac:dyDescent="0.3">
      <c r="A32" s="117"/>
      <c r="B32" s="2" t="str">
        <f>"      "&amp;List!$C$198&amp;" [4]"</f>
        <v xml:space="preserve">      Jen pro rámeček [4]</v>
      </c>
      <c r="C32" s="282"/>
      <c r="H32" s="283"/>
      <c r="I32" s="283"/>
      <c r="J32" s="283"/>
      <c r="K32" s="283"/>
      <c r="L32" s="283"/>
      <c r="M32" s="117"/>
      <c r="N32" s="117"/>
      <c r="O32" s="117"/>
      <c r="P32" s="356"/>
      <c r="Q32" s="356"/>
      <c r="R32" s="356"/>
      <c r="S32" s="357"/>
      <c r="T32" s="358"/>
      <c r="U32" s="358"/>
    </row>
    <row r="33" spans="1:21" ht="15.5" x14ac:dyDescent="0.3">
      <c r="A33" s="117"/>
      <c r="B33" s="339"/>
      <c r="C33" s="286"/>
      <c r="D33" s="340"/>
      <c r="E33" s="341"/>
      <c r="F33" s="342"/>
      <c r="G33" s="341"/>
      <c r="H33" s="341"/>
      <c r="I33" s="286"/>
      <c r="J33" s="286"/>
      <c r="K33" s="286"/>
      <c r="L33" s="286"/>
      <c r="M33" s="117"/>
      <c r="P33" s="356"/>
      <c r="Q33" s="356"/>
      <c r="R33" s="356"/>
      <c r="S33" s="357"/>
      <c r="T33" s="358"/>
      <c r="U33" s="358"/>
    </row>
    <row r="34" spans="1:21" ht="14" x14ac:dyDescent="0.3">
      <c r="B34" s="343"/>
      <c r="C34" s="286"/>
      <c r="D34" s="344"/>
      <c r="E34" s="290"/>
      <c r="F34" s="290"/>
      <c r="G34" s="290"/>
      <c r="H34" s="290"/>
      <c r="I34" s="284"/>
      <c r="J34" s="284"/>
      <c r="K34" s="284"/>
      <c r="L34" s="284"/>
      <c r="P34" s="356"/>
      <c r="Q34" s="356"/>
      <c r="R34" s="356"/>
      <c r="S34" s="357"/>
      <c r="T34" s="358"/>
      <c r="U34" s="358"/>
    </row>
    <row r="35" spans="1:21" ht="14" x14ac:dyDescent="0.3">
      <c r="B35" s="343"/>
      <c r="C35" s="286"/>
      <c r="D35" s="344"/>
      <c r="E35" s="290"/>
      <c r="F35" s="290"/>
      <c r="G35" s="290"/>
      <c r="H35" s="290"/>
      <c r="I35" s="284"/>
      <c r="J35" s="284"/>
      <c r="K35" s="284"/>
      <c r="L35" s="284"/>
      <c r="P35" s="356"/>
      <c r="Q35" s="356"/>
      <c r="R35" s="356"/>
      <c r="S35" s="357"/>
      <c r="T35" s="358"/>
      <c r="U35" s="358"/>
    </row>
    <row r="36" spans="1:21" ht="14" x14ac:dyDescent="0.3">
      <c r="B36" s="310"/>
      <c r="C36" s="311"/>
      <c r="D36" s="290"/>
      <c r="E36" s="290"/>
      <c r="F36" s="290"/>
      <c r="G36" s="290"/>
      <c r="I36" s="285"/>
      <c r="J36" s="285"/>
      <c r="K36" s="285"/>
      <c r="L36" s="285"/>
      <c r="P36" s="356"/>
      <c r="Q36" s="356"/>
      <c r="R36" s="356"/>
      <c r="S36" s="357"/>
      <c r="T36" s="358"/>
      <c r="U36" s="358"/>
    </row>
    <row r="37" spans="1:21" ht="13" x14ac:dyDescent="0.3">
      <c r="B37" s="282"/>
      <c r="C37" s="282"/>
      <c r="H37" s="283"/>
      <c r="I37" s="283"/>
      <c r="J37" s="283"/>
      <c r="K37" s="283"/>
      <c r="L37" s="283"/>
      <c r="P37" s="356"/>
      <c r="Q37" s="356"/>
      <c r="R37" s="356"/>
      <c r="S37" s="357"/>
      <c r="T37" s="358"/>
      <c r="U37" s="358"/>
    </row>
    <row r="38" spans="1:21" ht="13" x14ac:dyDescent="0.3">
      <c r="B38" s="282"/>
      <c r="C38" s="282"/>
      <c r="H38" s="286"/>
      <c r="I38" s="286"/>
      <c r="J38" s="286"/>
      <c r="K38" s="286"/>
      <c r="L38" s="286"/>
      <c r="P38" s="356"/>
      <c r="Q38" s="356"/>
      <c r="R38" s="356"/>
      <c r="S38" s="357"/>
      <c r="T38" s="358"/>
      <c r="U38" s="358"/>
    </row>
    <row r="39" spans="1:21" x14ac:dyDescent="0.25">
      <c r="P39" s="359"/>
      <c r="Q39" s="359"/>
      <c r="R39" s="359"/>
      <c r="S39" s="360"/>
      <c r="T39" s="361"/>
      <c r="U39" s="358"/>
    </row>
    <row r="40" spans="1:21" x14ac:dyDescent="0.25">
      <c r="P40" s="359"/>
      <c r="Q40" s="359"/>
      <c r="R40" s="359"/>
      <c r="S40" s="360"/>
      <c r="T40" s="361"/>
      <c r="U40" s="361"/>
    </row>
    <row r="41" spans="1:21" x14ac:dyDescent="0.25">
      <c r="P41" s="142"/>
      <c r="Q41" s="142"/>
      <c r="R41" s="142"/>
      <c r="S41" s="148"/>
      <c r="T41" s="152"/>
      <c r="U41" s="152"/>
    </row>
    <row r="42" spans="1:21" x14ac:dyDescent="0.25">
      <c r="P42" s="120"/>
      <c r="Q42" s="120"/>
      <c r="R42" s="120"/>
      <c r="S42" s="121"/>
      <c r="T42" s="116"/>
      <c r="U42" s="116"/>
    </row>
    <row r="43" spans="1:21" x14ac:dyDescent="0.25">
      <c r="P43" s="120"/>
      <c r="Q43" s="120"/>
      <c r="R43" s="120"/>
      <c r="S43" s="121"/>
      <c r="T43" s="116"/>
      <c r="U43" s="116"/>
    </row>
    <row r="44" spans="1:21" x14ac:dyDescent="0.25">
      <c r="P44" s="117"/>
      <c r="Q44" s="117"/>
    </row>
    <row r="45" spans="1:21" x14ac:dyDescent="0.25">
      <c r="P45" s="117"/>
      <c r="Q45" s="117"/>
      <c r="S45" s="74" t="str">
        <f>List!$B$97</f>
        <v>cena kování</v>
      </c>
      <c r="U45" s="346">
        <f>SUM(U3:U44)</f>
        <v>0</v>
      </c>
    </row>
    <row r="46" spans="1:21" x14ac:dyDescent="0.25">
      <c r="P46" s="117"/>
      <c r="Q46" s="117"/>
    </row>
    <row r="47" spans="1:21" x14ac:dyDescent="0.25">
      <c r="P47" s="117"/>
      <c r="Q47" s="117"/>
    </row>
    <row r="48" spans="1:21" x14ac:dyDescent="0.25">
      <c r="P48" s="117"/>
      <c r="Q48" s="117"/>
    </row>
    <row r="49" spans="16:17" x14ac:dyDescent="0.25">
      <c r="P49" s="117"/>
      <c r="Q49" s="117"/>
    </row>
    <row r="50" spans="16:17" x14ac:dyDescent="0.25">
      <c r="P50" s="117"/>
      <c r="Q50" s="117"/>
    </row>
    <row r="51" spans="16:17" x14ac:dyDescent="0.25">
      <c r="P51" s="117"/>
      <c r="Q51" s="117"/>
    </row>
    <row r="52" spans="16:17" x14ac:dyDescent="0.25">
      <c r="P52" s="117"/>
      <c r="Q52" s="117"/>
    </row>
    <row r="53" spans="16:17" x14ac:dyDescent="0.25">
      <c r="P53" s="117"/>
      <c r="Q53" s="117"/>
    </row>
  </sheetData>
  <sheetProtection algorithmName="SHA-512" hashValue="IipZMHUfcqEj7MvtK7IuQ5hnE4XcTsIKWGQMSciu55vmrw185Mk3VRSax9oSBiN6LpEUEY/sXQie145Kb9ajrQ==" saltValue="pcv8BcpBDNjKW2eYt2Dyrw==" spinCount="100000" sheet="1" objects="1" scenarios="1"/>
  <phoneticPr fontId="52" type="noConversion"/>
  <hyperlinks>
    <hyperlink ref="N3" location="Form!A1" tooltip=" " display="Form!A1" xr:uid="{00000000-0004-0000-2100-000000000000}"/>
    <hyperlink ref="N4" location="Menu!A1" tooltip=" " display="Menu!A1" xr:uid="{00000000-0004-0000-2100-000001000000}"/>
    <hyperlink ref="N5" location="Acs!A1" tooltip=" " display="Acs!A1" xr:uid="{00000000-0004-0000-2100-000002000000}"/>
    <hyperlink ref="N6" location="SD!A1" tooltip=" " display="SD!A1" xr:uid="{00000000-0004-0000-2100-000003000000}"/>
    <hyperlink ref="N10" location="Sum!A1" tooltip=" " display="Sum!A1" xr:uid="{00000000-0004-0000-2100-000004000000}"/>
    <hyperlink ref="N11" location="Ord!A1" tooltip=" " display="Ord!A1" xr:uid="{00000000-0004-0000-2100-000005000000}"/>
    <hyperlink ref="N7" location="AL!A1" tooltip=" " display="AL!A1" xr:uid="{00000000-0004-0000-21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85">
    <tabColor indexed="53"/>
  </sheetPr>
  <dimension ref="A1:T50"/>
  <sheetViews>
    <sheetView showGridLines="0" showRowColHeaders="0" workbookViewId="0">
      <selection activeCell="M40" sqref="M40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0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"&amp;List!$B$119</f>
        <v>AMBIA-LINE - Design ocel</v>
      </c>
      <c r="L2" s="117"/>
      <c r="M2" s="2" t="str">
        <f>List!$B$11&amp;":"</f>
        <v>Zpět na:</v>
      </c>
      <c r="N2" s="117"/>
      <c r="O2" s="184" t="str">
        <f>List!$B$22&amp;":"</f>
        <v>Soupis kování:</v>
      </c>
      <c r="P2" s="119"/>
      <c r="Q2" s="119"/>
      <c r="R2" s="119"/>
      <c r="S2" s="119"/>
      <c r="T2" s="119"/>
    </row>
    <row r="3" spans="1:20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List!$B$52&amp;" C, F"</f>
        <v>Čelní výsuv C, F</v>
      </c>
      <c r="L3" s="117"/>
      <c r="M3" s="149" t="str">
        <f>" "&amp;List!$B$13</f>
        <v xml:space="preserve"> Úvod</v>
      </c>
      <c r="N3" s="117"/>
      <c r="O3" s="428" t="str">
        <f>Cen!A496</f>
        <v>Rámečky pro čel. výsuvy, od 270mm, Orion šedá</v>
      </c>
      <c r="P3" s="428" t="str">
        <f>Cen!B496</f>
        <v>ZC7F300RSU</v>
      </c>
      <c r="Q3" s="428" t="str">
        <f>Cen!C496</f>
        <v>OG-M</v>
      </c>
      <c r="R3" s="429">
        <f>H15</f>
        <v>0</v>
      </c>
      <c r="S3" s="430">
        <f>Cen!F496</f>
        <v>1236.50802</v>
      </c>
      <c r="T3" s="430">
        <f>R3*S3</f>
        <v>0</v>
      </c>
    </row>
    <row r="4" spans="1:20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List!$B$53&amp;" C"</f>
        <v>Vnitřní výsuv C</v>
      </c>
      <c r="L4" s="117"/>
      <c r="M4" s="150" t="str">
        <f>" "&amp;List!$B$4</f>
        <v xml:space="preserve"> Výběr zásuvek a výsuvů</v>
      </c>
      <c r="N4" s="117"/>
      <c r="O4" s="431" t="str">
        <f>Cen!A499</f>
        <v>Adaptér pro dřevěná záda, š.242mm, Orion šedá</v>
      </c>
      <c r="P4" s="431" t="str">
        <f>Cen!B499</f>
        <v>ZC7A0U0C</v>
      </c>
      <c r="Q4" s="431" t="str">
        <f>Cen!C499</f>
        <v>OG-M</v>
      </c>
      <c r="R4" s="432">
        <f>H16</f>
        <v>0</v>
      </c>
      <c r="S4" s="433">
        <f>Cen!F499</f>
        <v>147.69466</v>
      </c>
      <c r="T4" s="433">
        <f>R4*S4</f>
        <v>0</v>
      </c>
    </row>
    <row r="5" spans="1:20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117"/>
      <c r="M5" s="150" t="str">
        <f>" "&amp;List!$B$5</f>
        <v xml:space="preserve"> Výběr doplňků</v>
      </c>
      <c r="N5" s="117"/>
      <c r="O5" s="446"/>
      <c r="P5" s="446"/>
      <c r="Q5" s="446"/>
      <c r="R5" s="447"/>
      <c r="S5" s="448"/>
      <c r="T5" s="448"/>
    </row>
    <row r="6" spans="1:20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List!$B$27&amp;":"</f>
        <v>barva:</v>
      </c>
      <c r="I6" s="119"/>
      <c r="J6" s="6"/>
      <c r="K6" s="243" t="str">
        <f>Form!$U$2</f>
        <v>Orion šedá (OG-M)</v>
      </c>
      <c r="L6" s="117"/>
      <c r="M6" s="150" t="str">
        <f>" "&amp;List!$B$6</f>
        <v xml:space="preserve"> Výběr SERVO-DRIVE</v>
      </c>
      <c r="N6" s="117"/>
      <c r="O6" s="431"/>
      <c r="P6" s="431"/>
      <c r="Q6" s="431"/>
      <c r="R6" s="432"/>
      <c r="S6" s="433"/>
      <c r="T6" s="433"/>
    </row>
    <row r="7" spans="1:20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17"/>
      <c r="M7" s="242" t="str">
        <f>" "&amp;List!$B$7</f>
        <v xml:space="preserve"> Výběr AMBIA-LINE</v>
      </c>
      <c r="N7" s="117"/>
      <c r="O7" s="434"/>
      <c r="P7" s="434"/>
      <c r="Q7" s="434"/>
      <c r="R7" s="435"/>
      <c r="S7" s="436"/>
      <c r="T7" s="436"/>
    </row>
    <row r="8" spans="1:20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T42</f>
        <v>0</v>
      </c>
      <c r="L8" s="117"/>
      <c r="N8" s="117"/>
      <c r="O8" s="124" t="str">
        <f>Cen!A506</f>
        <v>Rámečky pro čel. výsuvy, od 400mm, Orion šedá</v>
      </c>
      <c r="P8" s="124" t="str">
        <f>Cen!B506</f>
        <v>ZC7F400RSP</v>
      </c>
      <c r="Q8" s="124" t="str">
        <f>Cen!C506</f>
        <v>OG-M</v>
      </c>
      <c r="R8" s="327">
        <f>H20</f>
        <v>0</v>
      </c>
      <c r="S8" s="328">
        <f>Cen!F506</f>
        <v>1305.20226</v>
      </c>
      <c r="T8" s="328">
        <f>R8*S8</f>
        <v>0</v>
      </c>
    </row>
    <row r="9" spans="1:20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" t="str">
        <f>List!$B$12&amp;":"</f>
        <v>Pokračovat na:</v>
      </c>
      <c r="N9" s="117"/>
      <c r="O9" s="125" t="str">
        <f>Cen!A509</f>
        <v>Adaptér pro dřevěná záda C, Orion šedá</v>
      </c>
      <c r="P9" s="125" t="str">
        <f>Cen!B509</f>
        <v>ZC7A0P0C</v>
      </c>
      <c r="Q9" s="125" t="str">
        <f>Cen!C509</f>
        <v>OG-M</v>
      </c>
      <c r="R9" s="257">
        <f>H21</f>
        <v>0</v>
      </c>
      <c r="S9" s="258">
        <f>Cen!F509</f>
        <v>147.69466</v>
      </c>
      <c r="T9" s="258">
        <f>R9*S9</f>
        <v>0</v>
      </c>
    </row>
    <row r="10" spans="1:20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202" t="str">
        <f>Cen!A512</f>
        <v>Adaptér pro dřevěná záda F, Orion šedá</v>
      </c>
      <c r="P10" s="202" t="str">
        <f>Cen!B512</f>
        <v>ZC7A0P0F</v>
      </c>
      <c r="Q10" s="202" t="str">
        <f>Cen!C512</f>
        <v>OG-M</v>
      </c>
      <c r="R10" s="259">
        <f>H22</f>
        <v>0</v>
      </c>
      <c r="S10" s="260">
        <f>Cen!F512</f>
        <v>164.87076999999999</v>
      </c>
      <c r="T10" s="260">
        <f>R10*S10</f>
        <v>0</v>
      </c>
    </row>
    <row r="11" spans="1:20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24"/>
      <c r="P11" s="124"/>
      <c r="Q11" s="124"/>
      <c r="R11" s="327"/>
      <c r="S11" s="328"/>
      <c r="T11" s="328"/>
    </row>
    <row r="12" spans="1:20" ht="15.5" x14ac:dyDescent="0.25">
      <c r="A12" s="117"/>
      <c r="B12" s="117"/>
      <c r="C12" s="117"/>
      <c r="D12" s="117"/>
      <c r="E12" s="117"/>
      <c r="F12" s="117"/>
      <c r="G12" s="467" t="str">
        <f>IF(AND(SUM(R3:R10)&gt;0,Form!$O$2=3),List!$B$191&amp;"!"," ")</f>
        <v xml:space="preserve"> </v>
      </c>
      <c r="H12" s="117"/>
      <c r="I12" s="286"/>
      <c r="J12" s="286"/>
      <c r="K12" s="286"/>
      <c r="L12" s="117"/>
      <c r="M12" s="117"/>
      <c r="N12" s="117"/>
      <c r="O12" s="120"/>
      <c r="P12" s="120"/>
      <c r="Q12" s="120"/>
      <c r="R12" s="121"/>
      <c r="S12" s="116"/>
      <c r="T12" s="116"/>
    </row>
    <row r="13" spans="1:20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24"/>
      <c r="P13" s="124"/>
      <c r="Q13" s="124"/>
      <c r="R13" s="327"/>
      <c r="S13" s="328"/>
      <c r="T13" s="328"/>
    </row>
    <row r="14" spans="1:20" ht="15.5" x14ac:dyDescent="0.25">
      <c r="A14" s="117"/>
      <c r="B14" s="307" t="str">
        <f>"[1]   "&amp;List!$B$213&amp;" 27mm"</f>
        <v>[1]   Rámečky pro čelní výsuv pro jmenovitu délku od 27mm</v>
      </c>
      <c r="C14" s="7"/>
      <c r="D14" s="7"/>
      <c r="E14" s="7"/>
      <c r="F14" s="7"/>
      <c r="G14" s="7"/>
      <c r="H14" s="285"/>
      <c r="I14" s="285"/>
      <c r="J14" s="285"/>
      <c r="K14" s="285"/>
      <c r="L14" s="117"/>
      <c r="M14" s="117"/>
      <c r="N14" s="117"/>
      <c r="O14" s="125"/>
      <c r="P14" s="125"/>
      <c r="Q14" s="125"/>
      <c r="R14" s="257"/>
      <c r="S14" s="258"/>
      <c r="T14" s="258"/>
    </row>
    <row r="15" spans="1:20" ht="14.5" thickBot="1" x14ac:dyDescent="0.35">
      <c r="A15" s="117"/>
      <c r="B15" s="293"/>
      <c r="C15" s="427" t="str">
        <f>List!$B$75&amp;": 242mm"</f>
        <v>šířka: 242mm</v>
      </c>
      <c r="D15" s="347"/>
      <c r="E15" s="347"/>
      <c r="F15" s="347"/>
      <c r="G15" s="347"/>
      <c r="H15" s="450"/>
      <c r="I15" s="117"/>
      <c r="J15" s="117"/>
      <c r="K15" s="117"/>
      <c r="L15" s="117"/>
      <c r="M15" s="117"/>
      <c r="N15" s="117"/>
      <c r="O15" s="125"/>
      <c r="P15" s="125"/>
      <c r="Q15" s="125"/>
      <c r="R15" s="257"/>
      <c r="S15" s="258"/>
      <c r="T15" s="258"/>
    </row>
    <row r="16" spans="1:20" ht="14" x14ac:dyDescent="0.3">
      <c r="A16" s="117"/>
      <c r="B16" s="425"/>
      <c r="C16" s="426" t="str">
        <f>"[1a]   "&amp;List!$B$214&amp;" C"</f>
        <v>[1a]   Adaptér pro zadní stěnu C</v>
      </c>
      <c r="D16" s="424"/>
      <c r="E16" s="424"/>
      <c r="F16" s="424"/>
      <c r="G16" s="424"/>
      <c r="H16" s="477"/>
      <c r="I16" s="117"/>
      <c r="J16" s="117"/>
      <c r="K16" s="117"/>
      <c r="L16" s="117"/>
      <c r="M16" s="117"/>
      <c r="N16" s="117"/>
      <c r="O16" s="125"/>
      <c r="P16" s="125"/>
      <c r="Q16" s="125"/>
      <c r="R16" s="257"/>
      <c r="S16" s="258"/>
      <c r="T16" s="258"/>
    </row>
    <row r="17" spans="1:20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117"/>
      <c r="M17" s="117"/>
      <c r="N17" s="117"/>
      <c r="O17" s="120"/>
      <c r="P17" s="120"/>
      <c r="Q17" s="120"/>
      <c r="R17" s="121"/>
      <c r="S17" s="116"/>
      <c r="T17" s="116"/>
    </row>
    <row r="18" spans="1:20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117"/>
      <c r="M18" s="117"/>
      <c r="N18" s="117"/>
      <c r="O18" s="120"/>
      <c r="P18" s="120"/>
      <c r="Q18" s="120"/>
      <c r="R18" s="121"/>
      <c r="S18" s="116"/>
      <c r="T18" s="116"/>
    </row>
    <row r="19" spans="1:20" ht="15.5" x14ac:dyDescent="0.25">
      <c r="A19" s="117"/>
      <c r="B19" s="307" t="str">
        <f>"[2]   "&amp;List!$B$213&amp;" 400mm"</f>
        <v>[2]   Rámečky pro čelní výsuv pro jmenovitu délku od 400mm</v>
      </c>
      <c r="C19" s="7"/>
      <c r="D19" s="7"/>
      <c r="E19" s="7"/>
      <c r="F19" s="7"/>
      <c r="G19" s="7"/>
      <c r="H19" s="285"/>
      <c r="I19" s="285"/>
      <c r="J19" s="285"/>
      <c r="K19" s="285"/>
      <c r="L19" s="117"/>
      <c r="M19" s="117"/>
      <c r="N19" s="117"/>
      <c r="O19" s="120"/>
      <c r="P19" s="120"/>
      <c r="Q19" s="120"/>
      <c r="R19" s="121"/>
      <c r="S19" s="116"/>
      <c r="T19" s="116"/>
    </row>
    <row r="20" spans="1:20" ht="14.5" thickBot="1" x14ac:dyDescent="0.35">
      <c r="A20" s="117"/>
      <c r="B20" s="366"/>
      <c r="C20" s="444" t="str">
        <f>List!$B$75&amp;": 218mm"</f>
        <v>šířka: 218mm</v>
      </c>
      <c r="D20" s="445"/>
      <c r="E20" s="445"/>
      <c r="F20" s="445"/>
      <c r="G20" s="445"/>
      <c r="H20" s="450"/>
      <c r="I20" s="117"/>
      <c r="J20" s="117"/>
      <c r="K20" s="117"/>
      <c r="L20" s="117"/>
      <c r="M20" s="117"/>
      <c r="N20" s="117"/>
      <c r="O20" s="120"/>
      <c r="P20" s="120"/>
      <c r="Q20" s="120"/>
      <c r="R20" s="121"/>
      <c r="S20" s="116"/>
      <c r="T20" s="116"/>
    </row>
    <row r="21" spans="1:20" ht="14.5" thickBot="1" x14ac:dyDescent="0.35">
      <c r="A21" s="117"/>
      <c r="B21" s="441"/>
      <c r="C21" s="442" t="str">
        <f>"[2a]   "&amp;List!$B$214&amp;" C"</f>
        <v>[2a]   Adaptér pro zadní stěnu C</v>
      </c>
      <c r="D21" s="443"/>
      <c r="E21" s="443"/>
      <c r="F21" s="443"/>
      <c r="G21" s="443"/>
      <c r="H21" s="477"/>
      <c r="I21" s="117"/>
      <c r="J21" s="117"/>
      <c r="K21" s="117"/>
      <c r="L21" s="117"/>
      <c r="M21" s="117"/>
      <c r="N21" s="117"/>
      <c r="O21" s="124"/>
      <c r="P21" s="124"/>
      <c r="Q21" s="124"/>
      <c r="R21" s="327"/>
      <c r="S21" s="124"/>
      <c r="T21" s="328"/>
    </row>
    <row r="22" spans="1:20" ht="14" x14ac:dyDescent="0.3">
      <c r="A22" s="117"/>
      <c r="B22" s="425"/>
      <c r="C22" s="426" t="str">
        <f>"[2b]   "&amp;List!$B$214&amp;" F"</f>
        <v>[2b]   Adaptér pro zadní stěnu F</v>
      </c>
      <c r="D22" s="424"/>
      <c r="E22" s="424"/>
      <c r="F22" s="424"/>
      <c r="G22" s="424"/>
      <c r="H22" s="477"/>
      <c r="I22" s="283"/>
      <c r="J22" s="283"/>
      <c r="K22" s="283"/>
      <c r="L22" s="117"/>
      <c r="M22" s="117"/>
      <c r="N22" s="117"/>
      <c r="O22" s="205"/>
      <c r="P22" s="205"/>
      <c r="Q22" s="205"/>
      <c r="R22" s="255"/>
      <c r="S22" s="256"/>
      <c r="T22" s="256"/>
    </row>
    <row r="23" spans="1:20" ht="13" x14ac:dyDescent="0.3">
      <c r="A23" s="117"/>
      <c r="B23" s="282"/>
      <c r="C23" s="282"/>
      <c r="D23" s="117"/>
      <c r="E23" s="117"/>
      <c r="F23" s="117"/>
      <c r="G23" s="117"/>
      <c r="H23" s="142"/>
      <c r="I23" s="142"/>
      <c r="J23" s="117"/>
      <c r="K23" s="117"/>
      <c r="L23" s="117"/>
      <c r="M23" s="117"/>
      <c r="N23" s="117"/>
      <c r="O23" s="205"/>
      <c r="P23" s="205"/>
      <c r="Q23" s="205"/>
      <c r="R23" s="255"/>
      <c r="S23" s="256"/>
      <c r="T23" s="256"/>
    </row>
    <row r="24" spans="1:20" ht="13" x14ac:dyDescent="0.3">
      <c r="A24" s="117"/>
      <c r="B24" s="437"/>
      <c r="C24" s="282"/>
      <c r="H24" s="284"/>
      <c r="I24" s="284"/>
      <c r="J24" s="284"/>
      <c r="K24" s="284"/>
      <c r="L24" s="117"/>
      <c r="M24" s="117"/>
      <c r="N24" s="117"/>
      <c r="O24" s="205"/>
      <c r="P24" s="205"/>
      <c r="Q24" s="205"/>
      <c r="R24" s="255"/>
      <c r="S24" s="256"/>
      <c r="T24" s="256"/>
    </row>
    <row r="25" spans="1:20" ht="13" x14ac:dyDescent="0.3">
      <c r="A25" s="117"/>
      <c r="B25" s="282"/>
      <c r="C25" s="282"/>
      <c r="H25" s="285"/>
      <c r="I25" s="285"/>
      <c r="J25" s="285"/>
      <c r="K25" s="285"/>
      <c r="L25" s="117"/>
      <c r="M25" s="117"/>
      <c r="N25" s="117"/>
      <c r="O25" s="205"/>
      <c r="P25" s="205"/>
      <c r="Q25" s="205"/>
      <c r="R25" s="255"/>
      <c r="S25" s="256"/>
      <c r="T25" s="256"/>
    </row>
    <row r="26" spans="1:20" ht="13" x14ac:dyDescent="0.3">
      <c r="A26" s="117"/>
      <c r="B26" s="478"/>
      <c r="C26" s="282"/>
      <c r="H26" s="283"/>
      <c r="I26" s="283"/>
      <c r="J26" s="283"/>
      <c r="K26" s="283"/>
      <c r="L26" s="117"/>
      <c r="M26" s="117"/>
      <c r="N26" s="117"/>
      <c r="O26" s="356"/>
      <c r="P26" s="356"/>
      <c r="Q26" s="356"/>
      <c r="R26" s="357"/>
      <c r="S26" s="358"/>
      <c r="T26" s="358"/>
    </row>
    <row r="27" spans="1:20" ht="14" x14ac:dyDescent="0.3">
      <c r="A27" s="117"/>
      <c r="B27" s="2" t="str">
        <f>"      "&amp;List!$C$197&amp;"!"</f>
        <v xml:space="preserve">      Adaptér je nutný pro připojení rámečku k dřevěné zadní stěně!</v>
      </c>
      <c r="C27" s="286"/>
      <c r="D27" s="340"/>
      <c r="E27" s="341"/>
      <c r="F27" s="342"/>
      <c r="G27" s="341"/>
      <c r="H27" s="341"/>
      <c r="I27" s="286"/>
      <c r="J27" s="286"/>
      <c r="K27" s="286"/>
      <c r="L27" s="117"/>
      <c r="M27" s="117"/>
      <c r="N27" s="117"/>
      <c r="O27" s="356"/>
      <c r="P27" s="356"/>
      <c r="Q27" s="356"/>
      <c r="R27" s="357"/>
      <c r="S27" s="358"/>
      <c r="T27" s="358"/>
    </row>
    <row r="28" spans="1:20" ht="14" x14ac:dyDescent="0.3">
      <c r="A28" s="117"/>
      <c r="B28" s="343"/>
      <c r="C28" s="286"/>
      <c r="D28" s="344"/>
      <c r="E28" s="290"/>
      <c r="F28" s="290"/>
      <c r="G28" s="290"/>
      <c r="H28" s="290"/>
      <c r="I28" s="284"/>
      <c r="J28" s="284"/>
      <c r="K28" s="284"/>
      <c r="L28" s="117"/>
      <c r="M28" s="117"/>
      <c r="N28" s="117"/>
      <c r="O28" s="356"/>
      <c r="P28" s="356"/>
      <c r="Q28" s="356"/>
      <c r="R28" s="357"/>
      <c r="S28" s="358"/>
      <c r="T28" s="358"/>
    </row>
    <row r="29" spans="1:20" ht="14" x14ac:dyDescent="0.3">
      <c r="A29" s="117"/>
      <c r="B29" s="343"/>
      <c r="C29" s="286"/>
      <c r="D29" s="344"/>
      <c r="E29" s="290"/>
      <c r="F29" s="290"/>
      <c r="G29" s="290"/>
      <c r="H29" s="290"/>
      <c r="I29" s="284"/>
      <c r="J29" s="284"/>
      <c r="K29" s="284"/>
      <c r="L29" s="117"/>
      <c r="M29" s="117"/>
      <c r="N29" s="117"/>
      <c r="O29" s="356"/>
      <c r="P29" s="356"/>
      <c r="Q29" s="356"/>
      <c r="R29" s="357"/>
      <c r="S29" s="358"/>
      <c r="T29" s="358"/>
    </row>
    <row r="30" spans="1:20" ht="14" x14ac:dyDescent="0.3">
      <c r="A30" s="117"/>
      <c r="B30" s="310"/>
      <c r="C30" s="311"/>
      <c r="D30" s="290"/>
      <c r="E30" s="290"/>
      <c r="F30" s="290"/>
      <c r="G30" s="290"/>
      <c r="I30" s="285"/>
      <c r="J30" s="285"/>
      <c r="K30" s="285"/>
      <c r="L30" s="117"/>
      <c r="M30" s="117"/>
      <c r="N30" s="117"/>
      <c r="O30" s="356"/>
      <c r="P30" s="356"/>
      <c r="Q30" s="356"/>
      <c r="R30" s="357"/>
      <c r="S30" s="358"/>
      <c r="T30" s="358"/>
    </row>
    <row r="31" spans="1:20" ht="13" x14ac:dyDescent="0.3">
      <c r="A31" s="117"/>
      <c r="B31" s="282"/>
      <c r="C31" s="282"/>
      <c r="H31" s="283"/>
      <c r="I31" s="283"/>
      <c r="J31" s="283"/>
      <c r="K31" s="283"/>
      <c r="L31" s="117"/>
      <c r="M31" s="117"/>
      <c r="N31" s="117"/>
      <c r="O31" s="356"/>
      <c r="P31" s="356"/>
      <c r="Q31" s="356"/>
      <c r="R31" s="357"/>
      <c r="S31" s="358"/>
      <c r="T31" s="358"/>
    </row>
    <row r="32" spans="1:20" ht="13" x14ac:dyDescent="0.3">
      <c r="A32" s="117"/>
      <c r="B32" s="282"/>
      <c r="C32" s="282"/>
      <c r="H32" s="286"/>
      <c r="I32" s="286"/>
      <c r="J32" s="286"/>
      <c r="K32" s="286"/>
      <c r="L32" s="117"/>
      <c r="M32" s="117"/>
      <c r="N32" s="117"/>
      <c r="O32" s="356"/>
      <c r="P32" s="356"/>
      <c r="Q32" s="356"/>
      <c r="R32" s="357"/>
      <c r="S32" s="358"/>
      <c r="T32" s="358"/>
    </row>
    <row r="33" spans="1:20" x14ac:dyDescent="0.25">
      <c r="A33" s="117"/>
      <c r="L33" s="117"/>
      <c r="O33" s="356"/>
      <c r="P33" s="356"/>
      <c r="Q33" s="356"/>
      <c r="R33" s="357"/>
      <c r="S33" s="358"/>
      <c r="T33" s="358"/>
    </row>
    <row r="34" spans="1:20" x14ac:dyDescent="0.25">
      <c r="O34" s="356"/>
      <c r="P34" s="356"/>
      <c r="Q34" s="356"/>
      <c r="R34" s="357"/>
      <c r="S34" s="358"/>
      <c r="T34" s="358"/>
    </row>
    <row r="35" spans="1:20" x14ac:dyDescent="0.25">
      <c r="O35" s="356"/>
      <c r="P35" s="356"/>
      <c r="Q35" s="356"/>
      <c r="R35" s="357"/>
      <c r="S35" s="358"/>
      <c r="T35" s="358"/>
    </row>
    <row r="36" spans="1:20" x14ac:dyDescent="0.25">
      <c r="O36" s="359"/>
      <c r="P36" s="359"/>
      <c r="Q36" s="359"/>
      <c r="R36" s="360"/>
      <c r="S36" s="361"/>
      <c r="T36" s="358"/>
    </row>
    <row r="37" spans="1:20" x14ac:dyDescent="0.25">
      <c r="O37" s="359"/>
      <c r="P37" s="359"/>
      <c r="Q37" s="359"/>
      <c r="R37" s="360"/>
      <c r="S37" s="361"/>
      <c r="T37" s="361"/>
    </row>
    <row r="38" spans="1:20" x14ac:dyDescent="0.25">
      <c r="O38" s="142"/>
      <c r="P38" s="142"/>
      <c r="Q38" s="142"/>
      <c r="R38" s="148"/>
      <c r="S38" s="152"/>
      <c r="T38" s="152"/>
    </row>
    <row r="39" spans="1:20" x14ac:dyDescent="0.25">
      <c r="O39" s="120"/>
      <c r="P39" s="120"/>
      <c r="Q39" s="120"/>
      <c r="R39" s="121"/>
      <c r="S39" s="116"/>
      <c r="T39" s="116"/>
    </row>
    <row r="40" spans="1:20" x14ac:dyDescent="0.25">
      <c r="O40" s="120"/>
      <c r="P40" s="120"/>
      <c r="Q40" s="120"/>
      <c r="R40" s="121"/>
      <c r="S40" s="116"/>
      <c r="T40" s="116"/>
    </row>
    <row r="41" spans="1:20" x14ac:dyDescent="0.25">
      <c r="O41" s="117"/>
      <c r="P41" s="117"/>
    </row>
    <row r="42" spans="1:20" x14ac:dyDescent="0.25">
      <c r="O42" s="117"/>
      <c r="P42" s="117"/>
      <c r="R42" s="74" t="str">
        <f>List!$B$97</f>
        <v>cena kování</v>
      </c>
      <c r="T42" s="346">
        <f>SUM(T3:T41)</f>
        <v>0</v>
      </c>
    </row>
    <row r="43" spans="1:20" x14ac:dyDescent="0.25">
      <c r="O43" s="117"/>
      <c r="P43" s="117"/>
    </row>
    <row r="44" spans="1:20" x14ac:dyDescent="0.25">
      <c r="O44" s="117"/>
      <c r="P44" s="117"/>
    </row>
    <row r="45" spans="1:20" x14ac:dyDescent="0.25">
      <c r="O45" s="117"/>
      <c r="P45" s="117"/>
    </row>
    <row r="46" spans="1:20" x14ac:dyDescent="0.25">
      <c r="O46" s="117"/>
      <c r="P46" s="117"/>
    </row>
    <row r="47" spans="1:20" x14ac:dyDescent="0.25">
      <c r="O47" s="117"/>
      <c r="P47" s="117"/>
    </row>
    <row r="48" spans="1:20" x14ac:dyDescent="0.25">
      <c r="O48" s="117"/>
      <c r="P48" s="117"/>
    </row>
    <row r="49" spans="15:16" x14ac:dyDescent="0.25">
      <c r="O49" s="117"/>
      <c r="P49" s="117"/>
    </row>
    <row r="50" spans="15:16" x14ac:dyDescent="0.25">
      <c r="O50" s="117"/>
      <c r="P50" s="117"/>
    </row>
  </sheetData>
  <sheetProtection algorithmName="SHA-512" hashValue="Dmzc2sbPVJJrMUAykp8PZtVyyz4wmU49Hdo0zcFo8+5wSfrZWNwMj1VuSf4UQ4vosyBeDsi0jxEtabGQifXYkA==" saltValue="un4m7b1mWdg2hlZnrAzNGw==" spinCount="100000" sheet="1" objects="1" scenarios="1"/>
  <phoneticPr fontId="52" type="noConversion"/>
  <hyperlinks>
    <hyperlink ref="M3" location="Form!A1" tooltip=" " display="Form!A1" xr:uid="{00000000-0004-0000-2200-000000000000}"/>
    <hyperlink ref="M4" location="Menu!A1" tooltip=" " display="Menu!A1" xr:uid="{00000000-0004-0000-2200-000001000000}"/>
    <hyperlink ref="M5" location="Acs!A1" tooltip=" " display="Acs!A1" xr:uid="{00000000-0004-0000-2200-000002000000}"/>
    <hyperlink ref="M6" location="SD!A1" tooltip=" " display="SD!A1" xr:uid="{00000000-0004-0000-2200-000003000000}"/>
    <hyperlink ref="M10" location="Sum!A1" tooltip=" " display="Sum!A1" xr:uid="{00000000-0004-0000-2200-000004000000}"/>
    <hyperlink ref="M11" location="Ord!A1" tooltip=" " display="Ord!A1" xr:uid="{00000000-0004-0000-2200-000005000000}"/>
    <hyperlink ref="M7" location="AL!A1" tooltip=" " display="AL!A1" xr:uid="{00000000-0004-0000-22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1">
    <tabColor indexed="53"/>
  </sheetPr>
  <dimension ref="A1:T50"/>
  <sheetViews>
    <sheetView showGridLines="0" showRowColHeaders="0" workbookViewId="0">
      <selection activeCell="J16" sqref="J16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9.1796875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21" width="0" style="2" hidden="1" customWidth="1"/>
    <col min="22" max="16384" width="9.1796875" style="2"/>
  </cols>
  <sheetData>
    <row r="1" spans="1:2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0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"&amp;List!$B$119</f>
        <v>AMBIA-LINE - Design ocel</v>
      </c>
      <c r="L2" s="117"/>
      <c r="M2" s="2" t="str">
        <f>List!$B$11&amp;":"</f>
        <v>Zpět na:</v>
      </c>
      <c r="N2" s="117"/>
      <c r="O2" s="184" t="str">
        <f>List!$B$22&amp;":"</f>
        <v>Soupis kování:</v>
      </c>
      <c r="P2" s="119"/>
      <c r="Q2" s="119"/>
      <c r="R2" s="119"/>
      <c r="S2" s="119"/>
      <c r="T2" s="119"/>
    </row>
    <row r="3" spans="1:20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List!$B$52&amp;" C, F"</f>
        <v>Čelní výsuv C, F</v>
      </c>
      <c r="L3" s="117"/>
      <c r="M3" s="149" t="str">
        <f>" "&amp;List!$B$13</f>
        <v xml:space="preserve"> Úvod</v>
      </c>
      <c r="N3" s="117"/>
      <c r="O3" s="428" t="str">
        <f>Cen!A613</f>
        <v>Souprava na lahve, pro š.rám. 100mm, Orion šedá</v>
      </c>
      <c r="P3" s="428" t="str">
        <f>Cen!B613</f>
        <v>ZC7B0100S</v>
      </c>
      <c r="Q3" s="428" t="str">
        <f>Cen!C613</f>
        <v>OG-M</v>
      </c>
      <c r="R3" s="429">
        <f>H15</f>
        <v>0</v>
      </c>
      <c r="S3" s="430">
        <f>Cen!F613</f>
        <v>554.96564999999998</v>
      </c>
      <c r="T3" s="430">
        <f>R3*S3</f>
        <v>0</v>
      </c>
    </row>
    <row r="4" spans="1:20" ht="13" thickBot="1" x14ac:dyDescent="0.3">
      <c r="A4" s="117"/>
      <c r="B4" s="117"/>
      <c r="C4" s="117"/>
      <c r="D4" s="117"/>
      <c r="E4" s="117"/>
      <c r="F4" s="117"/>
      <c r="G4" s="117"/>
      <c r="K4" s="74"/>
      <c r="L4" s="117"/>
      <c r="M4" s="150" t="str">
        <f>" "&amp;List!$B$4</f>
        <v xml:space="preserve"> Výběr zásuvek a výsuvů</v>
      </c>
      <c r="N4" s="117"/>
      <c r="O4" s="431" t="str">
        <f>Cen!A616</f>
        <v>Souprava na lahve, pro š.rám. 200mm, Orion šedá</v>
      </c>
      <c r="P4" s="431" t="str">
        <f>Cen!B616</f>
        <v>ZC7B0200S</v>
      </c>
      <c r="Q4" s="431" t="str">
        <f>Cen!C616</f>
        <v>OG-M</v>
      </c>
      <c r="R4" s="432">
        <f>H16</f>
        <v>0</v>
      </c>
      <c r="S4" s="433">
        <f>Cen!F616</f>
        <v>710.47880999999995</v>
      </c>
      <c r="T4" s="433">
        <f>R4*S4</f>
        <v>0</v>
      </c>
    </row>
    <row r="5" spans="1:20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117"/>
      <c r="M5" s="150" t="str">
        <f>" "&amp;List!$B$5</f>
        <v xml:space="preserve"> Výběr doplňků</v>
      </c>
      <c r="N5" s="117"/>
      <c r="O5" s="446"/>
      <c r="P5" s="446"/>
      <c r="Q5" s="446"/>
      <c r="R5" s="447"/>
      <c r="S5" s="448"/>
      <c r="T5" s="448"/>
    </row>
    <row r="6" spans="1:20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List!$B$27&amp;":"</f>
        <v>barva:</v>
      </c>
      <c r="I6" s="119"/>
      <c r="J6" s="6"/>
      <c r="K6" s="243" t="str">
        <f>Form!$U$2</f>
        <v>Orion šedá (OG-M)</v>
      </c>
      <c r="L6" s="117"/>
      <c r="M6" s="150" t="str">
        <f>" "&amp;List!$B$6</f>
        <v xml:space="preserve"> Výběr SERVO-DRIVE</v>
      </c>
      <c r="N6" s="117"/>
      <c r="O6" s="431"/>
      <c r="P6" s="431"/>
      <c r="Q6" s="431"/>
      <c r="R6" s="432"/>
      <c r="S6" s="433"/>
      <c r="T6" s="433"/>
    </row>
    <row r="7" spans="1:20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17"/>
      <c r="M7" s="242" t="str">
        <f>" "&amp;List!$B$7</f>
        <v xml:space="preserve"> Výběr AMBIA-LINE</v>
      </c>
      <c r="N7" s="117"/>
      <c r="O7" s="434"/>
      <c r="P7" s="434"/>
      <c r="Q7" s="434"/>
      <c r="R7" s="435"/>
      <c r="S7" s="436"/>
      <c r="T7" s="436"/>
    </row>
    <row r="8" spans="1:20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T42</f>
        <v>0</v>
      </c>
      <c r="L8" s="117"/>
      <c r="N8" s="117"/>
      <c r="O8" s="124"/>
      <c r="P8" s="124"/>
      <c r="Q8" s="124"/>
      <c r="R8" s="327"/>
      <c r="S8" s="328"/>
      <c r="T8" s="328"/>
    </row>
    <row r="9" spans="1:20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" t="str">
        <f>List!$B$12&amp;":"</f>
        <v>Pokračovat na:</v>
      </c>
      <c r="N9" s="117"/>
      <c r="O9" s="125"/>
      <c r="P9" s="125"/>
      <c r="Q9" s="125"/>
      <c r="R9" s="257"/>
      <c r="S9" s="258"/>
      <c r="T9" s="258"/>
    </row>
    <row r="10" spans="1:20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202"/>
      <c r="P10" s="202"/>
      <c r="Q10" s="202"/>
      <c r="R10" s="259"/>
      <c r="S10" s="260"/>
      <c r="T10" s="260"/>
    </row>
    <row r="11" spans="1:20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24"/>
      <c r="P11" s="124"/>
      <c r="Q11" s="124"/>
      <c r="R11" s="327"/>
      <c r="S11" s="328"/>
      <c r="T11" s="328"/>
    </row>
    <row r="12" spans="1:20" ht="15.5" x14ac:dyDescent="0.25">
      <c r="A12" s="117"/>
      <c r="B12" s="117"/>
      <c r="C12" s="117"/>
      <c r="D12" s="117"/>
      <c r="E12" s="117"/>
      <c r="F12" s="117"/>
      <c r="G12" s="467" t="str">
        <f>IF(OR(R3&gt;0, AND(SUM(R3:R10)&gt;0,Form!$O$2=3)),List!$B$191&amp;"!"," ")</f>
        <v xml:space="preserve"> </v>
      </c>
      <c r="H12" s="117"/>
      <c r="I12" s="286"/>
      <c r="J12" s="286"/>
      <c r="K12" s="286"/>
      <c r="L12" s="117"/>
      <c r="M12" s="117"/>
      <c r="N12" s="117"/>
      <c r="O12" s="120"/>
      <c r="P12" s="120"/>
      <c r="Q12" s="120"/>
      <c r="R12" s="121"/>
      <c r="S12" s="116"/>
      <c r="T12" s="116"/>
    </row>
    <row r="13" spans="1:20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24"/>
      <c r="P13" s="124"/>
      <c r="Q13" s="124"/>
      <c r="R13" s="327"/>
      <c r="S13" s="328"/>
      <c r="T13" s="328"/>
    </row>
    <row r="14" spans="1:20" ht="15.5" x14ac:dyDescent="0.25">
      <c r="A14" s="117"/>
      <c r="B14" s="307" t="str">
        <f>" "&amp;List!$B$215</f>
        <v xml:space="preserve"> Souprava na lahve</v>
      </c>
      <c r="C14" s="7"/>
      <c r="D14" s="7"/>
      <c r="E14" s="7"/>
      <c r="F14" s="7"/>
      <c r="G14" s="7"/>
      <c r="H14" s="285"/>
      <c r="I14" s="285"/>
      <c r="J14" s="285"/>
      <c r="K14" s="285"/>
      <c r="L14" s="117"/>
      <c r="M14" s="117"/>
      <c r="N14" s="117"/>
      <c r="O14" s="125"/>
      <c r="P14" s="125"/>
      <c r="Q14" s="125"/>
      <c r="R14" s="257"/>
      <c r="S14" s="258"/>
      <c r="T14" s="258"/>
    </row>
    <row r="15" spans="1:20" ht="14.5" thickBot="1" x14ac:dyDescent="0.35">
      <c r="A15" s="117"/>
      <c r="B15" s="293"/>
      <c r="C15" s="427" t="str">
        <f>"[1]   "&amp;List!$B$216&amp;" 100 mm"</f>
        <v>[1]   Pro rámeček šířky 100 mm</v>
      </c>
      <c r="D15" s="347"/>
      <c r="E15" s="347"/>
      <c r="F15" s="347"/>
      <c r="G15" s="347"/>
      <c r="H15" s="450"/>
      <c r="I15" s="117"/>
      <c r="J15" s="117"/>
      <c r="K15" s="117"/>
      <c r="L15" s="117"/>
      <c r="M15" s="117"/>
      <c r="N15" s="117"/>
      <c r="O15" s="125"/>
      <c r="P15" s="125"/>
      <c r="Q15" s="125"/>
      <c r="R15" s="257"/>
      <c r="S15" s="258"/>
      <c r="T15" s="258"/>
    </row>
    <row r="16" spans="1:20" ht="14" x14ac:dyDescent="0.3">
      <c r="A16" s="117"/>
      <c r="B16" s="425"/>
      <c r="C16" s="426" t="str">
        <f>"[2]   "&amp;List!$B$216&amp;" 200 mm"</f>
        <v>[2]   Pro rámeček šířky 200 mm</v>
      </c>
      <c r="D16" s="424"/>
      <c r="E16" s="424"/>
      <c r="F16" s="424"/>
      <c r="G16" s="424"/>
      <c r="H16" s="477"/>
      <c r="I16" s="117"/>
      <c r="J16" s="117"/>
      <c r="K16" s="117"/>
      <c r="L16" s="117"/>
      <c r="M16" s="117"/>
      <c r="N16" s="117"/>
      <c r="O16" s="125"/>
      <c r="P16" s="125"/>
      <c r="Q16" s="125"/>
      <c r="R16" s="257"/>
      <c r="S16" s="258"/>
      <c r="T16" s="258"/>
    </row>
    <row r="17" spans="1:20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117"/>
      <c r="M17" s="117"/>
      <c r="N17" s="117"/>
      <c r="O17" s="120"/>
      <c r="P17" s="120"/>
      <c r="Q17" s="120"/>
      <c r="R17" s="121"/>
      <c r="S17" s="116"/>
      <c r="T17" s="116"/>
    </row>
    <row r="18" spans="1:20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117"/>
      <c r="M18" s="117"/>
      <c r="N18" s="117"/>
      <c r="O18" s="120"/>
      <c r="P18" s="120"/>
      <c r="Q18" s="120"/>
      <c r="R18" s="121"/>
      <c r="S18" s="116"/>
      <c r="T18" s="116"/>
    </row>
    <row r="19" spans="1:20" ht="15.5" x14ac:dyDescent="0.25">
      <c r="A19" s="117"/>
      <c r="B19" s="339"/>
      <c r="C19" s="286"/>
      <c r="D19" s="286"/>
      <c r="E19" s="286"/>
      <c r="F19" s="286"/>
      <c r="G19" s="286"/>
      <c r="H19" s="285"/>
      <c r="I19" s="285"/>
      <c r="J19" s="285"/>
      <c r="K19" s="285"/>
      <c r="L19" s="117"/>
      <c r="M19" s="117"/>
      <c r="N19" s="117"/>
      <c r="O19" s="120"/>
      <c r="P19" s="120"/>
      <c r="Q19" s="120"/>
      <c r="R19" s="121"/>
      <c r="S19" s="116"/>
      <c r="T19" s="116"/>
    </row>
    <row r="20" spans="1:20" ht="14" x14ac:dyDescent="0.3">
      <c r="A20" s="117"/>
      <c r="B20" s="341"/>
      <c r="C20" s="343"/>
      <c r="D20" s="384"/>
      <c r="E20" s="384"/>
      <c r="F20" s="384"/>
      <c r="G20" s="384"/>
      <c r="H20" s="290"/>
      <c r="I20" s="117"/>
      <c r="J20" s="117"/>
      <c r="K20" s="117"/>
      <c r="L20" s="117"/>
      <c r="M20" s="117"/>
      <c r="N20" s="117"/>
      <c r="O20" s="120"/>
      <c r="P20" s="120"/>
      <c r="Q20" s="120"/>
      <c r="R20" s="121"/>
      <c r="S20" s="116"/>
      <c r="T20" s="116"/>
    </row>
    <row r="21" spans="1:20" ht="14" x14ac:dyDescent="0.3">
      <c r="A21" s="117"/>
      <c r="B21" s="2" t="str">
        <f>"      "&amp;List!$C$231&amp;"!"</f>
        <v xml:space="preserve">      Není vhodná pro vnitřní výsuv!</v>
      </c>
      <c r="C21" s="343"/>
      <c r="D21" s="384"/>
      <c r="E21" s="384"/>
      <c r="F21" s="384"/>
      <c r="G21" s="384"/>
      <c r="H21" s="290"/>
      <c r="I21" s="117"/>
      <c r="J21" s="117"/>
      <c r="K21" s="117"/>
      <c r="L21" s="117"/>
      <c r="M21" s="117"/>
      <c r="N21" s="117"/>
      <c r="O21" s="124"/>
      <c r="P21" s="124"/>
      <c r="Q21" s="124"/>
      <c r="R21" s="327"/>
      <c r="S21" s="124"/>
      <c r="T21" s="328"/>
    </row>
    <row r="22" spans="1:20" ht="14" x14ac:dyDescent="0.3">
      <c r="A22" s="117"/>
      <c r="B22" s="341"/>
      <c r="C22" s="343"/>
      <c r="D22" s="384"/>
      <c r="E22" s="384"/>
      <c r="F22" s="384"/>
      <c r="G22" s="384"/>
      <c r="H22" s="290"/>
      <c r="I22" s="283"/>
      <c r="J22" s="283"/>
      <c r="K22" s="283"/>
      <c r="L22" s="117"/>
      <c r="N22" s="117"/>
      <c r="O22" s="205"/>
      <c r="P22" s="205"/>
      <c r="Q22" s="205"/>
      <c r="R22" s="255"/>
      <c r="S22" s="256"/>
      <c r="T22" s="256"/>
    </row>
    <row r="23" spans="1:20" ht="13" x14ac:dyDescent="0.3">
      <c r="A23" s="117"/>
      <c r="B23" s="289"/>
      <c r="C23" s="289"/>
      <c r="D23" s="175"/>
      <c r="E23" s="175"/>
      <c r="F23" s="175"/>
      <c r="G23" s="175"/>
      <c r="H23" s="175"/>
      <c r="I23" s="142"/>
      <c r="J23" s="117"/>
      <c r="K23" s="117"/>
      <c r="L23" s="117"/>
      <c r="M23" s="117"/>
      <c r="N23" s="117"/>
      <c r="O23" s="205"/>
      <c r="P23" s="205"/>
      <c r="Q23" s="205"/>
      <c r="R23" s="255"/>
      <c r="S23" s="256"/>
      <c r="T23" s="256"/>
    </row>
    <row r="24" spans="1:20" ht="13" x14ac:dyDescent="0.3">
      <c r="A24" s="117"/>
      <c r="B24" s="437"/>
      <c r="C24" s="282"/>
      <c r="H24" s="284"/>
      <c r="I24" s="284"/>
      <c r="J24" s="284"/>
      <c r="K24" s="284"/>
      <c r="L24" s="117"/>
      <c r="M24" s="117"/>
      <c r="N24" s="117"/>
      <c r="O24" s="205"/>
      <c r="P24" s="205"/>
      <c r="Q24" s="205"/>
      <c r="R24" s="255"/>
      <c r="S24" s="256"/>
      <c r="T24" s="256"/>
    </row>
    <row r="25" spans="1:20" ht="13" x14ac:dyDescent="0.3">
      <c r="A25" s="117"/>
      <c r="B25" s="282"/>
      <c r="C25" s="282"/>
      <c r="H25" s="285"/>
      <c r="I25" s="285"/>
      <c r="J25" s="285"/>
      <c r="K25" s="285"/>
      <c r="L25" s="117"/>
      <c r="M25" s="117"/>
      <c r="N25" s="117"/>
      <c r="O25" s="205"/>
      <c r="P25" s="205"/>
      <c r="Q25" s="205"/>
      <c r="R25" s="255"/>
      <c r="S25" s="256"/>
      <c r="T25" s="256"/>
    </row>
    <row r="26" spans="1:20" ht="13" x14ac:dyDescent="0.3">
      <c r="A26" s="117"/>
      <c r="B26" s="478"/>
      <c r="C26" s="282"/>
      <c r="H26" s="283"/>
      <c r="I26" s="283"/>
      <c r="J26" s="283"/>
      <c r="K26" s="283"/>
      <c r="L26" s="117"/>
      <c r="M26" s="117"/>
      <c r="N26" s="117"/>
      <c r="O26" s="356"/>
      <c r="P26" s="356"/>
      <c r="Q26" s="356"/>
      <c r="R26" s="357"/>
      <c r="S26" s="358"/>
      <c r="T26" s="358"/>
    </row>
    <row r="27" spans="1:20" ht="14" x14ac:dyDescent="0.3">
      <c r="A27" s="117"/>
      <c r="C27" s="286"/>
      <c r="D27" s="340"/>
      <c r="E27" s="341"/>
      <c r="F27" s="342"/>
      <c r="G27" s="341"/>
      <c r="H27" s="341"/>
      <c r="I27" s="286"/>
      <c r="J27" s="286"/>
      <c r="K27" s="286"/>
      <c r="L27" s="117"/>
      <c r="M27" s="117"/>
      <c r="N27" s="117"/>
      <c r="O27" s="356"/>
      <c r="P27" s="356"/>
      <c r="Q27" s="356"/>
      <c r="R27" s="357"/>
      <c r="S27" s="358"/>
      <c r="T27" s="358"/>
    </row>
    <row r="28" spans="1:20" ht="14" x14ac:dyDescent="0.3">
      <c r="A28" s="117"/>
      <c r="B28" s="343"/>
      <c r="C28" s="286"/>
      <c r="D28" s="344"/>
      <c r="E28" s="290"/>
      <c r="F28" s="290"/>
      <c r="G28" s="290"/>
      <c r="H28" s="290"/>
      <c r="I28" s="284"/>
      <c r="J28" s="284"/>
      <c r="K28" s="284"/>
      <c r="L28" s="117"/>
      <c r="M28" s="117"/>
      <c r="N28" s="117"/>
      <c r="O28" s="356"/>
      <c r="P28" s="356"/>
      <c r="Q28" s="356"/>
      <c r="R28" s="357"/>
      <c r="S28" s="358"/>
      <c r="T28" s="358"/>
    </row>
    <row r="29" spans="1:20" ht="14" x14ac:dyDescent="0.3">
      <c r="A29" s="117"/>
      <c r="B29" s="343"/>
      <c r="C29" s="286"/>
      <c r="D29" s="344"/>
      <c r="E29" s="290"/>
      <c r="F29" s="290"/>
      <c r="G29" s="290"/>
      <c r="H29" s="290"/>
      <c r="I29" s="284"/>
      <c r="J29" s="284"/>
      <c r="K29" s="284"/>
      <c r="L29" s="117"/>
      <c r="M29" s="117"/>
      <c r="N29" s="117"/>
      <c r="O29" s="356"/>
      <c r="P29" s="356"/>
      <c r="Q29" s="356"/>
      <c r="R29" s="357"/>
      <c r="S29" s="358"/>
      <c r="T29" s="358"/>
    </row>
    <row r="30" spans="1:20" ht="14" x14ac:dyDescent="0.3">
      <c r="A30" s="117"/>
      <c r="B30" s="310"/>
      <c r="C30" s="311"/>
      <c r="D30" s="290"/>
      <c r="E30" s="290"/>
      <c r="F30" s="290"/>
      <c r="G30" s="290"/>
      <c r="I30" s="285"/>
      <c r="J30" s="285"/>
      <c r="K30" s="285"/>
      <c r="L30" s="117"/>
      <c r="M30" s="117"/>
      <c r="N30" s="117"/>
      <c r="O30" s="356"/>
      <c r="P30" s="356"/>
      <c r="Q30" s="356"/>
      <c r="R30" s="357"/>
      <c r="S30" s="358"/>
      <c r="T30" s="358"/>
    </row>
    <row r="31" spans="1:20" ht="13" x14ac:dyDescent="0.3">
      <c r="A31" s="117"/>
      <c r="B31" s="282"/>
      <c r="C31" s="282"/>
      <c r="H31" s="283"/>
      <c r="I31" s="283"/>
      <c r="J31" s="283"/>
      <c r="K31" s="283"/>
      <c r="L31" s="117"/>
      <c r="M31" s="117"/>
      <c r="N31" s="117"/>
      <c r="O31" s="356"/>
      <c r="P31" s="356"/>
      <c r="Q31" s="356"/>
      <c r="R31" s="357"/>
      <c r="S31" s="358"/>
      <c r="T31" s="358"/>
    </row>
    <row r="32" spans="1:20" ht="13" x14ac:dyDescent="0.3">
      <c r="A32" s="117"/>
      <c r="B32" s="282"/>
      <c r="C32" s="282"/>
      <c r="H32" s="286"/>
      <c r="I32" s="286"/>
      <c r="J32" s="286"/>
      <c r="K32" s="286"/>
      <c r="L32" s="117"/>
      <c r="M32" s="117"/>
      <c r="N32" s="117"/>
      <c r="O32" s="356"/>
      <c r="P32" s="356"/>
      <c r="Q32" s="356"/>
      <c r="R32" s="357"/>
      <c r="S32" s="358"/>
      <c r="T32" s="358"/>
    </row>
    <row r="33" spans="1:20" x14ac:dyDescent="0.25">
      <c r="A33" s="117"/>
      <c r="L33" s="117"/>
      <c r="O33" s="356"/>
      <c r="P33" s="356"/>
      <c r="Q33" s="356"/>
      <c r="R33" s="357"/>
      <c r="S33" s="358"/>
      <c r="T33" s="358"/>
    </row>
    <row r="34" spans="1:20" x14ac:dyDescent="0.25">
      <c r="O34" s="356"/>
      <c r="P34" s="356"/>
      <c r="Q34" s="356"/>
      <c r="R34" s="357"/>
      <c r="S34" s="358"/>
      <c r="T34" s="358"/>
    </row>
    <row r="35" spans="1:20" x14ac:dyDescent="0.25">
      <c r="O35" s="356"/>
      <c r="P35" s="356"/>
      <c r="Q35" s="356"/>
      <c r="R35" s="357"/>
      <c r="S35" s="358"/>
      <c r="T35" s="358"/>
    </row>
    <row r="36" spans="1:20" x14ac:dyDescent="0.25">
      <c r="O36" s="359"/>
      <c r="P36" s="359"/>
      <c r="Q36" s="359"/>
      <c r="R36" s="360"/>
      <c r="S36" s="361"/>
      <c r="T36" s="358"/>
    </row>
    <row r="37" spans="1:20" x14ac:dyDescent="0.25">
      <c r="O37" s="359"/>
      <c r="P37" s="359"/>
      <c r="Q37" s="359"/>
      <c r="R37" s="360"/>
      <c r="S37" s="361"/>
      <c r="T37" s="361"/>
    </row>
    <row r="38" spans="1:20" x14ac:dyDescent="0.25">
      <c r="O38" s="142"/>
      <c r="P38" s="142"/>
      <c r="Q38" s="142"/>
      <c r="R38" s="148"/>
      <c r="S38" s="152"/>
      <c r="T38" s="152"/>
    </row>
    <row r="39" spans="1:20" x14ac:dyDescent="0.25">
      <c r="O39" s="120"/>
      <c r="P39" s="120"/>
      <c r="Q39" s="120"/>
      <c r="R39" s="121"/>
      <c r="S39" s="116"/>
      <c r="T39" s="116"/>
    </row>
    <row r="40" spans="1:20" x14ac:dyDescent="0.25">
      <c r="O40" s="120"/>
      <c r="P40" s="120"/>
      <c r="Q40" s="120"/>
      <c r="R40" s="121"/>
      <c r="S40" s="116"/>
      <c r="T40" s="116"/>
    </row>
    <row r="41" spans="1:20" x14ac:dyDescent="0.25">
      <c r="O41" s="117"/>
      <c r="P41" s="117"/>
    </row>
    <row r="42" spans="1:20" x14ac:dyDescent="0.25">
      <c r="O42" s="117"/>
      <c r="P42" s="117"/>
      <c r="R42" s="74" t="str">
        <f>List!$B$97</f>
        <v>cena kování</v>
      </c>
      <c r="T42" s="346">
        <f>SUM(T3:T41)</f>
        <v>0</v>
      </c>
    </row>
    <row r="43" spans="1:20" x14ac:dyDescent="0.25">
      <c r="O43" s="117"/>
      <c r="P43" s="117"/>
    </row>
    <row r="44" spans="1:20" x14ac:dyDescent="0.25">
      <c r="O44" s="117"/>
      <c r="P44" s="117"/>
    </row>
    <row r="45" spans="1:20" x14ac:dyDescent="0.25">
      <c r="O45" s="117"/>
      <c r="P45" s="117"/>
    </row>
    <row r="46" spans="1:20" x14ac:dyDescent="0.25">
      <c r="O46" s="117"/>
      <c r="P46" s="117"/>
    </row>
    <row r="47" spans="1:20" x14ac:dyDescent="0.25">
      <c r="O47" s="117"/>
      <c r="P47" s="117"/>
    </row>
    <row r="48" spans="1:20" x14ac:dyDescent="0.25">
      <c r="O48" s="117"/>
      <c r="P48" s="117"/>
    </row>
    <row r="49" spans="15:16" x14ac:dyDescent="0.25">
      <c r="O49" s="117"/>
      <c r="P49" s="117"/>
    </row>
    <row r="50" spans="15:16" x14ac:dyDescent="0.25">
      <c r="O50" s="117"/>
      <c r="P50" s="117"/>
    </row>
  </sheetData>
  <sheetProtection algorithmName="SHA-512" hashValue="W/Mrj00my+23/xLLv1tjruijpojrJ6WLrXHjSHiy4J+LhONSgKA5EUDZNVyr8mZFpiXJor4F5OsC00iqbmPi6Q==" saltValue="bt/aEvw6kCCMRlCRAgig1w==" spinCount="100000" sheet="1" objects="1" scenarios="1"/>
  <hyperlinks>
    <hyperlink ref="M3" location="Form!A1" tooltip=" " display="Form!A1" xr:uid="{00000000-0004-0000-2300-000000000000}"/>
    <hyperlink ref="M4" location="Menu!A1" tooltip=" " display="Menu!A1" xr:uid="{00000000-0004-0000-2300-000001000000}"/>
    <hyperlink ref="M5" location="Acs!A1" tooltip=" " display="Acs!A1" xr:uid="{00000000-0004-0000-2300-000002000000}"/>
    <hyperlink ref="M6" location="SD!A1" tooltip=" " display="SD!A1" xr:uid="{00000000-0004-0000-2300-000003000000}"/>
    <hyperlink ref="M10" location="Sum!A1" tooltip=" " display="Sum!A1" xr:uid="{00000000-0004-0000-2300-000004000000}"/>
    <hyperlink ref="M11" location="Ord!A1" tooltip=" " display="Ord!A1" xr:uid="{00000000-0004-0000-2300-000005000000}"/>
    <hyperlink ref="M7" location="AL!A1" tooltip=" " display="AL!A1" xr:uid="{00000000-0004-0000-23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84">
    <tabColor indexed="53"/>
  </sheetPr>
  <dimension ref="A1:U51"/>
  <sheetViews>
    <sheetView showGridLines="0" showRowColHeaders="0" workbookViewId="0">
      <selection activeCell="N16" sqref="N16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3.81640625" style="2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0.81640625" style="2" hidden="1" customWidth="1"/>
    <col min="22" max="16384" width="9.1796875" style="2"/>
  </cols>
  <sheetData>
    <row r="1" spans="1:2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1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"&amp;List!$B$120</f>
        <v>AMBIA-LINE - Design dřevo</v>
      </c>
      <c r="L2" s="10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1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List!$B$50&amp;" M"</f>
        <v>Zásuvka M</v>
      </c>
      <c r="L3" s="656"/>
      <c r="M3" s="117"/>
      <c r="N3" s="149" t="str">
        <f>" "&amp;List!$B$13</f>
        <v xml:space="preserve"> Úvod</v>
      </c>
      <c r="O3" s="117"/>
      <c r="P3" s="428" t="str">
        <f>Cen!A534</f>
        <v>Příborník, 450mm, Nebraska dub/OG-M</v>
      </c>
      <c r="Q3" s="428" t="str">
        <f>Cen!B534</f>
        <v>ZC7S450BH3</v>
      </c>
      <c r="R3" s="428" t="str">
        <f>Cen!C534</f>
        <v>E02G</v>
      </c>
      <c r="S3" s="429">
        <f>H16</f>
        <v>0</v>
      </c>
      <c r="T3" s="430">
        <f>Cen!F534</f>
        <v>1549.76018</v>
      </c>
      <c r="U3" s="430">
        <f>S3*T3</f>
        <v>0</v>
      </c>
    </row>
    <row r="4" spans="1:21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List!$B$51&amp;" M"</f>
        <v>Vnitřní zásuvka M</v>
      </c>
      <c r="L4" s="74"/>
      <c r="M4" s="117"/>
      <c r="N4" s="150" t="str">
        <f>" "&amp;List!$B$4</f>
        <v xml:space="preserve"> Výběr zásuvek a výsuvů</v>
      </c>
      <c r="O4" s="117"/>
      <c r="P4" s="428" t="str">
        <f>Cen!A537</f>
        <v>Příborník, 500mm, Nebraska dub/OG-M</v>
      </c>
      <c r="Q4" s="428" t="str">
        <f>Cen!B537</f>
        <v>ZC7S500BH3</v>
      </c>
      <c r="R4" s="428" t="str">
        <f>Cen!C537</f>
        <v>E02G</v>
      </c>
      <c r="S4" s="429">
        <f>I16</f>
        <v>0</v>
      </c>
      <c r="T4" s="430">
        <f>Cen!F537</f>
        <v>1579.9852900000001</v>
      </c>
      <c r="U4" s="430">
        <f>S4*T4</f>
        <v>0</v>
      </c>
    </row>
    <row r="5" spans="1:21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656"/>
      <c r="M5" s="117"/>
      <c r="N5" s="150" t="str">
        <f>" "&amp;List!$B$5</f>
        <v xml:space="preserve"> Výběr doplňků</v>
      </c>
      <c r="O5" s="117"/>
      <c r="P5" s="428" t="str">
        <f>Cen!A540</f>
        <v>Příborník, 550mm, Nebraska dub/OG-M</v>
      </c>
      <c r="Q5" s="428" t="str">
        <f>Cen!B540</f>
        <v>ZC7S550BH3</v>
      </c>
      <c r="R5" s="428" t="str">
        <f>Cen!C540</f>
        <v>E02G</v>
      </c>
      <c r="S5" s="429">
        <f>J16</f>
        <v>0</v>
      </c>
      <c r="T5" s="430">
        <f>Cen!F540</f>
        <v>1623.26415</v>
      </c>
      <c r="U5" s="430">
        <f>S5*T5</f>
        <v>0</v>
      </c>
    </row>
    <row r="6" spans="1:21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List!$B$27&amp;":"</f>
        <v>barva:</v>
      </c>
      <c r="I6" s="119"/>
      <c r="J6" s="119"/>
      <c r="K6" s="243" t="str">
        <f>Form!$R$2</f>
        <v>Nebraska dub/OG-M</v>
      </c>
      <c r="L6" s="143"/>
      <c r="M6" s="117"/>
      <c r="N6" s="150" t="str">
        <f>" "&amp;List!$B$6</f>
        <v xml:space="preserve"> Výběr SERVO-DRIVE</v>
      </c>
      <c r="O6" s="117"/>
      <c r="P6" s="125" t="str">
        <f>Cen!A543</f>
        <v>Příborník, 600mm, Nebraska dub/OG-M</v>
      </c>
      <c r="Q6" s="125" t="str">
        <f>Cen!B543</f>
        <v>ZC7S600BH3</v>
      </c>
      <c r="R6" s="125" t="str">
        <f>Cen!C543</f>
        <v>E02G</v>
      </c>
      <c r="S6" s="257">
        <f>K16</f>
        <v>0</v>
      </c>
      <c r="T6" s="258">
        <f>Cen!F543</f>
        <v>1748.9724100000001</v>
      </c>
      <c r="U6" s="258">
        <f>S6*T6</f>
        <v>0</v>
      </c>
    </row>
    <row r="7" spans="1:21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52"/>
      <c r="M7" s="117"/>
      <c r="N7" s="242" t="str">
        <f>" "&amp;List!$B$7</f>
        <v xml:space="preserve"> Výběr AMBIA-LINE</v>
      </c>
      <c r="O7" s="117"/>
      <c r="P7" s="125" t="str">
        <f>Cen!A546</f>
        <v>Příborník, 650mm, Nebraska dub/OG-M</v>
      </c>
      <c r="Q7" s="125" t="str">
        <f>Cen!B546</f>
        <v>ZC7S650BH3</v>
      </c>
      <c r="R7" s="125" t="str">
        <f>Cen!C546</f>
        <v>E02G</v>
      </c>
      <c r="S7" s="257">
        <f>L16</f>
        <v>0</v>
      </c>
      <c r="T7" s="258">
        <f>Cen!F546</f>
        <v>1792.25127</v>
      </c>
      <c r="U7" s="258">
        <f>S7*T7</f>
        <v>0</v>
      </c>
    </row>
    <row r="8" spans="1:21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U43</f>
        <v>0</v>
      </c>
      <c r="L8" s="152"/>
      <c r="M8" s="117"/>
      <c r="O8" s="117"/>
      <c r="P8" s="120"/>
      <c r="Q8" s="120"/>
      <c r="R8" s="120"/>
      <c r="S8" s="121"/>
      <c r="T8" s="116"/>
      <c r="U8" s="116"/>
    </row>
    <row r="9" spans="1:21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2" t="str">
        <f>List!$B$12&amp;":"</f>
        <v>Pokračovat na:</v>
      </c>
      <c r="O9" s="117"/>
      <c r="P9" s="124" t="str">
        <f>Cen!A550</f>
        <v>Zás.rámečky úzké, 450mm, Nebraska dub/OG-M</v>
      </c>
      <c r="Q9" s="124" t="str">
        <f>Cen!B550</f>
        <v>ZC7S450RH1</v>
      </c>
      <c r="R9" s="124" t="str">
        <f>Cen!C550</f>
        <v>E02G</v>
      </c>
      <c r="S9" s="327">
        <f>H21</f>
        <v>0</v>
      </c>
      <c r="T9" s="328">
        <f>Cen!F550</f>
        <v>1017.37146</v>
      </c>
      <c r="U9" s="328">
        <f>S9*T9</f>
        <v>0</v>
      </c>
    </row>
    <row r="10" spans="1:21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Cen!A553</f>
        <v>Zás.rámečky úzké, 500mm, Nebraska dub/OG-M</v>
      </c>
      <c r="Q10" s="125" t="str">
        <f>Cen!B553</f>
        <v>ZC7S500RH1</v>
      </c>
      <c r="R10" s="125" t="str">
        <f>Cen!C553</f>
        <v>E02G</v>
      </c>
      <c r="S10" s="257">
        <f>I21</f>
        <v>0</v>
      </c>
      <c r="T10" s="258">
        <f>Cen!F553</f>
        <v>1030.4252300000001</v>
      </c>
      <c r="U10" s="258">
        <f>S10*T10</f>
        <v>0</v>
      </c>
    </row>
    <row r="11" spans="1:21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Cen!A556</f>
        <v>Zás.rámečky úzké, 550mm, Nebraska dub/OG-M</v>
      </c>
      <c r="Q11" s="125" t="str">
        <f>Cen!B556</f>
        <v>ZC7S550RH1</v>
      </c>
      <c r="R11" s="125" t="str">
        <f>Cen!C556</f>
        <v>E02G</v>
      </c>
      <c r="S11" s="257">
        <f>J21</f>
        <v>0</v>
      </c>
      <c r="T11" s="258">
        <f>Cen!F556</f>
        <v>1049.65743</v>
      </c>
      <c r="U11" s="258">
        <f>S11*T11</f>
        <v>0</v>
      </c>
    </row>
    <row r="12" spans="1:21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5" t="str">
        <f>Cen!A559</f>
        <v>Zás.rámečky úzké, 600mm, Nebraska dub/OG-M</v>
      </c>
      <c r="Q12" s="125" t="str">
        <f>Cen!B559</f>
        <v>ZC7S600RH1</v>
      </c>
      <c r="R12" s="125" t="str">
        <f>Cen!C559</f>
        <v>E02G</v>
      </c>
      <c r="S12" s="257">
        <f>K21</f>
        <v>0</v>
      </c>
      <c r="T12" s="258">
        <f>Cen!F559</f>
        <v>1068.89501</v>
      </c>
      <c r="U12" s="258">
        <f>S12*T12</f>
        <v>0</v>
      </c>
    </row>
    <row r="13" spans="1:21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125" t="str">
        <f>Cen!A562</f>
        <v>Zás.rámečky úzké, 650mm, Nebraska dub/OG-M</v>
      </c>
      <c r="Q13" s="125" t="str">
        <f>Cen!B562</f>
        <v>ZC7S650RH1</v>
      </c>
      <c r="R13" s="125" t="str">
        <f>Cen!C562</f>
        <v>E02G</v>
      </c>
      <c r="S13" s="257">
        <f>L21</f>
        <v>0</v>
      </c>
      <c r="T13" s="258">
        <f>Cen!F562</f>
        <v>1088.1265900000001</v>
      </c>
      <c r="U13" s="258">
        <f>S13*T13</f>
        <v>0</v>
      </c>
    </row>
    <row r="14" spans="1:21" ht="15.5" x14ac:dyDescent="0.25">
      <c r="A14" s="117"/>
      <c r="B14" s="307" t="str">
        <f>"[1]  "&amp;List!$B$209</f>
        <v>[1]  Příborníky</v>
      </c>
      <c r="C14" s="7"/>
      <c r="H14" s="285"/>
      <c r="I14" s="285"/>
      <c r="J14" s="285"/>
      <c r="K14" s="285"/>
      <c r="L14" s="285"/>
      <c r="M14" s="117"/>
      <c r="N14" s="117"/>
      <c r="O14" s="117"/>
      <c r="P14" s="120"/>
      <c r="Q14" s="120"/>
      <c r="R14" s="120"/>
      <c r="S14" s="121"/>
      <c r="T14" s="116"/>
      <c r="U14" s="116"/>
    </row>
    <row r="15" spans="1:21" ht="14" x14ac:dyDescent="0.3">
      <c r="A15" s="117"/>
      <c r="B15" s="6"/>
      <c r="C15" s="315" t="str">
        <f>List!$B$118&amp;":"</f>
        <v>Jmenovitá délka:</v>
      </c>
      <c r="D15" s="303"/>
      <c r="E15" s="300"/>
      <c r="F15" s="300"/>
      <c r="G15" s="300"/>
      <c r="H15" s="300" t="s">
        <v>111</v>
      </c>
      <c r="I15" s="770" t="s">
        <v>525</v>
      </c>
      <c r="J15" s="300" t="s">
        <v>526</v>
      </c>
      <c r="K15" s="300" t="s">
        <v>112</v>
      </c>
      <c r="L15" s="302" t="s">
        <v>770</v>
      </c>
      <c r="M15" s="117"/>
      <c r="N15" s="117"/>
      <c r="O15" s="117"/>
      <c r="P15" s="124" t="str">
        <f>Cen!A569</f>
        <v>Zás.rámečky široké, 450mm, Nebraska dub/OG-M</v>
      </c>
      <c r="Q15" s="124" t="str">
        <f>Cen!B569</f>
        <v>ZC7S450RH2</v>
      </c>
      <c r="R15" s="124" t="str">
        <f>Cen!C569</f>
        <v>E02G</v>
      </c>
      <c r="S15" s="327">
        <f>H22</f>
        <v>0</v>
      </c>
      <c r="T15" s="328">
        <f>Cen!F569</f>
        <v>1154.75999</v>
      </c>
      <c r="U15" s="328">
        <f>S15*T15</f>
        <v>0</v>
      </c>
    </row>
    <row r="16" spans="1:21" ht="14.5" thickBot="1" x14ac:dyDescent="0.35">
      <c r="A16" s="117"/>
      <c r="B16" s="293"/>
      <c r="C16" s="427" t="str">
        <f>List!$B$75&amp;": 300mm"</f>
        <v>šířka: 300mm</v>
      </c>
      <c r="D16" s="347"/>
      <c r="E16" s="347"/>
      <c r="F16" s="347"/>
      <c r="G16" s="347"/>
      <c r="H16" s="294"/>
      <c r="I16" s="294"/>
      <c r="J16" s="294"/>
      <c r="K16" s="294"/>
      <c r="L16" s="295"/>
      <c r="M16" s="117"/>
      <c r="N16" s="117"/>
      <c r="O16" s="117"/>
      <c r="P16" s="125" t="str">
        <f>Cen!A572</f>
        <v>Zás.rámečky široké, 500mm, Nebraska dub/OG-M</v>
      </c>
      <c r="Q16" s="125" t="str">
        <f>Cen!B572</f>
        <v>ZC7S500RH2</v>
      </c>
      <c r="R16" s="125" t="str">
        <f>Cen!C572</f>
        <v>E02G</v>
      </c>
      <c r="S16" s="257">
        <f>I22</f>
        <v>0</v>
      </c>
      <c r="T16" s="258">
        <f>Cen!F572</f>
        <v>1167.81376</v>
      </c>
      <c r="U16" s="258">
        <f>S16*T16</f>
        <v>0</v>
      </c>
    </row>
    <row r="17" spans="1:21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285"/>
      <c r="M17" s="117"/>
      <c r="N17" s="117"/>
      <c r="O17" s="117"/>
      <c r="P17" s="438" t="str">
        <f>Cen!A575</f>
        <v>Zás.rámečky široké, 550mm, Nebraska dub/OG-M</v>
      </c>
      <c r="Q17" s="438" t="str">
        <f>Cen!B575</f>
        <v>ZC7S550RH2</v>
      </c>
      <c r="R17" s="438" t="str">
        <f>Cen!C575</f>
        <v>E02G</v>
      </c>
      <c r="S17" s="257">
        <f>J22</f>
        <v>0</v>
      </c>
      <c r="T17" s="258">
        <f>Cen!F575</f>
        <v>1187.04594</v>
      </c>
      <c r="U17" s="258">
        <f>S17*T17</f>
        <v>0</v>
      </c>
    </row>
    <row r="18" spans="1:21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285"/>
      <c r="M18" s="117"/>
      <c r="N18" s="117"/>
      <c r="O18" s="117"/>
      <c r="P18" s="125" t="str">
        <f>Cen!A578</f>
        <v>Zás.rámečky široké, 600mm, Nebraska dub/OG-M</v>
      </c>
      <c r="Q18" s="125" t="str">
        <f>Cen!B578</f>
        <v>ZC7S600RH2</v>
      </c>
      <c r="R18" s="125" t="str">
        <f>Cen!C578</f>
        <v>E02G</v>
      </c>
      <c r="S18" s="257">
        <f>K22</f>
        <v>0</v>
      </c>
      <c r="T18" s="258">
        <f>Cen!F578</f>
        <v>1206.28352</v>
      </c>
      <c r="U18" s="258">
        <f>S18*T18</f>
        <v>0</v>
      </c>
    </row>
    <row r="19" spans="1:21" ht="15.5" x14ac:dyDescent="0.25">
      <c r="A19" s="117"/>
      <c r="B19" s="307" t="str">
        <f>"[2, 3]  "&amp;List!$B$210</f>
        <v>[2, 3]  Zásuvkové rámečky</v>
      </c>
      <c r="C19" s="7"/>
      <c r="H19" s="285"/>
      <c r="I19" s="285"/>
      <c r="J19" s="285"/>
      <c r="K19" s="285"/>
      <c r="L19" s="285"/>
      <c r="M19" s="117"/>
      <c r="N19" s="117"/>
      <c r="O19" s="117"/>
      <c r="P19" s="125" t="str">
        <f>Cen!A581</f>
        <v>Zás.rámečky široké, 650mm, Nebraska dub/OG-M</v>
      </c>
      <c r="Q19" s="125" t="str">
        <f>Cen!B581</f>
        <v>ZC7S650RH2</v>
      </c>
      <c r="R19" s="125" t="str">
        <f>Cen!C581</f>
        <v>E02G</v>
      </c>
      <c r="S19" s="257">
        <f>L22</f>
        <v>0</v>
      </c>
      <c r="T19" s="258">
        <f>Cen!F581</f>
        <v>1225.51511</v>
      </c>
      <c r="U19" s="258">
        <f>S19*T19</f>
        <v>0</v>
      </c>
    </row>
    <row r="20" spans="1:21" ht="14" x14ac:dyDescent="0.3">
      <c r="A20" s="117"/>
      <c r="B20" s="6"/>
      <c r="C20" s="315" t="str">
        <f>List!$B$118&amp;":"</f>
        <v>Jmenovitá délka:</v>
      </c>
      <c r="D20" s="303"/>
      <c r="E20" s="300"/>
      <c r="F20" s="300"/>
      <c r="G20" s="300"/>
      <c r="H20" s="300" t="s">
        <v>111</v>
      </c>
      <c r="I20" s="770" t="s">
        <v>525</v>
      </c>
      <c r="J20" s="300" t="s">
        <v>526</v>
      </c>
      <c r="K20" s="300" t="s">
        <v>112</v>
      </c>
      <c r="L20" s="302" t="s">
        <v>770</v>
      </c>
      <c r="M20" s="117"/>
      <c r="N20" s="117"/>
      <c r="O20" s="117"/>
      <c r="P20" s="120"/>
      <c r="Q20" s="120"/>
      <c r="R20" s="120"/>
      <c r="S20" s="121"/>
      <c r="T20" s="439"/>
      <c r="U20" s="116"/>
    </row>
    <row r="21" spans="1:21" ht="14.5" thickBot="1" x14ac:dyDescent="0.35">
      <c r="A21" s="117"/>
      <c r="B21" s="293"/>
      <c r="C21" s="427" t="str">
        <f>List!$B$75&amp;": 100mm"</f>
        <v>šířka: 100mm</v>
      </c>
      <c r="D21" s="347"/>
      <c r="E21" s="347"/>
      <c r="F21" s="347"/>
      <c r="G21" s="347"/>
      <c r="H21" s="294"/>
      <c r="I21" s="294"/>
      <c r="J21" s="294"/>
      <c r="K21" s="294"/>
      <c r="L21" s="295"/>
      <c r="M21" s="117"/>
      <c r="N21" s="117"/>
      <c r="O21" s="117"/>
      <c r="P21" s="120" t="str">
        <f>Cen!A588</f>
        <v>Zásuvkové rámečky, od 270mm, Nebraska/OG-M</v>
      </c>
      <c r="Q21" s="120" t="str">
        <f>Cen!B588</f>
        <v>ZC7S300RHU</v>
      </c>
      <c r="R21" s="120" t="str">
        <f>Cen!C588</f>
        <v>E02G</v>
      </c>
      <c r="S21" s="121">
        <f>H26</f>
        <v>0</v>
      </c>
      <c r="T21" s="440">
        <f>Cen!F588</f>
        <v>1305.20226</v>
      </c>
      <c r="U21" s="116">
        <f>S21*T21</f>
        <v>0</v>
      </c>
    </row>
    <row r="22" spans="1:21" ht="14" x14ac:dyDescent="0.3">
      <c r="A22" s="117"/>
      <c r="B22" s="425"/>
      <c r="C22" s="426" t="str">
        <f>List!$B$75&amp;": 200mm"</f>
        <v>šířka: 200mm</v>
      </c>
      <c r="D22" s="424"/>
      <c r="E22" s="424"/>
      <c r="F22" s="424"/>
      <c r="G22" s="424"/>
      <c r="H22" s="298"/>
      <c r="I22" s="298"/>
      <c r="J22" s="298"/>
      <c r="K22" s="298"/>
      <c r="L22" s="299"/>
      <c r="M22" s="117"/>
      <c r="N22" s="117"/>
      <c r="O22" s="117"/>
      <c r="P22" s="120"/>
      <c r="Q22" s="120"/>
      <c r="R22" s="120"/>
      <c r="S22" s="121"/>
      <c r="T22" s="440"/>
      <c r="U22" s="116"/>
    </row>
    <row r="23" spans="1:21" ht="13" x14ac:dyDescent="0.3">
      <c r="A23" s="117"/>
      <c r="B23" s="282"/>
      <c r="C23" s="282"/>
      <c r="D23" s="51"/>
      <c r="E23" s="51"/>
      <c r="F23" s="51"/>
      <c r="G23" s="51"/>
      <c r="H23" s="285"/>
      <c r="I23" s="285"/>
      <c r="J23" s="285"/>
      <c r="K23" s="285"/>
      <c r="L23" s="285"/>
      <c r="M23" s="117"/>
      <c r="N23" s="117"/>
      <c r="O23" s="117"/>
      <c r="P23" s="120"/>
      <c r="Q23" s="120"/>
      <c r="R23" s="120"/>
      <c r="S23" s="121"/>
      <c r="T23" s="440"/>
      <c r="U23" s="116"/>
    </row>
    <row r="24" spans="1:21" ht="13" x14ac:dyDescent="0.3">
      <c r="A24" s="117"/>
      <c r="B24" s="282"/>
      <c r="C24" s="282"/>
      <c r="H24" s="285"/>
      <c r="I24" s="285"/>
      <c r="J24" s="285"/>
      <c r="K24" s="285"/>
      <c r="L24" s="285"/>
      <c r="M24" s="117"/>
      <c r="N24" s="117"/>
      <c r="O24" s="117"/>
      <c r="P24" s="124"/>
      <c r="Q24" s="124"/>
      <c r="R24" s="124"/>
      <c r="S24" s="327"/>
      <c r="T24" s="124"/>
      <c r="U24" s="328"/>
    </row>
    <row r="25" spans="1:21" ht="15.5" x14ac:dyDescent="0.25">
      <c r="A25" s="117"/>
      <c r="B25" s="307" t="str">
        <f>"[4]  "&amp;List!$B$211&amp;" 270mm"</f>
        <v>[4]  Zásuvkové rámečky pro jmenovitou délku od  270mm</v>
      </c>
      <c r="C25" s="7"/>
      <c r="D25" s="7"/>
      <c r="E25" s="7"/>
      <c r="F25" s="7"/>
      <c r="G25" s="7"/>
      <c r="H25" s="285"/>
      <c r="I25" s="285"/>
      <c r="J25" s="285"/>
      <c r="K25" s="285"/>
      <c r="L25" s="285"/>
      <c r="M25" s="117"/>
      <c r="N25" s="117"/>
      <c r="O25" s="117"/>
      <c r="P25" s="205"/>
      <c r="Q25" s="205"/>
      <c r="R25" s="205"/>
      <c r="S25" s="255"/>
      <c r="T25" s="256"/>
      <c r="U25" s="256"/>
    </row>
    <row r="26" spans="1:21" ht="14.5" thickBot="1" x14ac:dyDescent="0.35">
      <c r="A26" s="117"/>
      <c r="B26" s="293"/>
      <c r="C26" s="427" t="str">
        <f>List!$B$75&amp;": 242mm"</f>
        <v>šířka: 242mm</v>
      </c>
      <c r="D26" s="347"/>
      <c r="E26" s="347"/>
      <c r="F26" s="347"/>
      <c r="G26" s="347"/>
      <c r="H26" s="294"/>
      <c r="I26" s="117"/>
      <c r="J26" s="117"/>
      <c r="K26" s="117"/>
      <c r="L26" s="117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3" x14ac:dyDescent="0.3">
      <c r="A27" s="117"/>
      <c r="B27" s="282"/>
      <c r="C27" s="282"/>
      <c r="D27" s="117"/>
      <c r="E27" s="117"/>
      <c r="F27" s="117"/>
      <c r="G27" s="117"/>
      <c r="H27" s="283"/>
      <c r="I27" s="283"/>
      <c r="J27" s="283"/>
      <c r="K27" s="283"/>
      <c r="L27" s="283"/>
      <c r="M27" s="117"/>
      <c r="N27" s="117"/>
      <c r="O27" s="117"/>
      <c r="P27" s="205"/>
      <c r="Q27" s="205"/>
      <c r="R27" s="205"/>
      <c r="S27" s="255"/>
      <c r="T27" s="256"/>
      <c r="U27" s="256"/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142"/>
      <c r="I28" s="142"/>
      <c r="J28" s="117"/>
      <c r="K28" s="117"/>
      <c r="L28" s="117"/>
      <c r="M28" s="117"/>
      <c r="N28" s="117"/>
      <c r="O28" s="117"/>
      <c r="P28" s="205"/>
      <c r="Q28" s="205"/>
      <c r="R28" s="205"/>
      <c r="S28" s="255"/>
      <c r="T28" s="256"/>
      <c r="U28" s="256"/>
    </row>
    <row r="29" spans="1:21" ht="13" x14ac:dyDescent="0.3">
      <c r="A29" s="117"/>
      <c r="B29" s="282"/>
      <c r="C29" s="282"/>
      <c r="H29" s="285"/>
      <c r="I29" s="285"/>
      <c r="J29" s="285"/>
      <c r="K29" s="285"/>
      <c r="L29" s="285"/>
      <c r="M29" s="117"/>
      <c r="N29" s="117"/>
      <c r="O29" s="117"/>
      <c r="P29" s="356"/>
      <c r="Q29" s="356"/>
      <c r="R29" s="356"/>
      <c r="S29" s="357"/>
      <c r="T29" s="358"/>
      <c r="U29" s="358"/>
    </row>
    <row r="30" spans="1:21" ht="13" x14ac:dyDescent="0.3">
      <c r="A30" s="117"/>
      <c r="B30" s="449"/>
      <c r="C30" s="282"/>
      <c r="H30" s="283"/>
      <c r="I30" s="283"/>
      <c r="J30" s="283"/>
      <c r="K30" s="283"/>
      <c r="L30" s="283"/>
      <c r="M30" s="117"/>
      <c r="N30" s="117"/>
      <c r="O30" s="117"/>
      <c r="P30" s="356"/>
      <c r="Q30" s="356"/>
      <c r="R30" s="356"/>
      <c r="S30" s="357"/>
      <c r="T30" s="358"/>
      <c r="U30" s="358"/>
    </row>
    <row r="31" spans="1:21" ht="15.5" x14ac:dyDescent="0.3">
      <c r="A31" s="117"/>
      <c r="B31" s="339"/>
      <c r="C31" s="286"/>
      <c r="D31" s="340"/>
      <c r="E31" s="341"/>
      <c r="F31" s="342"/>
      <c r="G31" s="341"/>
      <c r="H31" s="341"/>
      <c r="I31" s="286"/>
      <c r="J31" s="286"/>
      <c r="K31" s="286"/>
      <c r="L31" s="286"/>
      <c r="M31" s="117"/>
      <c r="P31" s="356"/>
      <c r="Q31" s="356"/>
      <c r="R31" s="356"/>
      <c r="S31" s="357"/>
      <c r="T31" s="358"/>
      <c r="U31" s="358"/>
    </row>
    <row r="32" spans="1:21" ht="14" x14ac:dyDescent="0.3">
      <c r="B32" s="343"/>
      <c r="C32" s="286"/>
      <c r="D32" s="344"/>
      <c r="E32" s="290"/>
      <c r="F32" s="290"/>
      <c r="G32" s="290"/>
      <c r="H32" s="290"/>
      <c r="I32" s="284"/>
      <c r="J32" s="284"/>
      <c r="K32" s="284"/>
      <c r="L32" s="284"/>
      <c r="P32" s="356"/>
      <c r="Q32" s="356"/>
      <c r="R32" s="356"/>
      <c r="S32" s="357"/>
      <c r="T32" s="358"/>
      <c r="U32" s="358"/>
    </row>
    <row r="33" spans="2:21" ht="14" x14ac:dyDescent="0.3">
      <c r="B33" s="343"/>
      <c r="C33" s="286"/>
      <c r="D33" s="344"/>
      <c r="E33" s="290"/>
      <c r="F33" s="290"/>
      <c r="G33" s="290"/>
      <c r="H33" s="290"/>
      <c r="I33" s="284"/>
      <c r="J33" s="284"/>
      <c r="K33" s="284"/>
      <c r="L33" s="284"/>
      <c r="P33" s="356"/>
      <c r="Q33" s="356"/>
      <c r="R33" s="356"/>
      <c r="S33" s="357"/>
      <c r="T33" s="358"/>
      <c r="U33" s="358"/>
    </row>
    <row r="34" spans="2:21" ht="14" x14ac:dyDescent="0.3">
      <c r="B34" s="310"/>
      <c r="C34" s="311"/>
      <c r="D34" s="290"/>
      <c r="E34" s="290"/>
      <c r="F34" s="290"/>
      <c r="G34" s="290"/>
      <c r="I34" s="285"/>
      <c r="J34" s="285"/>
      <c r="K34" s="285"/>
      <c r="L34" s="285"/>
      <c r="P34" s="356"/>
      <c r="Q34" s="356"/>
      <c r="R34" s="356"/>
      <c r="S34" s="357"/>
      <c r="T34" s="358"/>
      <c r="U34" s="358"/>
    </row>
    <row r="35" spans="2:21" ht="13" x14ac:dyDescent="0.3">
      <c r="B35" s="282"/>
      <c r="C35" s="282"/>
      <c r="H35" s="283"/>
      <c r="I35" s="283"/>
      <c r="J35" s="283"/>
      <c r="K35" s="283"/>
      <c r="L35" s="283"/>
      <c r="P35" s="356"/>
      <c r="Q35" s="356"/>
      <c r="R35" s="356"/>
      <c r="S35" s="357"/>
      <c r="T35" s="358"/>
      <c r="U35" s="358"/>
    </row>
    <row r="36" spans="2:21" ht="13" x14ac:dyDescent="0.3">
      <c r="B36" s="282"/>
      <c r="C36" s="282"/>
      <c r="H36" s="286"/>
      <c r="I36" s="286"/>
      <c r="J36" s="286"/>
      <c r="K36" s="286"/>
      <c r="L36" s="286"/>
      <c r="P36" s="356"/>
      <c r="Q36" s="356"/>
      <c r="R36" s="356"/>
      <c r="S36" s="357"/>
      <c r="T36" s="358"/>
      <c r="U36" s="358"/>
    </row>
    <row r="37" spans="2:21" x14ac:dyDescent="0.25">
      <c r="P37" s="359"/>
      <c r="Q37" s="359"/>
      <c r="R37" s="359"/>
      <c r="S37" s="360"/>
      <c r="T37" s="361"/>
      <c r="U37" s="358"/>
    </row>
    <row r="38" spans="2:21" x14ac:dyDescent="0.25">
      <c r="P38" s="359"/>
      <c r="Q38" s="359"/>
      <c r="R38" s="359"/>
      <c r="S38" s="360"/>
      <c r="T38" s="361"/>
      <c r="U38" s="361"/>
    </row>
    <row r="39" spans="2:21" x14ac:dyDescent="0.25">
      <c r="P39" s="142"/>
      <c r="Q39" s="142"/>
      <c r="R39" s="142"/>
      <c r="S39" s="148"/>
      <c r="T39" s="152"/>
      <c r="U39" s="152"/>
    </row>
    <row r="40" spans="2:21" x14ac:dyDescent="0.25">
      <c r="P40" s="120"/>
      <c r="Q40" s="120"/>
      <c r="R40" s="120"/>
      <c r="S40" s="121"/>
      <c r="T40" s="116"/>
      <c r="U40" s="116"/>
    </row>
    <row r="41" spans="2:21" x14ac:dyDescent="0.25">
      <c r="P41" s="120"/>
      <c r="Q41" s="120"/>
      <c r="R41" s="120"/>
      <c r="S41" s="121"/>
      <c r="T41" s="116"/>
      <c r="U41" s="116"/>
    </row>
    <row r="42" spans="2:21" x14ac:dyDescent="0.25">
      <c r="P42" s="117"/>
      <c r="Q42" s="117"/>
    </row>
    <row r="43" spans="2:21" x14ac:dyDescent="0.25">
      <c r="P43" s="117"/>
      <c r="Q43" s="117"/>
      <c r="S43" s="74" t="str">
        <f>List!$B$97</f>
        <v>cena kování</v>
      </c>
      <c r="U43" s="346">
        <f>SUM(U3:U42)</f>
        <v>0</v>
      </c>
    </row>
    <row r="44" spans="2:21" x14ac:dyDescent="0.25">
      <c r="P44" s="117"/>
      <c r="Q44" s="117"/>
    </row>
    <row r="45" spans="2:21" x14ac:dyDescent="0.25">
      <c r="P45" s="117"/>
      <c r="Q45" s="117"/>
    </row>
    <row r="46" spans="2:21" x14ac:dyDescent="0.25">
      <c r="P46" s="117"/>
      <c r="Q46" s="117"/>
    </row>
    <row r="47" spans="2:21" x14ac:dyDescent="0.25">
      <c r="P47" s="117"/>
      <c r="Q47" s="117"/>
    </row>
    <row r="48" spans="2:21" x14ac:dyDescent="0.25">
      <c r="P48" s="117"/>
      <c r="Q48" s="117"/>
    </row>
    <row r="49" spans="16:17" x14ac:dyDescent="0.25">
      <c r="P49" s="117"/>
      <c r="Q49" s="117"/>
    </row>
    <row r="50" spans="16:17" x14ac:dyDescent="0.25">
      <c r="P50" s="117"/>
      <c r="Q50" s="117"/>
    </row>
    <row r="51" spans="16:17" x14ac:dyDescent="0.25">
      <c r="P51" s="117"/>
      <c r="Q51" s="117"/>
    </row>
  </sheetData>
  <sheetProtection algorithmName="SHA-512" hashValue="ECvkPc244Szvjt1gvL+URXmtk1f8P89nAIO9gUMPJU4/r7iCSKG0ABnqtIS0sL6Zs+mJYDiHQQgLKtYnTfuSeA==" saltValue="NyO3O4DICetNfsG5Rku1kw==" spinCount="100000" sheet="1" objects="1" scenarios="1"/>
  <phoneticPr fontId="52" type="noConversion"/>
  <hyperlinks>
    <hyperlink ref="N3" location="Form!A1" tooltip=" " display="Form!A1" xr:uid="{00000000-0004-0000-2400-000000000000}"/>
    <hyperlink ref="N4" location="Menu!A1" tooltip=" " display="Menu!A1" xr:uid="{00000000-0004-0000-2400-000001000000}"/>
    <hyperlink ref="N5" location="Acs!A1" tooltip=" " display="Acs!A1" xr:uid="{00000000-0004-0000-2400-000002000000}"/>
    <hyperlink ref="N6" location="SD!A1" tooltip=" " display="SD!A1" xr:uid="{00000000-0004-0000-2400-000003000000}"/>
    <hyperlink ref="N10" location="Sum!A1" tooltip=" " display="Sum!A1" xr:uid="{00000000-0004-0000-2400-000004000000}"/>
    <hyperlink ref="N11" location="Ord!A1" tooltip=" " display="Ord!A1" xr:uid="{00000000-0004-0000-2400-000005000000}"/>
    <hyperlink ref="N7" location="AL!A1" tooltip=" " display="AL!A1" xr:uid="{00000000-0004-0000-24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86">
    <tabColor indexed="53"/>
  </sheetPr>
  <dimension ref="A1:T50"/>
  <sheetViews>
    <sheetView showGridLines="0" showRowColHeaders="0" workbookViewId="0">
      <selection activeCell="M14" sqref="M14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0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"&amp;List!$B$120</f>
        <v>AMBIA-LINE - Design dřevo</v>
      </c>
      <c r="L2" s="117"/>
      <c r="M2" s="2" t="str">
        <f>List!$B$11&amp;":"</f>
        <v>Zpět na:</v>
      </c>
      <c r="N2" s="117"/>
      <c r="O2" s="184" t="str">
        <f>List!$B$22&amp;":"</f>
        <v>Soupis kování:</v>
      </c>
      <c r="P2" s="119"/>
      <c r="Q2" s="119"/>
      <c r="R2" s="119"/>
      <c r="S2" s="119"/>
      <c r="T2" s="119"/>
    </row>
    <row r="3" spans="1:20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List!$B$52&amp;" C,F"</f>
        <v>Čelní výsuv C,F</v>
      </c>
      <c r="L3" s="117"/>
      <c r="M3" s="149" t="str">
        <f>" "&amp;List!$B$13</f>
        <v xml:space="preserve"> Úvod</v>
      </c>
      <c r="N3" s="117"/>
      <c r="O3" s="428" t="str">
        <f>Cen!A597</f>
        <v>Rámečky pro výsuvy, od 270mm, Nebraska/OG-M</v>
      </c>
      <c r="P3" s="428" t="str">
        <f>Cen!B597</f>
        <v>ZC7F300RHU</v>
      </c>
      <c r="Q3" s="428" t="str">
        <f>Cen!C597</f>
        <v>E02G</v>
      </c>
      <c r="R3" s="429">
        <f>H15</f>
        <v>0</v>
      </c>
      <c r="S3" s="430">
        <f>Cen!F597</f>
        <v>1373.89653</v>
      </c>
      <c r="T3" s="430">
        <f>R3*S3</f>
        <v>0</v>
      </c>
    </row>
    <row r="4" spans="1:20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List!$B$53&amp;" C"</f>
        <v>Vnitřní výsuv C</v>
      </c>
      <c r="L4" s="117"/>
      <c r="M4" s="150" t="str">
        <f>" "&amp;List!$B$4</f>
        <v xml:space="preserve"> Výběr zásuvek a výsuvů</v>
      </c>
      <c r="N4" s="117"/>
      <c r="O4" s="431"/>
      <c r="P4" s="431"/>
      <c r="Q4" s="431"/>
      <c r="R4" s="432"/>
      <c r="S4" s="433"/>
      <c r="T4" s="433"/>
    </row>
    <row r="5" spans="1:20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117"/>
      <c r="M5" s="150" t="str">
        <f>" "&amp;List!$B$5</f>
        <v xml:space="preserve"> Výběr doplňků</v>
      </c>
      <c r="N5" s="117"/>
      <c r="O5" s="446"/>
      <c r="P5" s="446"/>
      <c r="Q5" s="446"/>
      <c r="R5" s="447"/>
      <c r="S5" s="448"/>
      <c r="T5" s="448"/>
    </row>
    <row r="6" spans="1:20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List!$B$27&amp;":"</f>
        <v>barva:</v>
      </c>
      <c r="I6" s="119"/>
      <c r="J6" s="119"/>
      <c r="K6" s="243" t="str">
        <f>Form!$R$2</f>
        <v>Nebraska dub/OG-M</v>
      </c>
      <c r="L6" s="117"/>
      <c r="M6" s="150" t="str">
        <f>" "&amp;List!$B$6</f>
        <v xml:space="preserve"> Výběr SERVO-DRIVE</v>
      </c>
      <c r="N6" s="117"/>
      <c r="O6" s="431"/>
      <c r="P6" s="431"/>
      <c r="Q6" s="431"/>
      <c r="R6" s="432"/>
      <c r="S6" s="433"/>
      <c r="T6" s="433"/>
    </row>
    <row r="7" spans="1:20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17"/>
      <c r="M7" s="242" t="str">
        <f>" "&amp;List!$B$7</f>
        <v xml:space="preserve"> Výběr AMBIA-LINE</v>
      </c>
      <c r="N7" s="117"/>
      <c r="O7" s="434"/>
      <c r="P7" s="434"/>
      <c r="Q7" s="434"/>
      <c r="R7" s="435"/>
      <c r="S7" s="436"/>
      <c r="T7" s="436"/>
    </row>
    <row r="8" spans="1:20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T42</f>
        <v>0</v>
      </c>
      <c r="L8" s="117"/>
      <c r="N8" s="117"/>
      <c r="O8" s="124" t="str">
        <f>Cen!A604</f>
        <v>Rámečky pro výsuvy, od 400mm, Nebraska/OG-M</v>
      </c>
      <c r="P8" s="124" t="str">
        <f>Cen!B604</f>
        <v>ZC7F400RHP</v>
      </c>
      <c r="Q8" s="124" t="str">
        <f>Cen!C604</f>
        <v>E02G</v>
      </c>
      <c r="R8" s="327">
        <f>H20</f>
        <v>0</v>
      </c>
      <c r="S8" s="328">
        <f>Cen!F604</f>
        <v>1373.89653</v>
      </c>
      <c r="T8" s="328">
        <f>R8*S8</f>
        <v>0</v>
      </c>
    </row>
    <row r="9" spans="1:20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" t="str">
        <f>List!$B$12&amp;":"</f>
        <v>Pokračovat na:</v>
      </c>
      <c r="N9" s="117"/>
      <c r="O9" s="125"/>
      <c r="P9" s="125"/>
      <c r="Q9" s="125"/>
      <c r="R9" s="257"/>
      <c r="S9" s="258"/>
      <c r="T9" s="258"/>
    </row>
    <row r="10" spans="1:20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202"/>
      <c r="P10" s="202"/>
      <c r="Q10" s="202"/>
      <c r="R10" s="259"/>
      <c r="S10" s="260"/>
      <c r="T10" s="260"/>
    </row>
    <row r="11" spans="1:20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24"/>
      <c r="P11" s="124"/>
      <c r="Q11" s="124"/>
      <c r="R11" s="327"/>
      <c r="S11" s="328"/>
      <c r="T11" s="328"/>
    </row>
    <row r="12" spans="1:20" ht="15.5" x14ac:dyDescent="0.25">
      <c r="A12" s="117"/>
      <c r="B12" s="117"/>
      <c r="C12" s="117"/>
      <c r="D12" s="117"/>
      <c r="E12" s="117"/>
      <c r="F12" s="117"/>
      <c r="G12" s="467" t="str">
        <f>IF(SUM($R$3:$R$10)&gt;0,List!$B$191&amp;"!"," ")</f>
        <v xml:space="preserve"> </v>
      </c>
      <c r="H12" s="117"/>
      <c r="I12" s="286"/>
      <c r="J12" s="286"/>
      <c r="K12" s="286"/>
      <c r="L12" s="117"/>
      <c r="M12" s="117"/>
      <c r="N12" s="117"/>
      <c r="O12" s="120"/>
      <c r="P12" s="120"/>
      <c r="Q12" s="120"/>
      <c r="R12" s="121"/>
      <c r="S12" s="116"/>
      <c r="T12" s="116"/>
    </row>
    <row r="13" spans="1:20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24"/>
      <c r="P13" s="124"/>
      <c r="Q13" s="124"/>
      <c r="R13" s="327"/>
      <c r="S13" s="328"/>
      <c r="T13" s="328"/>
    </row>
    <row r="14" spans="1:20" ht="15.5" x14ac:dyDescent="0.25">
      <c r="A14" s="117"/>
      <c r="B14" s="307" t="str">
        <f>"[1]   "&amp;List!$B$213&amp;" 27mm"</f>
        <v>[1]   Rámečky pro čelní výsuv pro jmenovitu délku od 27mm</v>
      </c>
      <c r="C14" s="7"/>
      <c r="D14" s="7"/>
      <c r="E14" s="7"/>
      <c r="F14" s="7"/>
      <c r="G14" s="7"/>
      <c r="H14" s="285"/>
      <c r="I14" s="285"/>
      <c r="J14" s="285"/>
      <c r="K14" s="285"/>
      <c r="L14" s="117"/>
      <c r="M14" s="117"/>
      <c r="N14" s="117"/>
      <c r="O14" s="125"/>
      <c r="P14" s="125"/>
      <c r="Q14" s="125"/>
      <c r="R14" s="257"/>
      <c r="S14" s="258"/>
      <c r="T14" s="258"/>
    </row>
    <row r="15" spans="1:20" ht="14.5" thickBot="1" x14ac:dyDescent="0.35">
      <c r="A15" s="117"/>
      <c r="B15" s="366"/>
      <c r="C15" s="444" t="str">
        <f>List!$B$75&amp;": 242mm"</f>
        <v>šířka: 242mm</v>
      </c>
      <c r="D15" s="445"/>
      <c r="E15" s="445"/>
      <c r="F15" s="445"/>
      <c r="G15" s="445"/>
      <c r="H15" s="450"/>
      <c r="I15" s="117"/>
      <c r="J15" s="117"/>
      <c r="K15" s="117"/>
      <c r="L15" s="117"/>
      <c r="M15" s="117"/>
      <c r="N15" s="117"/>
      <c r="O15" s="125"/>
      <c r="P15" s="125"/>
      <c r="Q15" s="125"/>
      <c r="R15" s="257"/>
      <c r="S15" s="258"/>
      <c r="T15" s="258"/>
    </row>
    <row r="16" spans="1:20" x14ac:dyDescent="0.25">
      <c r="A16" s="117"/>
      <c r="C16" s="117"/>
      <c r="D16" s="117"/>
      <c r="E16" s="117"/>
      <c r="F16" s="117"/>
      <c r="G16" s="117"/>
      <c r="H16" s="285"/>
      <c r="I16" s="117"/>
      <c r="J16" s="117"/>
      <c r="K16" s="117"/>
      <c r="L16" s="117"/>
      <c r="M16" s="117"/>
      <c r="N16" s="117"/>
      <c r="O16" s="125"/>
      <c r="P16" s="125"/>
      <c r="Q16" s="125"/>
      <c r="R16" s="257"/>
      <c r="S16" s="258"/>
      <c r="T16" s="258"/>
    </row>
    <row r="17" spans="1:20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117"/>
      <c r="M17" s="117"/>
      <c r="N17" s="117"/>
      <c r="O17" s="120"/>
      <c r="P17" s="120"/>
      <c r="Q17" s="120"/>
      <c r="R17" s="121"/>
      <c r="S17" s="116"/>
      <c r="T17" s="116"/>
    </row>
    <row r="18" spans="1:20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117"/>
      <c r="M18" s="117"/>
      <c r="N18" s="117"/>
      <c r="O18" s="120"/>
      <c r="P18" s="120"/>
      <c r="Q18" s="120"/>
      <c r="R18" s="121"/>
      <c r="S18" s="116"/>
      <c r="T18" s="116"/>
    </row>
    <row r="19" spans="1:20" ht="15.5" x14ac:dyDescent="0.25">
      <c r="A19" s="117"/>
      <c r="B19" s="307" t="str">
        <f>"[2]   "&amp;List!$B$213&amp;" 400mm"</f>
        <v>[2]   Rámečky pro čelní výsuv pro jmenovitu délku od 400mm</v>
      </c>
      <c r="C19" s="7"/>
      <c r="D19" s="7"/>
      <c r="E19" s="7"/>
      <c r="F19" s="7"/>
      <c r="G19" s="7"/>
      <c r="H19" s="285"/>
      <c r="I19" s="285"/>
      <c r="J19" s="285"/>
      <c r="K19" s="285"/>
      <c r="L19" s="117"/>
      <c r="M19" s="117"/>
      <c r="N19" s="117"/>
      <c r="O19" s="120"/>
      <c r="P19" s="120"/>
      <c r="Q19" s="120"/>
      <c r="R19" s="121"/>
      <c r="S19" s="116"/>
      <c r="T19" s="116"/>
    </row>
    <row r="20" spans="1:20" ht="14.5" thickBot="1" x14ac:dyDescent="0.35">
      <c r="A20" s="117"/>
      <c r="B20" s="366"/>
      <c r="C20" s="444" t="str">
        <f>List!$B$75&amp;": 218mm"</f>
        <v>šířka: 218mm</v>
      </c>
      <c r="D20" s="445"/>
      <c r="E20" s="445"/>
      <c r="F20" s="445"/>
      <c r="G20" s="445"/>
      <c r="H20" s="450"/>
      <c r="I20" s="117"/>
      <c r="J20" s="117"/>
      <c r="K20" s="117"/>
      <c r="L20" s="117"/>
      <c r="M20" s="117"/>
      <c r="N20" s="117"/>
      <c r="O20" s="120"/>
      <c r="P20" s="120"/>
      <c r="Q20" s="120"/>
      <c r="R20" s="121"/>
      <c r="S20" s="116"/>
      <c r="T20" s="116"/>
    </row>
    <row r="21" spans="1:20" ht="13" x14ac:dyDescent="0.3">
      <c r="A21" s="117"/>
      <c r="B21" s="282"/>
      <c r="C21" s="282"/>
      <c r="D21" s="117"/>
      <c r="E21" s="117"/>
      <c r="F21" s="117"/>
      <c r="G21" s="117"/>
      <c r="H21" s="142"/>
      <c r="I21" s="117"/>
      <c r="J21" s="117"/>
      <c r="K21" s="117"/>
      <c r="L21" s="117"/>
      <c r="M21" s="117"/>
      <c r="N21" s="117"/>
      <c r="O21" s="124"/>
      <c r="P21" s="124"/>
      <c r="Q21" s="124"/>
      <c r="R21" s="327"/>
      <c r="S21" s="124"/>
      <c r="T21" s="328"/>
    </row>
    <row r="22" spans="1:20" ht="13" x14ac:dyDescent="0.3">
      <c r="A22" s="117"/>
      <c r="B22" s="282"/>
      <c r="C22" s="282"/>
      <c r="D22" s="117"/>
      <c r="E22" s="117"/>
      <c r="F22" s="117"/>
      <c r="G22" s="117"/>
      <c r="H22" s="142"/>
      <c r="I22" s="283"/>
      <c r="J22" s="283"/>
      <c r="K22" s="283"/>
      <c r="L22" s="117"/>
      <c r="M22" s="117"/>
      <c r="N22" s="117"/>
      <c r="O22" s="205"/>
      <c r="P22" s="205"/>
      <c r="Q22" s="205"/>
      <c r="R22" s="255"/>
      <c r="S22" s="256"/>
      <c r="T22" s="256"/>
    </row>
    <row r="23" spans="1:20" ht="13" x14ac:dyDescent="0.3">
      <c r="A23" s="117"/>
      <c r="B23" s="282"/>
      <c r="C23" s="282"/>
      <c r="D23" s="117"/>
      <c r="E23" s="117"/>
      <c r="F23" s="117"/>
      <c r="G23" s="117"/>
      <c r="H23" s="142"/>
      <c r="I23" s="142"/>
      <c r="J23" s="117"/>
      <c r="K23" s="117"/>
      <c r="L23" s="117"/>
      <c r="M23" s="117"/>
      <c r="N23" s="117"/>
      <c r="O23" s="205"/>
      <c r="P23" s="205"/>
      <c r="Q23" s="205"/>
      <c r="R23" s="255"/>
      <c r="S23" s="256"/>
      <c r="T23" s="256"/>
    </row>
    <row r="24" spans="1:20" ht="13" x14ac:dyDescent="0.3">
      <c r="A24" s="117"/>
      <c r="B24" s="437"/>
      <c r="C24" s="282"/>
      <c r="H24" s="284"/>
      <c r="I24" s="284"/>
      <c r="J24" s="284"/>
      <c r="K24" s="284"/>
      <c r="L24" s="117"/>
      <c r="M24" s="117"/>
      <c r="N24" s="117"/>
      <c r="O24" s="205"/>
      <c r="P24" s="205"/>
      <c r="Q24" s="205"/>
      <c r="R24" s="255"/>
      <c r="S24" s="256"/>
      <c r="T24" s="256"/>
    </row>
    <row r="25" spans="1:20" ht="13" x14ac:dyDescent="0.3">
      <c r="A25" s="117"/>
      <c r="B25" s="282"/>
      <c r="C25" s="282"/>
      <c r="H25" s="285"/>
      <c r="I25" s="285"/>
      <c r="J25" s="285"/>
      <c r="K25" s="285"/>
      <c r="L25" s="117"/>
      <c r="M25" s="117"/>
      <c r="N25" s="117"/>
      <c r="O25" s="205"/>
      <c r="P25" s="205"/>
      <c r="Q25" s="205"/>
      <c r="R25" s="255"/>
      <c r="S25" s="256"/>
      <c r="T25" s="256"/>
    </row>
    <row r="26" spans="1:20" ht="13" x14ac:dyDescent="0.3">
      <c r="A26" s="117"/>
      <c r="B26" s="449"/>
      <c r="C26" s="282"/>
      <c r="H26" s="283"/>
      <c r="I26" s="283"/>
      <c r="J26" s="283"/>
      <c r="K26" s="283"/>
      <c r="L26" s="117"/>
      <c r="M26" s="117"/>
      <c r="N26" s="117"/>
      <c r="O26" s="356"/>
      <c r="P26" s="356"/>
      <c r="Q26" s="356"/>
      <c r="R26" s="357"/>
      <c r="S26" s="358"/>
      <c r="T26" s="358"/>
    </row>
    <row r="27" spans="1:20" ht="15.5" x14ac:dyDescent="0.3">
      <c r="A27" s="117"/>
      <c r="B27" s="339"/>
      <c r="C27" s="286"/>
      <c r="D27" s="340"/>
      <c r="E27" s="341"/>
      <c r="F27" s="342"/>
      <c r="G27" s="341"/>
      <c r="H27" s="341"/>
      <c r="I27" s="286"/>
      <c r="J27" s="286"/>
      <c r="K27" s="286"/>
      <c r="L27" s="117"/>
      <c r="M27" s="117"/>
      <c r="N27" s="117"/>
      <c r="O27" s="356"/>
      <c r="P27" s="356"/>
      <c r="Q27" s="356"/>
      <c r="R27" s="357"/>
      <c r="S27" s="358"/>
      <c r="T27" s="358"/>
    </row>
    <row r="28" spans="1:20" ht="14" x14ac:dyDescent="0.3">
      <c r="A28" s="117"/>
      <c r="B28" s="343"/>
      <c r="C28" s="286"/>
      <c r="D28" s="344"/>
      <c r="E28" s="290"/>
      <c r="F28" s="290"/>
      <c r="G28" s="290"/>
      <c r="H28" s="290"/>
      <c r="I28" s="284"/>
      <c r="J28" s="284"/>
      <c r="K28" s="284"/>
      <c r="L28" s="117"/>
      <c r="M28" s="117"/>
      <c r="N28" s="117"/>
      <c r="O28" s="356"/>
      <c r="P28" s="356"/>
      <c r="Q28" s="356"/>
      <c r="R28" s="357"/>
      <c r="S28" s="358"/>
      <c r="T28" s="358"/>
    </row>
    <row r="29" spans="1:20" ht="14" x14ac:dyDescent="0.3">
      <c r="A29" s="117"/>
      <c r="B29" s="343"/>
      <c r="C29" s="286"/>
      <c r="D29" s="344"/>
      <c r="E29" s="290"/>
      <c r="F29" s="290"/>
      <c r="G29" s="290"/>
      <c r="H29" s="290"/>
      <c r="I29" s="284"/>
      <c r="J29" s="284"/>
      <c r="K29" s="284"/>
      <c r="L29" s="117"/>
      <c r="M29" s="117"/>
      <c r="N29" s="117"/>
      <c r="O29" s="356"/>
      <c r="P29" s="356"/>
      <c r="Q29" s="356"/>
      <c r="R29" s="357"/>
      <c r="S29" s="358"/>
      <c r="T29" s="358"/>
    </row>
    <row r="30" spans="1:20" ht="14" x14ac:dyDescent="0.3">
      <c r="A30" s="117"/>
      <c r="B30" s="310"/>
      <c r="C30" s="311"/>
      <c r="D30" s="290"/>
      <c r="E30" s="290"/>
      <c r="F30" s="290"/>
      <c r="G30" s="290"/>
      <c r="I30" s="285"/>
      <c r="J30" s="285"/>
      <c r="K30" s="285"/>
      <c r="L30" s="117"/>
      <c r="M30" s="117"/>
      <c r="N30" s="117"/>
      <c r="O30" s="356"/>
      <c r="P30" s="356"/>
      <c r="Q30" s="356"/>
      <c r="R30" s="357"/>
      <c r="S30" s="358"/>
      <c r="T30" s="358"/>
    </row>
    <row r="31" spans="1:20" ht="13" x14ac:dyDescent="0.3">
      <c r="A31" s="117"/>
      <c r="B31" s="282"/>
      <c r="C31" s="282"/>
      <c r="H31" s="283"/>
      <c r="I31" s="283"/>
      <c r="J31" s="283"/>
      <c r="K31" s="283"/>
      <c r="L31" s="117"/>
      <c r="M31" s="117"/>
      <c r="N31" s="117"/>
      <c r="O31" s="356"/>
      <c r="P31" s="356"/>
      <c r="Q31" s="356"/>
      <c r="R31" s="357"/>
      <c r="S31" s="358"/>
      <c r="T31" s="358"/>
    </row>
    <row r="32" spans="1:20" ht="13" x14ac:dyDescent="0.3">
      <c r="A32" s="117"/>
      <c r="B32" s="282"/>
      <c r="C32" s="282"/>
      <c r="H32" s="286"/>
      <c r="I32" s="286"/>
      <c r="J32" s="286"/>
      <c r="K32" s="286"/>
      <c r="L32" s="117"/>
      <c r="M32" s="117"/>
      <c r="N32" s="117"/>
      <c r="O32" s="356"/>
      <c r="P32" s="356"/>
      <c r="Q32" s="356"/>
      <c r="R32" s="357"/>
      <c r="S32" s="358"/>
      <c r="T32" s="358"/>
    </row>
    <row r="33" spans="1:20" x14ac:dyDescent="0.25">
      <c r="A33" s="117"/>
      <c r="L33" s="117"/>
      <c r="O33" s="356"/>
      <c r="P33" s="356"/>
      <c r="Q33" s="356"/>
      <c r="R33" s="357"/>
      <c r="S33" s="358"/>
      <c r="T33" s="358"/>
    </row>
    <row r="34" spans="1:20" x14ac:dyDescent="0.25">
      <c r="O34" s="356"/>
      <c r="P34" s="356"/>
      <c r="Q34" s="356"/>
      <c r="R34" s="357"/>
      <c r="S34" s="358"/>
      <c r="T34" s="358"/>
    </row>
    <row r="35" spans="1:20" x14ac:dyDescent="0.25">
      <c r="O35" s="356"/>
      <c r="P35" s="356"/>
      <c r="Q35" s="356"/>
      <c r="R35" s="357"/>
      <c r="S35" s="358"/>
      <c r="T35" s="358"/>
    </row>
    <row r="36" spans="1:20" x14ac:dyDescent="0.25">
      <c r="O36" s="359"/>
      <c r="P36" s="359"/>
      <c r="Q36" s="359"/>
      <c r="R36" s="360"/>
      <c r="S36" s="361"/>
      <c r="T36" s="358"/>
    </row>
    <row r="37" spans="1:20" x14ac:dyDescent="0.25">
      <c r="O37" s="359"/>
      <c r="P37" s="359"/>
      <c r="Q37" s="359"/>
      <c r="R37" s="360"/>
      <c r="S37" s="361"/>
      <c r="T37" s="361"/>
    </row>
    <row r="38" spans="1:20" x14ac:dyDescent="0.25">
      <c r="O38" s="142"/>
      <c r="P38" s="142"/>
      <c r="Q38" s="142"/>
      <c r="R38" s="148"/>
      <c r="S38" s="152"/>
      <c r="T38" s="152"/>
    </row>
    <row r="39" spans="1:20" x14ac:dyDescent="0.25">
      <c r="O39" s="120"/>
      <c r="P39" s="120"/>
      <c r="Q39" s="120"/>
      <c r="R39" s="121"/>
      <c r="S39" s="116"/>
      <c r="T39" s="116"/>
    </row>
    <row r="40" spans="1:20" x14ac:dyDescent="0.25">
      <c r="O40" s="120"/>
      <c r="P40" s="120"/>
      <c r="Q40" s="120"/>
      <c r="R40" s="121"/>
      <c r="S40" s="116"/>
      <c r="T40" s="116"/>
    </row>
    <row r="41" spans="1:20" x14ac:dyDescent="0.25">
      <c r="O41" s="117"/>
      <c r="P41" s="117"/>
    </row>
    <row r="42" spans="1:20" x14ac:dyDescent="0.25">
      <c r="O42" s="117"/>
      <c r="P42" s="117"/>
      <c r="R42" s="74" t="str">
        <f>List!$B$97</f>
        <v>cena kování</v>
      </c>
      <c r="T42" s="346">
        <f>SUM(T3:T41)</f>
        <v>0</v>
      </c>
    </row>
    <row r="43" spans="1:20" x14ac:dyDescent="0.25">
      <c r="O43" s="117"/>
      <c r="P43" s="117"/>
    </row>
    <row r="44" spans="1:20" x14ac:dyDescent="0.25">
      <c r="O44" s="117"/>
      <c r="P44" s="117"/>
    </row>
    <row r="45" spans="1:20" x14ac:dyDescent="0.25">
      <c r="O45" s="117"/>
      <c r="P45" s="117"/>
    </row>
    <row r="46" spans="1:20" x14ac:dyDescent="0.25">
      <c r="O46" s="117"/>
      <c r="P46" s="117"/>
    </row>
    <row r="47" spans="1:20" x14ac:dyDescent="0.25">
      <c r="O47" s="117"/>
      <c r="P47" s="117"/>
    </row>
    <row r="48" spans="1:20" x14ac:dyDescent="0.25">
      <c r="O48" s="117"/>
      <c r="P48" s="117"/>
    </row>
    <row r="49" spans="15:16" x14ac:dyDescent="0.25">
      <c r="O49" s="117"/>
      <c r="P49" s="117"/>
    </row>
    <row r="50" spans="15:16" x14ac:dyDescent="0.25">
      <c r="O50" s="117"/>
      <c r="P50" s="117"/>
    </row>
  </sheetData>
  <sheetProtection password="CF3A" sheet="1" objects="1" scenarios="1"/>
  <phoneticPr fontId="52" type="noConversion"/>
  <hyperlinks>
    <hyperlink ref="M3" location="Form!A1" tooltip=" " display="Form!A1" xr:uid="{00000000-0004-0000-2500-000000000000}"/>
    <hyperlink ref="M4" location="Menu!A1" tooltip=" " display="Menu!A1" xr:uid="{00000000-0004-0000-2500-000001000000}"/>
    <hyperlink ref="M5" location="Acs!A1" tooltip=" " display="Acs!A1" xr:uid="{00000000-0004-0000-2500-000002000000}"/>
    <hyperlink ref="M6" location="SD!A1" tooltip=" " display="SD!A1" xr:uid="{00000000-0004-0000-2500-000003000000}"/>
    <hyperlink ref="M10" location="Sum!A1" tooltip=" " display="Sum!A1" xr:uid="{00000000-0004-0000-2500-000004000000}"/>
    <hyperlink ref="M11" location="Ord!A1" tooltip=" " display="Ord!A1" xr:uid="{00000000-0004-0000-2500-000005000000}"/>
    <hyperlink ref="M7" location="AL!A1" tooltip=" " display="AL!A1" xr:uid="{00000000-0004-0000-25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99">
    <tabColor indexed="53"/>
  </sheetPr>
  <dimension ref="A1:U51"/>
  <sheetViews>
    <sheetView showGridLines="0" showRowColHeaders="0" workbookViewId="0">
      <selection activeCell="M14" sqref="M14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9.1796875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21" width="9.1796875" style="2" hidden="1" customWidth="1"/>
    <col min="22" max="16384" width="9.1796875" style="2"/>
  </cols>
  <sheetData>
    <row r="1" spans="1:2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1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"&amp;List!$B$154</f>
        <v>AMBIA-LINE - Příčný reling</v>
      </c>
      <c r="L2" s="117"/>
      <c r="M2" s="2" t="str">
        <f>List!$B$11&amp;":"</f>
        <v>Zpět na:</v>
      </c>
      <c r="N2" s="117"/>
      <c r="O2" s="184" t="str">
        <f>List!$B$22&amp;":"</f>
        <v>Soupis kování:</v>
      </c>
      <c r="P2" s="119"/>
      <c r="Q2" s="119"/>
      <c r="R2" s="119"/>
      <c r="S2" s="119"/>
      <c r="T2" s="119"/>
    </row>
    <row r="3" spans="1:21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List!$B$52&amp;" C,F"</f>
        <v>Čelní výsuv C,F</v>
      </c>
      <c r="L3" s="117"/>
      <c r="M3" s="149" t="str">
        <f>" "&amp;List!$B$13</f>
        <v xml:space="preserve"> Úvod</v>
      </c>
      <c r="N3" s="117"/>
      <c r="O3" s="124" t="str">
        <f>Cen!A419</f>
        <v>Příčný reling vnitřní zásuvky, Orion šedá</v>
      </c>
      <c r="P3" s="124" t="str">
        <f>Cen!B419</f>
        <v>ZR7.1080U</v>
      </c>
      <c r="Q3" s="124" t="str">
        <f>Cen!C419</f>
        <v>OG-M</v>
      </c>
      <c r="R3" s="429">
        <f>H15</f>
        <v>0</v>
      </c>
      <c r="S3" s="328">
        <f>Cen!F419</f>
        <v>199.21817999999999</v>
      </c>
      <c r="T3" s="328">
        <f>R3*S3</f>
        <v>0</v>
      </c>
      <c r="U3" s="327">
        <f>IF(Form!$O$2=4,H15,0)</f>
        <v>0</v>
      </c>
    </row>
    <row r="4" spans="1:21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List!$B$53&amp;" C"</f>
        <v>Vnitřní výsuv C</v>
      </c>
      <c r="L4" s="117"/>
      <c r="M4" s="150" t="str">
        <f>" "&amp;List!$B$4</f>
        <v xml:space="preserve"> Výběr zásuvek a výsuvů</v>
      </c>
      <c r="N4" s="117"/>
      <c r="O4" s="125"/>
      <c r="P4" s="125"/>
      <c r="Q4" s="125"/>
      <c r="R4" s="257"/>
      <c r="S4" s="258"/>
      <c r="T4" s="258"/>
    </row>
    <row r="5" spans="1:21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117"/>
      <c r="M5" s="150" t="str">
        <f>" "&amp;List!$B$5</f>
        <v xml:space="preserve"> Výběr doplňků</v>
      </c>
      <c r="N5" s="117"/>
      <c r="O5" s="431"/>
      <c r="P5" s="431"/>
      <c r="Q5" s="431"/>
      <c r="R5" s="432"/>
      <c r="S5" s="433"/>
      <c r="T5" s="433"/>
    </row>
    <row r="6" spans="1:21" ht="13" thickBot="1" x14ac:dyDescent="0.3">
      <c r="A6" s="117"/>
      <c r="B6" s="117"/>
      <c r="C6" s="117"/>
      <c r="D6" s="117"/>
      <c r="E6" s="117"/>
      <c r="F6" s="117"/>
      <c r="G6" s="117"/>
      <c r="H6" s="119" t="str">
        <f>List!$B$43&amp;":"</f>
        <v>barva relingu:</v>
      </c>
      <c r="I6" s="119"/>
      <c r="J6" s="119"/>
      <c r="K6" s="243" t="str">
        <f>Form!$P$2</f>
        <v>Orion šedá (OG-M)</v>
      </c>
      <c r="L6" s="117"/>
      <c r="M6" s="150" t="str">
        <f>" "&amp;List!$B$6</f>
        <v xml:space="preserve"> Výběr SERVO-DRIVE</v>
      </c>
      <c r="N6" s="117"/>
      <c r="O6" s="124" t="str">
        <f>Cen!A520</f>
        <v>Držák příčného relingu pro pure, Orion šedá</v>
      </c>
      <c r="P6" s="124" t="str">
        <f>Cen!B520</f>
        <v>ZC7U10E0</v>
      </c>
      <c r="Q6" s="124" t="str">
        <f>Cen!C520</f>
        <v>OG-M</v>
      </c>
      <c r="R6" s="327">
        <f>H20</f>
        <v>0</v>
      </c>
      <c r="S6" s="328">
        <f>Cen!F520</f>
        <v>61.823700000000002</v>
      </c>
      <c r="T6" s="328">
        <f>R6*S6</f>
        <v>0</v>
      </c>
      <c r="U6" s="327">
        <f>IF(Form!$O$2&gt;2,H20,0)</f>
        <v>0</v>
      </c>
    </row>
    <row r="7" spans="1:21" x14ac:dyDescent="0.25">
      <c r="A7" s="117"/>
      <c r="B7" s="117"/>
      <c r="C7" s="117"/>
      <c r="D7" s="117"/>
      <c r="E7" s="117"/>
      <c r="F7" s="117"/>
      <c r="G7" s="117"/>
      <c r="H7" s="119" t="str">
        <f>List!$B$44&amp;":"</f>
        <v>barva plastových dílů:</v>
      </c>
      <c r="I7" s="119"/>
      <c r="J7" s="119"/>
      <c r="K7" s="243" t="str">
        <f>Form!$X$2</f>
        <v>Orion šedá (OG-M)</v>
      </c>
      <c r="L7" s="117"/>
      <c r="M7" s="242" t="str">
        <f>" "&amp;List!$B$7</f>
        <v xml:space="preserve"> Výběr AMBIA-LINE</v>
      </c>
      <c r="N7" s="117"/>
      <c r="O7" s="125"/>
      <c r="P7" s="125"/>
      <c r="Q7" s="125"/>
      <c r="R7" s="257"/>
      <c r="S7" s="258"/>
      <c r="T7" s="258"/>
    </row>
    <row r="8" spans="1:21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T43</f>
        <v>0</v>
      </c>
      <c r="L8" s="117"/>
      <c r="N8" s="117"/>
      <c r="O8" s="202"/>
      <c r="P8" s="202"/>
      <c r="Q8" s="202"/>
      <c r="R8" s="259"/>
      <c r="S8" s="260"/>
      <c r="T8" s="260"/>
    </row>
    <row r="9" spans="1:21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" t="str">
        <f>List!$B$12&amp;":"</f>
        <v>Pokračovat na:</v>
      </c>
      <c r="N9" s="117"/>
      <c r="O9" s="124" t="str">
        <f>Cen!A524</f>
        <v>Držák příčného relingu pro free, Orion šedá</v>
      </c>
      <c r="P9" s="124" t="str">
        <f>Cen!B524</f>
        <v>ZC7U11E0</v>
      </c>
      <c r="Q9" s="124" t="str">
        <f>Cen!C524</f>
        <v>OG-M</v>
      </c>
      <c r="R9" s="327">
        <f>H21</f>
        <v>0</v>
      </c>
      <c r="S9" s="328">
        <f>Cen!F524</f>
        <v>92.849100000000007</v>
      </c>
      <c r="T9" s="328">
        <f>R9*S9</f>
        <v>0</v>
      </c>
      <c r="U9" s="327">
        <f>IF(Form!$O$2&gt;2,H21,0)</f>
        <v>0</v>
      </c>
    </row>
    <row r="10" spans="1:21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125"/>
      <c r="P10" s="125"/>
      <c r="Q10" s="125"/>
      <c r="R10" s="257"/>
      <c r="S10" s="258"/>
      <c r="T10" s="258"/>
    </row>
    <row r="11" spans="1:21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202"/>
      <c r="P11" s="202"/>
      <c r="Q11" s="202"/>
      <c r="R11" s="259"/>
      <c r="S11" s="260"/>
      <c r="T11" s="260"/>
    </row>
    <row r="12" spans="1:21" ht="15.5" x14ac:dyDescent="0.25">
      <c r="A12" s="117"/>
      <c r="B12" s="117"/>
      <c r="C12" s="117"/>
      <c r="D12" s="117"/>
      <c r="E12" s="117"/>
      <c r="F12" s="117"/>
      <c r="G12" s="467"/>
      <c r="H12" s="117"/>
      <c r="I12" s="286"/>
      <c r="J12" s="286"/>
      <c r="K12" s="286"/>
      <c r="L12" s="117"/>
      <c r="M12" s="117"/>
      <c r="N12" s="117"/>
      <c r="O12" s="124" t="str">
        <f>Cen!A528</f>
        <v>Podélné dělení pro reling, Orion šedá</v>
      </c>
      <c r="P12" s="124" t="str">
        <f>Cen!B528</f>
        <v>ZC7U10F0</v>
      </c>
      <c r="Q12" s="124" t="str">
        <f>Cen!C528</f>
        <v>OG-M</v>
      </c>
      <c r="R12" s="327">
        <f>H25</f>
        <v>0</v>
      </c>
      <c r="S12" s="328">
        <f>Cen!F528</f>
        <v>27.476870000000002</v>
      </c>
      <c r="T12" s="328">
        <f>R12*S12</f>
        <v>0</v>
      </c>
      <c r="U12" s="327">
        <f>IF(Form!$O$2&gt;2,H25,0)</f>
        <v>0</v>
      </c>
    </row>
    <row r="13" spans="1:21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117"/>
      <c r="M13" s="117"/>
      <c r="N13" s="117"/>
      <c r="O13" s="125"/>
      <c r="P13" s="125"/>
      <c r="Q13" s="125"/>
      <c r="R13" s="257"/>
      <c r="S13" s="258"/>
      <c r="T13" s="258"/>
    </row>
    <row r="14" spans="1:21" ht="15.5" x14ac:dyDescent="0.25">
      <c r="A14" s="117"/>
      <c r="B14" s="307" t="str">
        <f>"[1]   "&amp;List!$B$155</f>
        <v>[1]   Příčný reling ke zkrácení</v>
      </c>
      <c r="C14" s="7"/>
      <c r="D14" s="7"/>
      <c r="E14" s="7"/>
      <c r="F14" s="7"/>
      <c r="G14" s="7"/>
      <c r="H14" s="285"/>
      <c r="I14" s="285"/>
      <c r="J14" s="285"/>
      <c r="K14" s="285"/>
      <c r="L14" s="117"/>
      <c r="M14" s="117"/>
      <c r="N14" s="117"/>
      <c r="O14" s="202"/>
      <c r="P14" s="202"/>
      <c r="Q14" s="202"/>
      <c r="R14" s="259"/>
      <c r="S14" s="260"/>
      <c r="T14" s="260"/>
    </row>
    <row r="15" spans="1:21" ht="14.5" thickBot="1" x14ac:dyDescent="0.35">
      <c r="A15" s="117"/>
      <c r="B15" s="366"/>
      <c r="C15" s="444" t="str">
        <f>List!$B$77&amp;": 1080 mm"</f>
        <v>délka: 1080 mm</v>
      </c>
      <c r="D15" s="445"/>
      <c r="E15" s="445"/>
      <c r="F15" s="445"/>
      <c r="G15" s="445"/>
      <c r="H15" s="450"/>
      <c r="I15" s="117"/>
      <c r="J15" s="117"/>
      <c r="K15" s="117"/>
      <c r="L15" s="117"/>
      <c r="M15" s="117"/>
      <c r="N15" s="117"/>
      <c r="O15" s="125"/>
      <c r="P15" s="125"/>
      <c r="Q15" s="125"/>
      <c r="R15" s="257"/>
      <c r="S15" s="258"/>
      <c r="T15" s="258"/>
    </row>
    <row r="16" spans="1:21" x14ac:dyDescent="0.25">
      <c r="A16" s="117"/>
      <c r="C16" s="117"/>
      <c r="D16" s="117"/>
      <c r="E16" s="117"/>
      <c r="F16" s="117"/>
      <c r="G16" s="117"/>
      <c r="H16" s="285"/>
      <c r="I16" s="117"/>
      <c r="J16" s="117"/>
      <c r="K16" s="117"/>
      <c r="L16" s="117"/>
      <c r="M16" s="117"/>
      <c r="N16" s="117"/>
      <c r="O16" s="125"/>
      <c r="P16" s="125"/>
      <c r="Q16" s="125"/>
      <c r="R16" s="257"/>
      <c r="S16" s="258"/>
      <c r="T16" s="258"/>
    </row>
    <row r="17" spans="1:20" x14ac:dyDescent="0.25">
      <c r="A17" s="117"/>
      <c r="C17" s="117"/>
      <c r="D17" s="117"/>
      <c r="E17" s="117"/>
      <c r="F17" s="117"/>
      <c r="G17" s="117"/>
      <c r="H17" s="285"/>
      <c r="I17" s="285"/>
      <c r="J17" s="285"/>
      <c r="K17" s="285"/>
      <c r="L17" s="117"/>
      <c r="M17" s="117"/>
      <c r="N17" s="117"/>
      <c r="O17" s="125"/>
      <c r="P17" s="125"/>
      <c r="Q17" s="125"/>
      <c r="R17" s="257"/>
      <c r="S17" s="258"/>
      <c r="T17" s="258"/>
    </row>
    <row r="18" spans="1:20" x14ac:dyDescent="0.25">
      <c r="A18" s="117"/>
      <c r="C18" s="117"/>
      <c r="D18" s="117"/>
      <c r="E18" s="117"/>
      <c r="F18" s="117"/>
      <c r="G18" s="117"/>
      <c r="H18" s="285"/>
      <c r="I18" s="285"/>
      <c r="J18" s="285"/>
      <c r="K18" s="285"/>
      <c r="L18" s="117"/>
      <c r="M18" s="117"/>
      <c r="N18" s="117"/>
      <c r="O18" s="120"/>
      <c r="P18" s="120"/>
      <c r="Q18" s="120"/>
      <c r="R18" s="121"/>
      <c r="S18" s="116"/>
      <c r="T18" s="116"/>
    </row>
    <row r="19" spans="1:20" ht="15.5" x14ac:dyDescent="0.25">
      <c r="A19" s="117"/>
      <c r="B19" s="307" t="str">
        <f>"[2]   "&amp;List!$B$156</f>
        <v>[2]   Držák příčného relingu</v>
      </c>
      <c r="C19" s="7"/>
      <c r="D19" s="7"/>
      <c r="E19" s="7"/>
      <c r="F19" s="7"/>
      <c r="G19" s="7"/>
      <c r="H19" s="285"/>
      <c r="I19" s="285"/>
      <c r="J19" s="285"/>
      <c r="K19" s="285"/>
      <c r="L19" s="117"/>
      <c r="M19" s="117"/>
      <c r="N19" s="117"/>
      <c r="O19" s="120"/>
      <c r="P19" s="120"/>
      <c r="Q19" s="120"/>
      <c r="R19" s="121"/>
      <c r="S19" s="116"/>
      <c r="T19" s="116"/>
    </row>
    <row r="20" spans="1:20" ht="14.5" thickBot="1" x14ac:dyDescent="0.35">
      <c r="A20" s="117"/>
      <c r="B20" s="366"/>
      <c r="C20" s="444" t="s">
        <v>918</v>
      </c>
      <c r="D20" s="445"/>
      <c r="E20" s="445"/>
      <c r="F20" s="445"/>
      <c r="G20" s="445"/>
      <c r="H20" s="450"/>
      <c r="I20" s="117"/>
      <c r="J20" s="117"/>
      <c r="K20" s="117"/>
      <c r="L20" s="117"/>
      <c r="M20" s="117"/>
      <c r="N20" s="117"/>
      <c r="O20" s="120"/>
      <c r="P20" s="120"/>
      <c r="Q20" s="120"/>
      <c r="R20" s="121"/>
      <c r="S20" s="116"/>
      <c r="T20" s="116"/>
    </row>
    <row r="21" spans="1:20" ht="14" x14ac:dyDescent="0.3">
      <c r="A21" s="117"/>
      <c r="B21" s="366"/>
      <c r="C21" s="444" t="s">
        <v>1005</v>
      </c>
      <c r="D21" s="445"/>
      <c r="E21" s="445"/>
      <c r="F21" s="445"/>
      <c r="G21" s="445"/>
      <c r="H21" s="477"/>
      <c r="I21" s="117"/>
      <c r="J21" s="117"/>
      <c r="K21" s="117"/>
      <c r="L21" s="117"/>
      <c r="M21" s="117"/>
      <c r="N21" s="117"/>
      <c r="O21" s="120"/>
      <c r="P21" s="120"/>
      <c r="Q21" s="120"/>
      <c r="R21" s="121"/>
      <c r="S21" s="116"/>
      <c r="T21" s="116"/>
    </row>
    <row r="22" spans="1:20" ht="13" x14ac:dyDescent="0.3">
      <c r="A22" s="117"/>
      <c r="B22" s="282"/>
      <c r="C22" s="282"/>
      <c r="D22" s="117"/>
      <c r="E22" s="117"/>
      <c r="F22" s="117"/>
      <c r="G22" s="117"/>
      <c r="H22" s="142"/>
      <c r="I22" s="283"/>
      <c r="J22" s="283"/>
      <c r="K22" s="283"/>
      <c r="L22" s="117"/>
      <c r="M22" s="117"/>
      <c r="N22" s="117"/>
      <c r="O22" s="124"/>
      <c r="P22" s="124"/>
      <c r="Q22" s="124"/>
      <c r="R22" s="327"/>
      <c r="S22" s="124"/>
      <c r="T22" s="328"/>
    </row>
    <row r="23" spans="1:20" ht="13" x14ac:dyDescent="0.3">
      <c r="A23" s="117"/>
      <c r="B23" s="282"/>
      <c r="C23" s="282"/>
      <c r="D23" s="117"/>
      <c r="E23" s="117"/>
      <c r="F23" s="117"/>
      <c r="G23" s="117"/>
      <c r="H23" s="142"/>
      <c r="I23" s="142"/>
      <c r="J23" s="117"/>
      <c r="K23" s="117"/>
      <c r="L23" s="117"/>
      <c r="M23" s="117"/>
      <c r="N23" s="117"/>
      <c r="O23" s="205"/>
      <c r="P23" s="205"/>
      <c r="Q23" s="205"/>
      <c r="R23" s="255"/>
      <c r="S23" s="256"/>
      <c r="T23" s="256"/>
    </row>
    <row r="24" spans="1:20" ht="15.5" x14ac:dyDescent="0.3">
      <c r="A24" s="117"/>
      <c r="B24" s="307" t="str">
        <f>"[3]   "&amp;List!$B$157</f>
        <v>[3]   Podélné dělení pro reling</v>
      </c>
      <c r="C24" s="7"/>
      <c r="D24" s="7"/>
      <c r="E24" s="7"/>
      <c r="F24" s="7"/>
      <c r="G24" s="7"/>
      <c r="H24" s="285"/>
      <c r="I24" s="284"/>
      <c r="J24" s="284"/>
      <c r="K24" s="284"/>
      <c r="L24" s="117"/>
      <c r="M24" s="117"/>
      <c r="N24" s="117"/>
      <c r="O24" s="205"/>
      <c r="P24" s="205"/>
      <c r="Q24" s="205"/>
      <c r="R24" s="255"/>
      <c r="S24" s="256"/>
      <c r="T24" s="256"/>
    </row>
    <row r="25" spans="1:20" ht="14.5" thickBot="1" x14ac:dyDescent="0.35">
      <c r="A25" s="117"/>
      <c r="B25" s="366"/>
      <c r="C25" s="444" t="str">
        <f>List!$B$77&amp;": 84 mm"</f>
        <v>délka: 84 mm</v>
      </c>
      <c r="D25" s="445"/>
      <c r="E25" s="445"/>
      <c r="F25" s="445"/>
      <c r="G25" s="445"/>
      <c r="H25" s="450"/>
      <c r="I25" s="285"/>
      <c r="J25" s="285"/>
      <c r="K25" s="285"/>
      <c r="L25" s="117"/>
      <c r="M25" s="117"/>
      <c r="N25" s="117"/>
      <c r="O25" s="205"/>
      <c r="P25" s="205"/>
      <c r="Q25" s="205"/>
      <c r="R25" s="255"/>
      <c r="S25" s="256"/>
      <c r="T25" s="256"/>
    </row>
    <row r="26" spans="1:20" ht="13" x14ac:dyDescent="0.3">
      <c r="A26" s="117"/>
      <c r="B26" s="449"/>
      <c r="C26" s="282"/>
      <c r="H26" s="283"/>
      <c r="I26" s="283"/>
      <c r="J26" s="283"/>
      <c r="K26" s="283"/>
      <c r="L26" s="117"/>
      <c r="M26" s="117"/>
      <c r="N26" s="117"/>
      <c r="O26" s="205"/>
      <c r="P26" s="205"/>
      <c r="Q26" s="205"/>
      <c r="R26" s="255"/>
      <c r="S26" s="256"/>
      <c r="T26" s="256"/>
    </row>
    <row r="27" spans="1:20" ht="15.5" x14ac:dyDescent="0.3">
      <c r="A27" s="117"/>
      <c r="B27" s="339"/>
      <c r="C27" s="286"/>
      <c r="D27" s="340"/>
      <c r="E27" s="341"/>
      <c r="F27" s="342"/>
      <c r="G27" s="341"/>
      <c r="H27" s="341"/>
      <c r="I27" s="286"/>
      <c r="J27" s="286"/>
      <c r="K27" s="286"/>
      <c r="L27" s="117"/>
      <c r="M27" s="117"/>
      <c r="N27" s="117"/>
      <c r="O27" s="356"/>
      <c r="P27" s="356"/>
      <c r="Q27" s="356"/>
      <c r="R27" s="357"/>
      <c r="S27" s="358"/>
      <c r="T27" s="358"/>
    </row>
    <row r="28" spans="1:20" ht="14" x14ac:dyDescent="0.3">
      <c r="A28" s="117"/>
      <c r="B28" s="343"/>
      <c r="C28" s="286"/>
      <c r="D28" s="344"/>
      <c r="E28" s="290"/>
      <c r="F28" s="290"/>
      <c r="G28" s="290"/>
      <c r="H28" s="290"/>
      <c r="I28" s="284"/>
      <c r="J28" s="284"/>
      <c r="K28" s="284"/>
      <c r="L28" s="117"/>
      <c r="M28" s="117"/>
      <c r="N28" s="117"/>
      <c r="O28" s="356"/>
      <c r="P28" s="356"/>
      <c r="Q28" s="356"/>
      <c r="R28" s="357"/>
      <c r="S28" s="358"/>
      <c r="T28" s="358"/>
    </row>
    <row r="29" spans="1:20" ht="14" x14ac:dyDescent="0.3">
      <c r="A29" s="117"/>
      <c r="B29" s="343"/>
      <c r="C29" s="286"/>
      <c r="D29" s="344"/>
      <c r="E29" s="290"/>
      <c r="F29" s="290"/>
      <c r="G29" s="290"/>
      <c r="H29" s="290"/>
      <c r="I29" s="284"/>
      <c r="J29" s="284"/>
      <c r="K29" s="284"/>
      <c r="L29" s="117"/>
      <c r="M29" s="117"/>
      <c r="N29" s="117"/>
      <c r="O29" s="356"/>
      <c r="P29" s="356"/>
      <c r="Q29" s="356"/>
      <c r="R29" s="357"/>
      <c r="S29" s="358"/>
      <c r="T29" s="358"/>
    </row>
    <row r="30" spans="1:20" ht="14" x14ac:dyDescent="0.3">
      <c r="A30" s="117"/>
      <c r="B30" s="310"/>
      <c r="C30" s="311"/>
      <c r="D30" s="290"/>
      <c r="E30" s="290"/>
      <c r="F30" s="290"/>
      <c r="G30" s="290"/>
      <c r="I30" s="285"/>
      <c r="J30" s="285"/>
      <c r="K30" s="285"/>
      <c r="L30" s="117"/>
      <c r="M30" s="117"/>
      <c r="N30" s="117"/>
      <c r="O30" s="356"/>
      <c r="P30" s="356"/>
      <c r="Q30" s="356"/>
      <c r="R30" s="357"/>
      <c r="S30" s="358"/>
      <c r="T30" s="358"/>
    </row>
    <row r="31" spans="1:20" ht="13" x14ac:dyDescent="0.3">
      <c r="A31" s="117"/>
      <c r="B31" s="282"/>
      <c r="C31" s="282"/>
      <c r="H31" s="283"/>
      <c r="I31" s="283"/>
      <c r="J31" s="283"/>
      <c r="K31" s="283"/>
      <c r="L31" s="117"/>
      <c r="M31" s="117"/>
      <c r="N31" s="117"/>
      <c r="O31" s="356"/>
      <c r="P31" s="356"/>
      <c r="Q31" s="356"/>
      <c r="R31" s="357"/>
      <c r="S31" s="358"/>
      <c r="T31" s="358"/>
    </row>
    <row r="32" spans="1:20" ht="13" x14ac:dyDescent="0.3">
      <c r="A32" s="117"/>
      <c r="B32" s="282"/>
      <c r="C32" s="282"/>
      <c r="H32" s="286"/>
      <c r="I32" s="286"/>
      <c r="J32" s="286"/>
      <c r="K32" s="286"/>
      <c r="L32" s="117"/>
      <c r="M32" s="117"/>
      <c r="N32" s="117"/>
      <c r="O32" s="356"/>
      <c r="P32" s="356"/>
      <c r="Q32" s="356"/>
      <c r="R32" s="357"/>
      <c r="S32" s="358"/>
      <c r="T32" s="358"/>
    </row>
    <row r="33" spans="1:20" x14ac:dyDescent="0.25">
      <c r="A33" s="117"/>
      <c r="L33" s="117"/>
      <c r="O33" s="356"/>
      <c r="P33" s="356"/>
      <c r="Q33" s="356"/>
      <c r="R33" s="357"/>
      <c r="S33" s="358"/>
      <c r="T33" s="358"/>
    </row>
    <row r="34" spans="1:20" x14ac:dyDescent="0.25">
      <c r="O34" s="356"/>
      <c r="P34" s="356"/>
      <c r="Q34" s="356"/>
      <c r="R34" s="357"/>
      <c r="S34" s="358"/>
      <c r="T34" s="358"/>
    </row>
    <row r="35" spans="1:20" x14ac:dyDescent="0.25">
      <c r="O35" s="356"/>
      <c r="P35" s="356"/>
      <c r="Q35" s="356"/>
      <c r="R35" s="357"/>
      <c r="S35" s="358"/>
      <c r="T35" s="358"/>
    </row>
    <row r="36" spans="1:20" x14ac:dyDescent="0.25">
      <c r="O36" s="356"/>
      <c r="P36" s="356"/>
      <c r="Q36" s="356"/>
      <c r="R36" s="357"/>
      <c r="S36" s="358"/>
      <c r="T36" s="358"/>
    </row>
    <row r="37" spans="1:20" x14ac:dyDescent="0.25">
      <c r="O37" s="359"/>
      <c r="P37" s="359"/>
      <c r="Q37" s="359"/>
      <c r="R37" s="360"/>
      <c r="S37" s="361"/>
      <c r="T37" s="358"/>
    </row>
    <row r="38" spans="1:20" x14ac:dyDescent="0.25">
      <c r="O38" s="359"/>
      <c r="P38" s="359"/>
      <c r="Q38" s="359"/>
      <c r="R38" s="360"/>
      <c r="S38" s="361"/>
      <c r="T38" s="361"/>
    </row>
    <row r="39" spans="1:20" x14ac:dyDescent="0.25">
      <c r="O39" s="142"/>
      <c r="P39" s="142"/>
      <c r="Q39" s="142"/>
      <c r="R39" s="148"/>
      <c r="S39" s="152"/>
      <c r="T39" s="152"/>
    </row>
    <row r="40" spans="1:20" x14ac:dyDescent="0.25">
      <c r="O40" s="120"/>
      <c r="P40" s="120"/>
      <c r="Q40" s="120"/>
      <c r="R40" s="121"/>
      <c r="S40" s="116"/>
      <c r="T40" s="116"/>
    </row>
    <row r="41" spans="1:20" x14ac:dyDescent="0.25">
      <c r="O41" s="120"/>
      <c r="P41" s="120"/>
      <c r="Q41" s="120"/>
      <c r="R41" s="121"/>
      <c r="S41" s="116"/>
      <c r="T41" s="116"/>
    </row>
    <row r="42" spans="1:20" x14ac:dyDescent="0.25">
      <c r="O42" s="117"/>
      <c r="P42" s="117"/>
    </row>
    <row r="43" spans="1:20" x14ac:dyDescent="0.25">
      <c r="O43" s="117"/>
      <c r="P43" s="117"/>
      <c r="R43" s="74" t="str">
        <f>List!$B$97</f>
        <v>cena kování</v>
      </c>
      <c r="T43" s="346">
        <f>SUM(T3:T42)</f>
        <v>0</v>
      </c>
    </row>
    <row r="44" spans="1:20" x14ac:dyDescent="0.25">
      <c r="O44" s="117"/>
      <c r="P44" s="117"/>
    </row>
    <row r="45" spans="1:20" x14ac:dyDescent="0.25">
      <c r="O45" s="117"/>
      <c r="P45" s="117"/>
    </row>
    <row r="46" spans="1:20" x14ac:dyDescent="0.25">
      <c r="O46" s="117"/>
      <c r="P46" s="117"/>
    </row>
    <row r="47" spans="1:20" x14ac:dyDescent="0.25">
      <c r="O47" s="117"/>
      <c r="P47" s="117"/>
    </row>
    <row r="48" spans="1:20" x14ac:dyDescent="0.25">
      <c r="O48" s="117"/>
      <c r="P48" s="117"/>
    </row>
    <row r="49" spans="15:16" x14ac:dyDescent="0.25">
      <c r="O49" s="117"/>
      <c r="P49" s="117"/>
    </row>
    <row r="50" spans="15:16" x14ac:dyDescent="0.25">
      <c r="O50" s="117"/>
      <c r="P50" s="117"/>
    </row>
    <row r="51" spans="15:16" x14ac:dyDescent="0.25">
      <c r="O51" s="117"/>
      <c r="P51" s="117"/>
    </row>
  </sheetData>
  <sheetProtection algorithmName="SHA-512" hashValue="QdiT1mxfZN2B5qAkJxU7hSFN5K40pZBK7ANBAi7F94ym32EiTSDJsmJwdDcScQJBo8dZrH/n7OkQtFmEo15gDg==" saltValue="eJIBG4LgZN7LMwhBzAmanA==" spinCount="100000" sheet="1" objects="1" scenarios="1"/>
  <hyperlinks>
    <hyperlink ref="M3" location="Form!A1" tooltip=" " display="Form!A1" xr:uid="{00000000-0004-0000-2600-000000000000}"/>
    <hyperlink ref="M4" location="Menu!A1" tooltip=" " display="Menu!A1" xr:uid="{00000000-0004-0000-2600-000001000000}"/>
    <hyperlink ref="M5" location="Acs!A1" tooltip=" " display="Acs!A1" xr:uid="{00000000-0004-0000-2600-000002000000}"/>
    <hyperlink ref="M6" location="SD!A1" tooltip=" " display="SD!A1" xr:uid="{00000000-0004-0000-2600-000003000000}"/>
    <hyperlink ref="M10" location="Sum!A1" tooltip=" " display="Sum!A1" xr:uid="{00000000-0004-0000-2600-000004000000}"/>
    <hyperlink ref="M11" location="Ord!A1" tooltip=" " display="Ord!A1" xr:uid="{00000000-0004-0000-2600-000005000000}"/>
    <hyperlink ref="M7" location="AL!A1" tooltip=" " display="AL!A1" xr:uid="{00000000-0004-0000-26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indexed="22"/>
  </sheetPr>
  <dimension ref="A1:Y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3" width="9.26953125" style="2" customWidth="1"/>
    <col min="4" max="12" width="10" style="2" customWidth="1"/>
    <col min="13" max="13" width="5.7265625" style="2" customWidth="1"/>
    <col min="14" max="14" width="25.7265625" style="2" customWidth="1"/>
    <col min="15" max="15" width="9" style="2" hidden="1" customWidth="1"/>
    <col min="16" max="16" width="47.26953125" style="2" hidden="1" customWidth="1"/>
    <col min="17" max="17" width="11.54296875" style="2" hidden="1" customWidth="1"/>
    <col min="18" max="20" width="9.1796875" style="2" hidden="1" customWidth="1"/>
    <col min="21" max="21" width="14" style="2" hidden="1" customWidth="1"/>
    <col min="22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806" t="s">
        <v>1417</v>
      </c>
    </row>
    <row r="2" spans="1:25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List!$B$50&amp;" M"</f>
        <v>Zásuvka M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Cen!$A31</f>
        <v>Bočnice M 270mm, Orion šedá</v>
      </c>
      <c r="Q3" s="125" t="str">
        <f>Cen!$B31</f>
        <v>770M2702S</v>
      </c>
      <c r="R3" s="125" t="str">
        <f>Cen!$C31</f>
        <v>OG-M</v>
      </c>
      <c r="S3" s="257">
        <f>SUM(D20,D25,D30)</f>
        <v>0</v>
      </c>
      <c r="T3" s="261">
        <f>Cen!$F31</f>
        <v>588.26232000000005</v>
      </c>
      <c r="U3" s="258">
        <f t="shared" ref="U3:U10" si="0">S3*T3</f>
        <v>0</v>
      </c>
      <c r="W3" s="798">
        <f>Form!$R$14</f>
        <v>1</v>
      </c>
      <c r="Y3" s="796"/>
    </row>
    <row r="4" spans="1:25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171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Cen!$A36</f>
        <v>Bočnice M 300mm, Orion šedá</v>
      </c>
      <c r="Q4" s="125" t="str">
        <f>Cen!$B36</f>
        <v>770M3002S</v>
      </c>
      <c r="R4" s="125" t="str">
        <f>Cen!$C36</f>
        <v>OG-M</v>
      </c>
      <c r="S4" s="257">
        <f>SUM(E20,E25,E30)</f>
        <v>0</v>
      </c>
      <c r="T4" s="261">
        <f>Cen!$F36</f>
        <v>588.26232000000005</v>
      </c>
      <c r="U4" s="258">
        <f t="shared" si="0"/>
        <v>0</v>
      </c>
      <c r="W4" s="2" t="s">
        <v>1399</v>
      </c>
    </row>
    <row r="5" spans="1:25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Cen!$A41</f>
        <v>Bočnice M 350mm, Orion šedá</v>
      </c>
      <c r="Q5" s="125" t="str">
        <f>Cen!$B41</f>
        <v>770M3502S</v>
      </c>
      <c r="R5" s="125" t="str">
        <f>Cen!$C41</f>
        <v>OG-M</v>
      </c>
      <c r="S5" s="257">
        <f>SUM(F20,F25,F30)</f>
        <v>0</v>
      </c>
      <c r="T5" s="261">
        <f>Cen!$F41</f>
        <v>588.26232000000005</v>
      </c>
      <c r="U5" s="258">
        <f t="shared" si="0"/>
        <v>0</v>
      </c>
    </row>
    <row r="6" spans="1:25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125" t="str">
        <f>Cen!$A46</f>
        <v>Bočnice M 400mm, Orion šedá</v>
      </c>
      <c r="Q6" s="125" t="str">
        <f>Cen!$B46</f>
        <v>770M4002S</v>
      </c>
      <c r="R6" s="125" t="str">
        <f>Cen!$C46</f>
        <v>OG-M</v>
      </c>
      <c r="S6" s="257">
        <f>SUM(G20,G25,G30)</f>
        <v>0</v>
      </c>
      <c r="T6" s="261">
        <f>Cen!$F46</f>
        <v>595.32592999999997</v>
      </c>
      <c r="U6" s="258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Cen!$A51</f>
        <v>Bočnice M 450mm, Orion šedá</v>
      </c>
      <c r="Q7" s="125" t="str">
        <f>Cen!$B51</f>
        <v>770M4502S</v>
      </c>
      <c r="R7" s="125" t="str">
        <f>Cen!$C51</f>
        <v>OG-M</v>
      </c>
      <c r="S7" s="257">
        <f>SUM(H20:H21,H25:H26,H30:H31)</f>
        <v>0</v>
      </c>
      <c r="T7" s="261">
        <f>Cen!$F51</f>
        <v>588.37465999999995</v>
      </c>
      <c r="U7" s="258">
        <f t="shared" si="0"/>
        <v>0</v>
      </c>
    </row>
    <row r="8" spans="1:25" ht="13.5" thickBot="1" x14ac:dyDescent="0.35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333" t="str">
        <f>Cen!$A56</f>
        <v>Bočnice M 500mm, Orion šedá</v>
      </c>
      <c r="Q8" s="333" t="str">
        <f>Cen!$B56</f>
        <v>770M5002S</v>
      </c>
      <c r="R8" s="333" t="str">
        <f>Cen!$C56</f>
        <v>OG-M</v>
      </c>
      <c r="S8" s="257">
        <f>SUM(I20:I21,I25:I26,I30:I31)</f>
        <v>0</v>
      </c>
      <c r="T8" s="334">
        <f>Cen!$F56</f>
        <v>595.274</v>
      </c>
      <c r="U8" s="335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440">
        <f>U67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Cen!$A61</f>
        <v>Bočnice M 550mm, Orion šedá</v>
      </c>
      <c r="Q9" s="125" t="str">
        <f>Cen!$B61</f>
        <v>770M5502S</v>
      </c>
      <c r="R9" s="125" t="str">
        <f>Cen!$C61</f>
        <v>OG-M</v>
      </c>
      <c r="S9" s="257">
        <f>SUM(J20:J21,J25:J26,J30:J31)</f>
        <v>0</v>
      </c>
      <c r="T9" s="261">
        <f>Cen!$F61</f>
        <v>665.94478000000004</v>
      </c>
      <c r="U9" s="258">
        <f t="shared" si="0"/>
        <v>0</v>
      </c>
    </row>
    <row r="10" spans="1:25" ht="13.5" thickBot="1" x14ac:dyDescent="0.3">
      <c r="A10" s="117"/>
      <c r="B10" s="117"/>
      <c r="C10" s="117"/>
      <c r="D10" s="117"/>
      <c r="E10" s="117"/>
      <c r="F10" s="117"/>
      <c r="G10" s="117"/>
      <c r="H10" s="117"/>
      <c r="I10" s="8"/>
      <c r="J10" s="117"/>
      <c r="K10" s="117"/>
      <c r="L10" s="117"/>
      <c r="M10" s="117"/>
      <c r="N10" s="150" t="str">
        <f>" "&amp;List!$B$18</f>
        <v xml:space="preserve"> Souhrn</v>
      </c>
      <c r="O10" s="117"/>
      <c r="P10" s="125" t="str">
        <f>Cen!$A66</f>
        <v>Bočnice M 600mm, Orion šedá</v>
      </c>
      <c r="Q10" s="125" t="str">
        <f>Cen!$B66</f>
        <v>770M6002S</v>
      </c>
      <c r="R10" s="125" t="str">
        <f>Cen!$C66</f>
        <v>OG-M</v>
      </c>
      <c r="S10" s="257">
        <f>SUM(K20:K21,K25:K26,K30:K31)</f>
        <v>0</v>
      </c>
      <c r="T10" s="261">
        <f>Cen!$F66</f>
        <v>754.21731</v>
      </c>
      <c r="U10" s="258">
        <f t="shared" si="0"/>
        <v>0</v>
      </c>
    </row>
    <row r="11" spans="1:25" x14ac:dyDescent="0.25">
      <c r="A11" s="117"/>
      <c r="B11" s="117"/>
      <c r="C11" s="117"/>
      <c r="D11" s="117"/>
      <c r="E11" s="117"/>
      <c r="F11" s="117"/>
      <c r="G11" s="117"/>
      <c r="H11" s="331"/>
      <c r="I11" s="331"/>
      <c r="J11" s="332"/>
      <c r="K11" s="332"/>
      <c r="L11" s="332"/>
      <c r="M11" s="117"/>
      <c r="N11" s="150" t="str">
        <f>" "&amp;List!$B$20</f>
        <v xml:space="preserve"> Objednávka</v>
      </c>
      <c r="O11" s="117"/>
      <c r="P11" s="125" t="str">
        <f>Cen!$A71</f>
        <v>Bočnice M 650mm, Orion šedá</v>
      </c>
      <c r="Q11" s="125" t="str">
        <f>Cen!$B71</f>
        <v>770M6502S</v>
      </c>
      <c r="R11" s="125" t="str">
        <f>Cen!$C71</f>
        <v>OG-M</v>
      </c>
      <c r="S11" s="257">
        <f>SUM(L21,L26,L31)</f>
        <v>0</v>
      </c>
      <c r="T11" s="261">
        <f>Cen!$F71</f>
        <v>787.42313999999999</v>
      </c>
      <c r="U11" s="258">
        <f>S11*T11</f>
        <v>0</v>
      </c>
    </row>
    <row r="12" spans="1:25" ht="13" x14ac:dyDescent="0.25">
      <c r="A12" s="117"/>
      <c r="B12" s="117"/>
      <c r="C12" s="117"/>
      <c r="D12" s="117"/>
      <c r="E12" s="117"/>
      <c r="F12" s="117"/>
      <c r="G12" s="117"/>
      <c r="H12" s="226"/>
      <c r="I12" s="226"/>
      <c r="J12" s="226"/>
      <c r="K12" s="226"/>
      <c r="L12" s="22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5" x14ac:dyDescent="0.25">
      <c r="A13" s="117"/>
      <c r="B13" s="117"/>
      <c r="C13" s="117"/>
      <c r="D13" s="117"/>
      <c r="E13" s="117"/>
      <c r="F13" s="117"/>
      <c r="G13" s="117"/>
      <c r="H13" s="285"/>
      <c r="I13" s="285"/>
      <c r="J13" s="285"/>
      <c r="K13" s="285"/>
      <c r="L13" s="285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D$30)</f>
        <v>0</v>
      </c>
      <c r="T13" s="256">
        <f>Cen!F241</f>
        <v>695.93676999999991</v>
      </c>
      <c r="U13" s="256">
        <f t="shared" ref="U13:U65" si="1">S13*T13</f>
        <v>0</v>
      </c>
    </row>
    <row r="14" spans="1:25" ht="13" x14ac:dyDescent="0.3">
      <c r="A14" s="117"/>
      <c r="B14" s="117"/>
      <c r="C14" s="117"/>
      <c r="D14" s="117"/>
      <c r="E14" s="117"/>
      <c r="F14" s="117"/>
      <c r="G14" s="117"/>
      <c r="H14" s="283"/>
      <c r="I14" s="283"/>
      <c r="J14" s="283"/>
      <c r="K14" s="283"/>
      <c r="L14" s="283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E$30)</f>
        <v>0</v>
      </c>
      <c r="T14" s="256">
        <f>Cen!F242</f>
        <v>695.93676999999991</v>
      </c>
      <c r="U14" s="256">
        <f t="shared" si="1"/>
        <v>0</v>
      </c>
    </row>
    <row r="15" spans="1:25" x14ac:dyDescent="0.25">
      <c r="A15" s="117"/>
      <c r="B15" s="117"/>
      <c r="C15" s="117"/>
      <c r="D15" s="117"/>
      <c r="E15" s="117"/>
      <c r="F15" s="117"/>
      <c r="G15" s="117"/>
      <c r="H15" s="330"/>
      <c r="I15" s="330"/>
      <c r="J15" s="330"/>
      <c r="K15" s="330"/>
      <c r="L15" s="330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F$30)</f>
        <v>0</v>
      </c>
      <c r="T15" s="256">
        <f>Cen!F243</f>
        <v>695.93676999999991</v>
      </c>
      <c r="U15" s="256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G$30)</f>
        <v>0</v>
      </c>
      <c r="T16" s="256">
        <f>Cen!F244</f>
        <v>704.8</v>
      </c>
      <c r="U16" s="256">
        <f t="shared" si="1"/>
        <v>0</v>
      </c>
    </row>
    <row r="17" spans="1:21" x14ac:dyDescent="0.25">
      <c r="A17" s="117"/>
      <c r="B17" s="117"/>
      <c r="C17" s="117"/>
      <c r="D17" s="117"/>
      <c r="E17" s="117"/>
      <c r="F17" s="117"/>
      <c r="G17" s="117"/>
      <c r="H17" s="175"/>
      <c r="I17" s="175"/>
      <c r="J17" s="175"/>
      <c r="K17" s="175"/>
      <c r="L17" s="175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H$30)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H$31)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336" t="str">
        <f>Cen!A247</f>
        <v>Korpusové lišty BLUMOTION S, 500mm, 40kg</v>
      </c>
      <c r="Q19" s="336" t="str">
        <f>Cen!B247</f>
        <v>750.5001S</v>
      </c>
      <c r="R19" s="336" t="str">
        <f>Cen!C247</f>
        <v>ZN</v>
      </c>
      <c r="S19" s="337">
        <f>SUM(I$20, I$30)</f>
        <v>0</v>
      </c>
      <c r="T19" s="338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435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75"/>
      <c r="N20" s="117"/>
      <c r="O20" s="117"/>
      <c r="P20" s="336" t="str">
        <f>Cen!A248</f>
        <v>Korpusové lišty BLUMOTION S, 500mm, 70kg</v>
      </c>
      <c r="Q20" s="336" t="str">
        <f>Cen!B248</f>
        <v>753.5001S</v>
      </c>
      <c r="R20" s="336" t="str">
        <f>Cen!C248</f>
        <v>ZN</v>
      </c>
      <c r="S20" s="337">
        <f>SUM(I$21, I$31)</f>
        <v>0</v>
      </c>
      <c r="T20" s="338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436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75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J$30)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75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J$31)</f>
        <v>0</v>
      </c>
      <c r="T22" s="256">
        <f>Cen!F250</f>
        <v>937.94550000000004</v>
      </c>
      <c r="U22" s="256">
        <f t="shared" si="1"/>
        <v>0</v>
      </c>
    </row>
    <row r="23" spans="1:21" ht="15.5" x14ac:dyDescent="0.35">
      <c r="A23" s="117"/>
      <c r="B23" s="308" t="s">
        <v>228</v>
      </c>
      <c r="C23" s="304"/>
      <c r="H23" s="283"/>
      <c r="I23" s="283"/>
      <c r="J23" s="283"/>
      <c r="K23" s="283"/>
      <c r="L23" s="283"/>
      <c r="M23" s="175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K$30)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/>
      <c r="C24" s="315" t="str">
        <f>List!$B$118&amp;":"</f>
        <v>Jmenovitá délka:</v>
      </c>
      <c r="D24" s="303" t="s">
        <v>522</v>
      </c>
      <c r="E24" s="300" t="s">
        <v>56</v>
      </c>
      <c r="F24" s="300" t="s">
        <v>523</v>
      </c>
      <c r="G24" s="300" t="s">
        <v>524</v>
      </c>
      <c r="H24" s="300" t="s">
        <v>111</v>
      </c>
      <c r="I24" s="301" t="s">
        <v>525</v>
      </c>
      <c r="J24" s="300" t="s">
        <v>526</v>
      </c>
      <c r="K24" s="302" t="s">
        <v>112</v>
      </c>
      <c r="L24" s="302" t="s">
        <v>770</v>
      </c>
      <c r="M24" s="175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K$31)</f>
        <v>0</v>
      </c>
      <c r="T24" s="256">
        <f>Cen!F252</f>
        <v>1033.34979</v>
      </c>
      <c r="U24" s="256">
        <f t="shared" si="1"/>
        <v>0</v>
      </c>
    </row>
    <row r="25" spans="1:21" ht="14.5" thickBot="1" x14ac:dyDescent="0.35">
      <c r="A25" s="117"/>
      <c r="B25" s="292" t="s">
        <v>437</v>
      </c>
      <c r="C25" s="293" t="s">
        <v>432</v>
      </c>
      <c r="D25" s="294"/>
      <c r="E25" s="294"/>
      <c r="F25" s="294"/>
      <c r="G25" s="294"/>
      <c r="H25" s="294"/>
      <c r="I25" s="294"/>
      <c r="J25" s="294"/>
      <c r="K25" s="295"/>
      <c r="L25" s="559"/>
      <c r="M25" s="175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L$31)</f>
        <v>0</v>
      </c>
      <c r="T25" s="256">
        <f>Cen!F253</f>
        <v>1080.66551</v>
      </c>
      <c r="U25" s="256">
        <f>S25*T25</f>
        <v>0</v>
      </c>
    </row>
    <row r="26" spans="1:21" ht="14" x14ac:dyDescent="0.3">
      <c r="A26" s="117"/>
      <c r="B26" s="291" t="s">
        <v>446</v>
      </c>
      <c r="C26" s="305" t="s">
        <v>433</v>
      </c>
      <c r="D26" s="407"/>
      <c r="E26" s="407"/>
      <c r="F26" s="407"/>
      <c r="G26" s="407"/>
      <c r="H26" s="298"/>
      <c r="I26" s="298"/>
      <c r="J26" s="298"/>
      <c r="K26" s="299"/>
      <c r="L26" s="299"/>
      <c r="M26" s="175"/>
      <c r="N26" s="117"/>
      <c r="O26" s="117"/>
      <c r="P26" s="205"/>
      <c r="Q26" s="205"/>
      <c r="R26" s="205"/>
      <c r="S26" s="255"/>
      <c r="T26" s="256"/>
      <c r="U26" s="256"/>
    </row>
    <row r="27" spans="1:21" ht="13" x14ac:dyDescent="0.3">
      <c r="A27" s="117"/>
      <c r="B27" s="282"/>
      <c r="C27" s="282"/>
      <c r="D27" s="117"/>
      <c r="E27" s="117"/>
      <c r="F27" s="117"/>
      <c r="G27" s="117"/>
      <c r="H27" s="142"/>
      <c r="I27" s="142"/>
      <c r="J27" s="117"/>
      <c r="K27" s="117"/>
      <c r="L27" s="117"/>
      <c r="M27" s="175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D25</f>
        <v>0</v>
      </c>
      <c r="T27" s="256">
        <f>Cen!F257</f>
        <v>963.84325999999999</v>
      </c>
      <c r="U27" s="256">
        <f t="shared" si="1"/>
        <v>0</v>
      </c>
    </row>
    <row r="28" spans="1:21" ht="16" thickBot="1" x14ac:dyDescent="0.4">
      <c r="A28" s="117"/>
      <c r="B28" s="308" t="s">
        <v>940</v>
      </c>
      <c r="C28" s="304"/>
      <c r="H28" s="283"/>
      <c r="I28" s="283"/>
      <c r="J28" s="283"/>
      <c r="K28" s="283"/>
      <c r="L28" s="283"/>
      <c r="M28" s="175"/>
      <c r="N28" s="253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E25</f>
        <v>0</v>
      </c>
      <c r="T28" s="256">
        <f>Cen!F258</f>
        <v>963.84325999999999</v>
      </c>
      <c r="U28" s="256">
        <f t="shared" si="1"/>
        <v>0</v>
      </c>
    </row>
    <row r="29" spans="1:21" ht="15.5" x14ac:dyDescent="0.35">
      <c r="A29" s="117"/>
      <c r="B29" s="308"/>
      <c r="C29" s="315" t="str">
        <f>List!$B$118&amp;":"</f>
        <v>Jmenovitá délka:</v>
      </c>
      <c r="D29" s="303" t="s">
        <v>522</v>
      </c>
      <c r="E29" s="300" t="s">
        <v>56</v>
      </c>
      <c r="F29" s="300" t="s">
        <v>523</v>
      </c>
      <c r="G29" s="300" t="s">
        <v>524</v>
      </c>
      <c r="H29" s="300" t="s">
        <v>111</v>
      </c>
      <c r="I29" s="301" t="s">
        <v>525</v>
      </c>
      <c r="J29" s="300" t="s">
        <v>526</v>
      </c>
      <c r="K29" s="302" t="s">
        <v>112</v>
      </c>
      <c r="L29" s="302" t="s">
        <v>770</v>
      </c>
      <c r="M29" s="175"/>
      <c r="N29" s="150" t="str">
        <f>" "&amp;List!$B$303</f>
        <v xml:space="preserve"> Výběr sady jednotek</v>
      </c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F25</f>
        <v>0</v>
      </c>
      <c r="T29" s="256">
        <f>Cen!F259</f>
        <v>963.84325999999999</v>
      </c>
      <c r="U29" s="256">
        <f t="shared" si="1"/>
        <v>0</v>
      </c>
    </row>
    <row r="30" spans="1:21" ht="14.5" thickBot="1" x14ac:dyDescent="0.35">
      <c r="A30" s="117"/>
      <c r="B30" s="292" t="s">
        <v>943</v>
      </c>
      <c r="C30" s="293" t="s">
        <v>432</v>
      </c>
      <c r="D30" s="294"/>
      <c r="E30" s="294"/>
      <c r="F30" s="294"/>
      <c r="G30" s="294"/>
      <c r="H30" s="294"/>
      <c r="I30" s="294"/>
      <c r="J30" s="294"/>
      <c r="K30" s="295"/>
      <c r="L30" s="559"/>
      <c r="M30" s="117"/>
      <c r="N30" s="117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G25</f>
        <v>0</v>
      </c>
      <c r="T30" s="256">
        <f>Cen!F260</f>
        <v>972.70714999999996</v>
      </c>
      <c r="U30" s="256">
        <f t="shared" si="1"/>
        <v>0</v>
      </c>
    </row>
    <row r="31" spans="1:21" ht="14" x14ac:dyDescent="0.3">
      <c r="A31" s="117"/>
      <c r="B31" s="291" t="s">
        <v>944</v>
      </c>
      <c r="C31" s="305" t="s">
        <v>433</v>
      </c>
      <c r="D31" s="407"/>
      <c r="E31" s="407"/>
      <c r="F31" s="407"/>
      <c r="G31" s="407"/>
      <c r="H31" s="298"/>
      <c r="I31" s="298"/>
      <c r="J31" s="298"/>
      <c r="K31" s="299"/>
      <c r="L31" s="299"/>
      <c r="M31" s="117"/>
      <c r="N31" s="117"/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H25</f>
        <v>0</v>
      </c>
      <c r="T31" s="256">
        <f>Cen!F261</f>
        <v>958.74321999999995</v>
      </c>
      <c r="U31" s="256">
        <f t="shared" si="1"/>
        <v>0</v>
      </c>
    </row>
    <row r="32" spans="1:21" ht="14" x14ac:dyDescent="0.3">
      <c r="A32" s="117"/>
      <c r="B32" s="343"/>
      <c r="C32" s="286"/>
      <c r="D32" s="344"/>
      <c r="E32" s="290"/>
      <c r="F32" s="290"/>
      <c r="G32" s="290"/>
      <c r="H32" s="290"/>
      <c r="I32" s="284"/>
      <c r="J32" s="284"/>
      <c r="K32" s="284"/>
      <c r="L32" s="284"/>
      <c r="M32" s="117"/>
      <c r="N32" s="117"/>
      <c r="O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H26</f>
        <v>0</v>
      </c>
      <c r="T32" s="256">
        <f>Cen!F262</f>
        <v>1142.8525999999999</v>
      </c>
      <c r="U32" s="256">
        <f t="shared" si="1"/>
        <v>0</v>
      </c>
    </row>
    <row r="33" spans="1:21" ht="13" x14ac:dyDescent="0.3">
      <c r="A33" s="117"/>
      <c r="C33" s="175"/>
      <c r="D33" s="649" t="str">
        <f>List!B312</f>
        <v>Sada jednotek TIP-ON BLUMOTION</v>
      </c>
      <c r="E33" s="649"/>
      <c r="F33" s="175"/>
      <c r="G33" s="175"/>
      <c r="H33" s="175"/>
      <c r="I33" s="175"/>
      <c r="J33" s="723"/>
      <c r="K33" s="723"/>
      <c r="L33" s="723"/>
      <c r="M33" s="117"/>
      <c r="N33" s="117"/>
      <c r="O33" s="117"/>
      <c r="P33" s="336" t="str">
        <f>Cen!A263</f>
        <v>Korpusové lišty TIP-ON, 500mm, 40kg</v>
      </c>
      <c r="Q33" s="336" t="str">
        <f>Cen!B263</f>
        <v>750.5001T</v>
      </c>
      <c r="R33" s="336" t="str">
        <f>Cen!C263</f>
        <v>ZN</v>
      </c>
      <c r="S33" s="337">
        <f>I25</f>
        <v>0</v>
      </c>
      <c r="T33" s="338">
        <f>Cen!F263</f>
        <v>967.39513999999997</v>
      </c>
      <c r="U33" s="256">
        <f t="shared" si="1"/>
        <v>0</v>
      </c>
    </row>
    <row r="34" spans="1:21" ht="14" x14ac:dyDescent="0.3">
      <c r="B34" s="286"/>
      <c r="C34" s="286"/>
      <c r="D34" s="303" t="s">
        <v>1017</v>
      </c>
      <c r="E34" s="303" t="s">
        <v>946</v>
      </c>
      <c r="F34" s="300" t="s">
        <v>1421</v>
      </c>
      <c r="G34" s="300" t="s">
        <v>948</v>
      </c>
      <c r="H34" s="302" t="s">
        <v>1423</v>
      </c>
      <c r="I34" s="286"/>
      <c r="J34" s="723"/>
      <c r="K34" s="723"/>
      <c r="L34" s="723"/>
      <c r="O34" s="117"/>
      <c r="P34" s="336" t="str">
        <f>Cen!A264</f>
        <v>Korpusové lišty TIP-ON, 500mm, 70kg</v>
      </c>
      <c r="Q34" s="336" t="str">
        <f>Cen!B264</f>
        <v>753.5001T</v>
      </c>
      <c r="R34" s="336" t="str">
        <f>Cen!C264</f>
        <v>ZN</v>
      </c>
      <c r="S34" s="337">
        <f>I26</f>
        <v>0</v>
      </c>
      <c r="T34" s="338">
        <f>Cen!F264</f>
        <v>1151.7105200000001</v>
      </c>
      <c r="U34" s="256">
        <f t="shared" si="1"/>
        <v>0</v>
      </c>
    </row>
    <row r="35" spans="1:21" ht="14.5" thickBot="1" x14ac:dyDescent="0.35">
      <c r="B35" s="175"/>
      <c r="C35" s="286"/>
      <c r="D35" s="294"/>
      <c r="E35" s="294"/>
      <c r="F35" s="294"/>
      <c r="G35" s="294"/>
      <c r="H35" s="295"/>
      <c r="I35" s="652" t="str">
        <f>IF(SUM(F30:K30,H31:L31)=SUM(F35:H35)," ",P86)</f>
        <v xml:space="preserve"> </v>
      </c>
      <c r="O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J25</f>
        <v>0</v>
      </c>
      <c r="T35" s="256">
        <f>Cen!F265</f>
        <v>1037.74467</v>
      </c>
      <c r="U35" s="256">
        <f t="shared" si="1"/>
        <v>0</v>
      </c>
    </row>
    <row r="36" spans="1:21" x14ac:dyDescent="0.25">
      <c r="C36" s="724" t="str">
        <f>IF(AND(SUM($D$30,$E$30)&gt;0,SUM($D$35,$E$35)=0),$P$85, IF(AND(SUM($D$30,$E$30)=0,SUM($D$35,$E$35)&gt;0),$P$84, " "))&amp;IF(SUM($D$30,$E$30)&lt;&gt;SUM($D$35,$E$35)," "&amp;$P$87," ")</f>
        <v xml:space="preserve">  </v>
      </c>
      <c r="E36" s="650"/>
      <c r="F36" s="286"/>
      <c r="G36" s="286"/>
      <c r="H36" s="286"/>
      <c r="I36" s="286"/>
      <c r="O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J26</f>
        <v>0</v>
      </c>
      <c r="T36" s="256">
        <f>Cen!F266</f>
        <v>1199.02684</v>
      </c>
      <c r="U36" s="256">
        <f t="shared" si="1"/>
        <v>0</v>
      </c>
    </row>
    <row r="37" spans="1:21" ht="20" customHeight="1" x14ac:dyDescent="0.25">
      <c r="D37" s="725" t="str">
        <f>"        ** "&amp;List!$B$325&amp;"!"</f>
        <v xml:space="preserve">        ** Jednotky L1 nelze kombinovat s lištami se zvýšenou nosností (70 kg)!</v>
      </c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K25</f>
        <v>0</v>
      </c>
      <c r="T37" s="116">
        <f>Cen!F267</f>
        <v>1133.14894</v>
      </c>
      <c r="U37" s="256">
        <f t="shared" si="1"/>
        <v>0</v>
      </c>
    </row>
    <row r="38" spans="1:21" x14ac:dyDescent="0.25">
      <c r="D38" s="725" t="str">
        <f>"       *** "&amp;List!$B$326&amp;"!"</f>
        <v xml:space="preserve">       *** Jednotky L5 nelze kombinovat s lištami se základní nosností (40 kg)!</v>
      </c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K26</f>
        <v>0</v>
      </c>
      <c r="T38" s="116">
        <f>Cen!F268</f>
        <v>1294.4311299999999</v>
      </c>
      <c r="U38" s="116">
        <f t="shared" si="1"/>
        <v>0</v>
      </c>
    </row>
    <row r="39" spans="1:21" ht="15" customHeight="1" x14ac:dyDescent="0.25">
      <c r="B39" s="651"/>
      <c r="C39" s="651"/>
      <c r="D39" s="650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L26</f>
        <v>0</v>
      </c>
      <c r="T39" s="116">
        <f>Cen!F269</f>
        <v>1341.74685</v>
      </c>
      <c r="U39" s="116">
        <f>S39*T39</f>
        <v>0</v>
      </c>
    </row>
    <row r="40" spans="1:21" x14ac:dyDescent="0.25">
      <c r="D40" s="725" t="str">
        <f>"     "&amp;List!$B$313</f>
        <v xml:space="preserve">     Synchronizace bude přidána automaticky. </v>
      </c>
      <c r="P40" s="142"/>
      <c r="Q40" s="142"/>
      <c r="R40" s="142"/>
      <c r="S40" s="148"/>
      <c r="T40" s="152"/>
      <c r="U40" s="152"/>
    </row>
    <row r="41" spans="1:21" x14ac:dyDescent="0.25">
      <c r="D41" s="725" t="str">
        <f>"     "&amp;List!$B$314</f>
        <v xml:space="preserve">     Pozor! Pro každý výsuv je započítána jedna hřídel. Počet hřídelí upravte v objednávce!</v>
      </c>
      <c r="P41" s="205"/>
      <c r="Q41" s="205"/>
      <c r="R41" s="205"/>
      <c r="S41" s="255"/>
      <c r="T41" s="256"/>
      <c r="U41" s="256"/>
    </row>
    <row r="42" spans="1:21" x14ac:dyDescent="0.25">
      <c r="P42" s="205"/>
      <c r="Q42" s="205"/>
      <c r="R42" s="205"/>
      <c r="S42" s="255"/>
      <c r="T42" s="256"/>
      <c r="U42" s="256"/>
    </row>
    <row r="43" spans="1:21" x14ac:dyDescent="0.25">
      <c r="P43" s="205"/>
      <c r="Q43" s="205"/>
      <c r="R43" s="205"/>
      <c r="S43" s="255"/>
      <c r="T43" s="256"/>
      <c r="U43" s="256"/>
    </row>
    <row r="44" spans="1:21" x14ac:dyDescent="0.25">
      <c r="P44" s="205"/>
      <c r="Q44" s="205"/>
      <c r="R44" s="205"/>
      <c r="S44" s="255"/>
      <c r="T44" s="256"/>
      <c r="U44" s="256"/>
    </row>
    <row r="45" spans="1:21" x14ac:dyDescent="0.25">
      <c r="P45" s="205"/>
      <c r="Q45" s="205"/>
      <c r="R45" s="205"/>
      <c r="S45" s="255"/>
      <c r="T45" s="256"/>
      <c r="U45" s="256"/>
    </row>
    <row r="46" spans="1:21" x14ac:dyDescent="0.25">
      <c r="P46" s="205"/>
      <c r="Q46" s="205"/>
      <c r="R46" s="205"/>
      <c r="S46" s="255"/>
      <c r="T46" s="256"/>
      <c r="U46" s="256"/>
    </row>
    <row r="47" spans="1:21" ht="13" x14ac:dyDescent="0.3">
      <c r="P47" s="336"/>
      <c r="Q47" s="336"/>
      <c r="R47" s="336"/>
      <c r="S47" s="337"/>
      <c r="T47" s="338"/>
      <c r="U47" s="256"/>
    </row>
    <row r="48" spans="1:21" ht="13" x14ac:dyDescent="0.3">
      <c r="P48" s="336"/>
      <c r="Q48" s="336"/>
      <c r="R48" s="336"/>
      <c r="S48" s="337"/>
      <c r="T48" s="338"/>
      <c r="U48" s="256"/>
    </row>
    <row r="49" spans="16:21" x14ac:dyDescent="0.25">
      <c r="P49" s="120"/>
      <c r="Q49" s="120"/>
      <c r="R49" s="120"/>
      <c r="S49" s="121"/>
      <c r="T49" s="116"/>
      <c r="U49" s="256"/>
    </row>
    <row r="50" spans="16:21" x14ac:dyDescent="0.25">
      <c r="P50" s="120"/>
      <c r="Q50" s="120"/>
      <c r="R50" s="120"/>
      <c r="S50" s="121"/>
      <c r="T50" s="116"/>
      <c r="U50" s="116"/>
    </row>
    <row r="51" spans="16:21" x14ac:dyDescent="0.25">
      <c r="P51" s="120"/>
      <c r="Q51" s="120"/>
      <c r="R51" s="120"/>
      <c r="S51" s="121"/>
      <c r="T51" s="116"/>
      <c r="U51" s="116"/>
    </row>
    <row r="52" spans="16:21" x14ac:dyDescent="0.25">
      <c r="P52" s="120"/>
      <c r="Q52" s="120"/>
      <c r="R52" s="120"/>
      <c r="S52" s="121"/>
      <c r="T52" s="116"/>
      <c r="U52" s="116"/>
    </row>
    <row r="53" spans="16:21" x14ac:dyDescent="0.25">
      <c r="P53" s="120"/>
      <c r="Q53" s="120"/>
      <c r="R53" s="120"/>
      <c r="S53" s="121"/>
      <c r="T53" s="116"/>
      <c r="U53" s="116"/>
    </row>
    <row r="54" spans="16:21" x14ac:dyDescent="0.25">
      <c r="P54" s="142"/>
      <c r="Q54" s="142"/>
      <c r="R54" s="142"/>
      <c r="S54" s="148"/>
      <c r="T54" s="152"/>
      <c r="U54" s="152"/>
    </row>
    <row r="55" spans="16:21" x14ac:dyDescent="0.25"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E35</f>
        <v>0</v>
      </c>
      <c r="T55" s="116">
        <f>Cen!F287</f>
        <v>478.94060000000007</v>
      </c>
      <c r="U55" s="116">
        <f>S55*T55</f>
        <v>0</v>
      </c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E35</f>
        <v>0</v>
      </c>
      <c r="T56" s="116">
        <f>Cen!F288</f>
        <v>478.94060000000007</v>
      </c>
      <c r="U56" s="116">
        <f>S56*T56</f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F35</f>
        <v>0</v>
      </c>
      <c r="T57" s="116">
        <f>Cen!F289</f>
        <v>467.80245000000002</v>
      </c>
      <c r="U57" s="116">
        <f>S57*T57</f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G35</f>
        <v>0</v>
      </c>
      <c r="T58" s="116">
        <f>Cen!F290</f>
        <v>467.80245000000002</v>
      </c>
      <c r="U58" s="116">
        <f>S58*T58</f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H35</f>
        <v>0</v>
      </c>
      <c r="T59" s="116">
        <f>Cen!F291</f>
        <v>467.80245000000002</v>
      </c>
      <c r="U59" s="116">
        <f>S59*T59</f>
        <v>0</v>
      </c>
    </row>
    <row r="60" spans="16:21" x14ac:dyDescent="0.25">
      <c r="P60" s="142"/>
      <c r="Q60" s="142"/>
      <c r="R60" s="142"/>
      <c r="S60" s="148"/>
      <c r="T60" s="152"/>
      <c r="U60" s="152"/>
    </row>
    <row r="61" spans="16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 t="shared" ref="U61:U62" si="2">S61*T61</f>
        <v>0</v>
      </c>
    </row>
    <row r="62" spans="16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 t="shared" si="2"/>
        <v>0</v>
      </c>
    </row>
    <row r="63" spans="16:21" x14ac:dyDescent="0.25">
      <c r="P63" s="142"/>
      <c r="Q63" s="142"/>
      <c r="R63" s="142"/>
      <c r="S63" s="148"/>
      <c r="T63" s="152"/>
      <c r="U63" s="152"/>
    </row>
    <row r="64" spans="16:21" x14ac:dyDescent="0.25"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SUM($S$3:$S$11)</f>
        <v>0</v>
      </c>
      <c r="T64" s="116">
        <f>Cen!$F319</f>
        <v>35.345579999999998</v>
      </c>
      <c r="U64" s="116">
        <f t="shared" si="1"/>
        <v>0</v>
      </c>
    </row>
    <row r="65" spans="16:21" x14ac:dyDescent="0.25">
      <c r="P65" s="120" t="str">
        <f>Cen!A347</f>
        <v>Čelní kování M, na vruty</v>
      </c>
      <c r="Q65" s="120" t="str">
        <f>Cen!B347</f>
        <v>ZF7M7002</v>
      </c>
      <c r="R65" s="120" t="str">
        <f>Cen!C347</f>
        <v>BL</v>
      </c>
      <c r="S65" s="121">
        <f>SUM($S$3:$S$11)*2</f>
        <v>0</v>
      </c>
      <c r="T65" s="116">
        <f>Cen!F347</f>
        <v>7.6647100000000004</v>
      </c>
      <c r="U65" s="116">
        <f t="shared" si="1"/>
        <v>0</v>
      </c>
    </row>
    <row r="66" spans="16:21" x14ac:dyDescent="0.25">
      <c r="P66" s="117"/>
      <c r="Q66" s="117"/>
    </row>
    <row r="67" spans="16:21" x14ac:dyDescent="0.25">
      <c r="P67" s="117"/>
      <c r="Q67" s="117"/>
      <c r="S67" s="74" t="str">
        <f>List!$B$97</f>
        <v>cena kování</v>
      </c>
      <c r="U67" s="346">
        <f>SUM(U3:U66)</f>
        <v>0</v>
      </c>
    </row>
    <row r="68" spans="16:21" x14ac:dyDescent="0.25">
      <c r="P68" s="117"/>
      <c r="Q68" s="117"/>
    </row>
    <row r="69" spans="16:21" x14ac:dyDescent="0.25">
      <c r="Q69" s="117"/>
    </row>
    <row r="84" spans="16:16" x14ac:dyDescent="0.25">
      <c r="P84" s="117" t="str">
        <f>List!B316&amp;"!"</f>
        <v>S0 a S1 pouze pro jmenovitou délku 270 a 300 mm!</v>
      </c>
    </row>
    <row r="85" spans="16:16" x14ac:dyDescent="0.25">
      <c r="P85" s="117" t="str">
        <f>List!B317&amp;"!"</f>
        <v>Pro výsuvy délky 270 a 300 mm vyberte jednotky S0 nebo S1!</v>
      </c>
    </row>
    <row r="86" spans="16:16" x14ac:dyDescent="0.25">
      <c r="P86" s="117" t="str">
        <f>List!B318&amp;"!"</f>
        <v>Počet jednotek L neodpovídá počtu korpusových lišt!</v>
      </c>
    </row>
    <row r="87" spans="16:16" x14ac:dyDescent="0.25">
      <c r="P87" s="117" t="str">
        <f>List!B319&amp;"!"</f>
        <v>Počet jednotek S neodpovídá počtu korpusových lišt!</v>
      </c>
    </row>
    <row r="99" spans="1:14" x14ac:dyDescent="0.25">
      <c r="A99" s="823"/>
    </row>
    <row r="100" spans="1:14" x14ac:dyDescent="0.25">
      <c r="A100" s="823"/>
      <c r="B100" s="852" t="str">
        <f>List!$B$25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7.5" customHeight="1" x14ac:dyDescent="0.25">
      <c r="A102" s="823"/>
    </row>
    <row r="103" spans="1:14" ht="18.75" customHeight="1" thickBot="1" x14ac:dyDescent="0.3">
      <c r="A103" s="823"/>
      <c r="B103" s="872"/>
      <c r="C103" s="872"/>
      <c r="D103" s="871" t="str">
        <f>List!$B$312&amp;" "&amp;List!$B$323</f>
        <v>Sada jednotek TIP-ON BLUMOTION a sada unašečů TIP-ON BLUMOTION</v>
      </c>
      <c r="E103" s="871"/>
      <c r="F103" s="871"/>
      <c r="G103" s="871"/>
      <c r="H103" s="871"/>
      <c r="I103" s="871"/>
      <c r="J103" s="871"/>
      <c r="K103" s="871"/>
      <c r="L103" s="871"/>
    </row>
    <row r="104" spans="1:14" ht="18.7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8.7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8.75" customHeight="1" thickBot="1" x14ac:dyDescent="0.3">
      <c r="A106" s="823"/>
      <c r="B106" s="835"/>
      <c r="C106" s="836"/>
      <c r="D106" s="837" t="s">
        <v>978</v>
      </c>
      <c r="E106" s="838"/>
      <c r="F106" s="839"/>
      <c r="G106" s="721" t="s">
        <v>1017</v>
      </c>
      <c r="H106" s="867" t="s">
        <v>1016</v>
      </c>
      <c r="I106" s="868"/>
      <c r="J106" s="728" t="s">
        <v>1019</v>
      </c>
      <c r="K106" s="726"/>
      <c r="L106" s="726"/>
    </row>
    <row r="107" spans="1:14" ht="18.75" customHeight="1" thickBot="1" x14ac:dyDescent="0.3">
      <c r="A107" s="823"/>
      <c r="B107" s="835"/>
      <c r="C107" s="836"/>
      <c r="D107" s="840"/>
      <c r="E107" s="841"/>
      <c r="F107" s="842"/>
      <c r="G107" s="695" t="s">
        <v>946</v>
      </c>
      <c r="H107" s="867" t="s">
        <v>949</v>
      </c>
      <c r="I107" s="868"/>
      <c r="J107" s="728" t="s">
        <v>1020</v>
      </c>
      <c r="K107" s="697"/>
      <c r="L107" s="697"/>
    </row>
    <row r="108" spans="1:14" ht="18.7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695" t="s">
        <v>1421</v>
      </c>
      <c r="H108" s="867" t="s">
        <v>950</v>
      </c>
      <c r="I108" s="868"/>
      <c r="J108" s="728" t="s">
        <v>984</v>
      </c>
      <c r="K108" s="697"/>
      <c r="L108" s="697"/>
    </row>
    <row r="109" spans="1:14" ht="18.75" customHeight="1" thickBot="1" x14ac:dyDescent="0.3">
      <c r="A109" s="823"/>
      <c r="B109" s="835"/>
      <c r="C109" s="836"/>
      <c r="D109" s="843"/>
      <c r="E109" s="844"/>
      <c r="F109" s="845"/>
      <c r="G109" s="695" t="s">
        <v>948</v>
      </c>
      <c r="H109" s="867" t="s">
        <v>951</v>
      </c>
      <c r="I109" s="868"/>
      <c r="J109" s="869" t="s">
        <v>1023</v>
      </c>
      <c r="K109" s="870"/>
      <c r="L109" s="697"/>
    </row>
    <row r="110" spans="1:14" ht="18.75" customHeight="1" thickBot="1" x14ac:dyDescent="0.3">
      <c r="A110" s="823"/>
      <c r="B110" s="835"/>
      <c r="C110" s="836"/>
      <c r="D110" s="840"/>
      <c r="E110" s="841"/>
      <c r="F110" s="842"/>
      <c r="G110" s="695" t="s">
        <v>1424</v>
      </c>
      <c r="H110" s="867" t="s">
        <v>952</v>
      </c>
      <c r="I110" s="868"/>
      <c r="J110" s="698"/>
      <c r="K110" s="870" t="s">
        <v>1024</v>
      </c>
      <c r="L110" s="870"/>
    </row>
    <row r="111" spans="1:14" ht="18.75" customHeight="1" thickBot="1" x14ac:dyDescent="0.3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</row>
    <row r="112" spans="1:14" ht="18.7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  <c r="N112" s="700" t="str">
        <f>" "&amp;List!$B$112</f>
        <v xml:space="preserve"> Zpět</v>
      </c>
    </row>
    <row r="113" spans="1:4" ht="12.5" customHeight="1" x14ac:dyDescent="0.25">
      <c r="A113" s="823"/>
    </row>
    <row r="114" spans="1:4" ht="12.5" customHeight="1" x14ac:dyDescent="0.25">
      <c r="A114" s="823"/>
      <c r="D114" s="725" t="str">
        <f>"        ** "&amp;List!$B$325&amp;"!"</f>
        <v xml:space="preserve">        ** Jednotky L1 nelze kombinovat s lištami se zvýšenou nosností (70 kg)!</v>
      </c>
    </row>
    <row r="115" spans="1:4" ht="12.5" customHeight="1" x14ac:dyDescent="0.25">
      <c r="A115" s="823"/>
      <c r="D115" s="725" t="str">
        <f>"       *** "&amp;List!$B$326&amp;"!"</f>
        <v xml:space="preserve">       *** Jednotky L5 nelze kombinovat s lištami se základní nosností (40 kg)!</v>
      </c>
    </row>
    <row r="116" spans="1:4" ht="12.5" customHeight="1" x14ac:dyDescent="0.25">
      <c r="A116" s="823"/>
    </row>
    <row r="117" spans="1:4" x14ac:dyDescent="0.25">
      <c r="A117" s="823"/>
    </row>
    <row r="118" spans="1:4" x14ac:dyDescent="0.25">
      <c r="A118" s="823"/>
    </row>
    <row r="119" spans="1:4" x14ac:dyDescent="0.25">
      <c r="A119" s="823"/>
    </row>
    <row r="120" spans="1:4" x14ac:dyDescent="0.25">
      <c r="A120" s="823"/>
    </row>
    <row r="121" spans="1:4" x14ac:dyDescent="0.25">
      <c r="A121" s="823"/>
    </row>
    <row r="122" spans="1:4" x14ac:dyDescent="0.25">
      <c r="A122" s="823"/>
    </row>
    <row r="123" spans="1:4" x14ac:dyDescent="0.25">
      <c r="A123" s="823"/>
    </row>
    <row r="124" spans="1:4" x14ac:dyDescent="0.25">
      <c r="A124" s="823"/>
    </row>
    <row r="125" spans="1:4" x14ac:dyDescent="0.25">
      <c r="A125" s="823"/>
    </row>
    <row r="126" spans="1:4" x14ac:dyDescent="0.25">
      <c r="A126" s="823"/>
    </row>
    <row r="127" spans="1:4" x14ac:dyDescent="0.25">
      <c r="A127" s="823"/>
    </row>
    <row r="128" spans="1:4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Oz1l0fujUBXoSZeOTCIhHuEqrRaCic6P4htJ9QNvuROfKcEe8n73IP2ozxZJ+ffLf9Oqz4KgoUeA3CVqx1IwNw==" saltValue="m6TPSNbA8rNCoaQKAgwu4Q==" spinCount="100000" sheet="1" objects="1" scenarios="1"/>
  <mergeCells count="19">
    <mergeCell ref="B104:C112"/>
    <mergeCell ref="D104:I104"/>
    <mergeCell ref="D105:F105"/>
    <mergeCell ref="D108:F110"/>
    <mergeCell ref="D106:F107"/>
    <mergeCell ref="H106:I106"/>
    <mergeCell ref="A99:A140"/>
    <mergeCell ref="B100:L101"/>
    <mergeCell ref="H107:I107"/>
    <mergeCell ref="H108:I108"/>
    <mergeCell ref="H109:I109"/>
    <mergeCell ref="H110:I110"/>
    <mergeCell ref="H105:I105"/>
    <mergeCell ref="J104:L105"/>
    <mergeCell ref="J109:K109"/>
    <mergeCell ref="K110:L110"/>
    <mergeCell ref="D103:L103"/>
    <mergeCell ref="B103:C103"/>
    <mergeCell ref="H111:L112"/>
  </mergeCells>
  <phoneticPr fontId="52" type="noConversion"/>
  <hyperlinks>
    <hyperlink ref="N3" location="Form!A1" tooltip=" " display="Form!A1" xr:uid="{00000000-0004-0000-0300-000000000000}"/>
    <hyperlink ref="N4" location="Menu!A1" tooltip=" " display="Menu!A1" xr:uid="{00000000-0004-0000-0300-000001000000}"/>
    <hyperlink ref="N7" location="Acs!A1" tooltip=" " display="Acs!A1" xr:uid="{00000000-0004-0000-0300-000002000000}"/>
    <hyperlink ref="N8" location="SD!A1" tooltip=" " display="SD!A1" xr:uid="{00000000-0004-0000-0300-000003000000}"/>
    <hyperlink ref="N10" location="Sum!A1" tooltip=" " display="Sum!A1" xr:uid="{00000000-0004-0000-0300-000004000000}"/>
    <hyperlink ref="N11" location="Ord!A1" tooltip=" " display="Ord!A1" xr:uid="{00000000-0004-0000-0300-000005000000}"/>
    <hyperlink ref="N9" location="AL!A1" tooltip=" " display="AL!A1" xr:uid="{00000000-0004-0000-0300-000006000000}"/>
    <hyperlink ref="N29" location="'7M400P'!A100" tooltip=" " display="'7M400P'!A100" xr:uid="{00000000-0004-0000-0300-000007000000}"/>
    <hyperlink ref="N112" location="'7M400P'!A1" tooltip=" " display="'7M400P'!A1" xr:uid="{00000000-0004-0000-03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ignoredErrors>
    <ignoredError sqref="I35" formulaRange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87">
    <tabColor indexed="53"/>
  </sheetPr>
  <dimension ref="A1:T50"/>
  <sheetViews>
    <sheetView showGridLines="0" showRowColHeaders="0" workbookViewId="0">
      <selection activeCell="H25" sqref="H25"/>
    </sheetView>
  </sheetViews>
  <sheetFormatPr defaultColWidth="9.1796875" defaultRowHeight="12.5" x14ac:dyDescent="0.25"/>
  <cols>
    <col min="1" max="1" width="3.54296875" style="2" customWidth="1"/>
    <col min="2" max="11" width="10" style="2" customWidth="1"/>
    <col min="12" max="12" width="5.7265625" style="2" customWidth="1"/>
    <col min="13" max="13" width="25.7265625" style="2" customWidth="1"/>
    <col min="14" max="14" width="3.81640625" style="2" customWidth="1"/>
    <col min="15" max="15" width="38.453125" style="2" hidden="1" customWidth="1"/>
    <col min="16" max="16" width="11.1796875" style="2" hidden="1" customWidth="1"/>
    <col min="17" max="17" width="0" style="2" hidden="1" customWidth="1"/>
    <col min="18" max="18" width="7.7265625" style="2" hidden="1" customWidth="1"/>
    <col min="19" max="19" width="8.7265625" style="2" hidden="1" customWidth="1"/>
    <col min="20" max="20" width="10.81640625" style="2" hidden="1" customWidth="1"/>
    <col min="21" max="16384" width="9.1796875" style="2"/>
  </cols>
  <sheetData>
    <row r="1" spans="1:2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0" ht="22.5" x14ac:dyDescent="0.45">
      <c r="A2" s="117"/>
      <c r="B2" s="117"/>
      <c r="C2" s="117"/>
      <c r="D2" s="117"/>
      <c r="E2" s="117"/>
      <c r="F2" s="117"/>
      <c r="G2" s="117"/>
      <c r="K2" s="10" t="str">
        <f>"AMBIA-LINE"&amp;" - "&amp;List!$B$127</f>
        <v>AMBIA-LINE - Pomůcky do kuchyně</v>
      </c>
      <c r="L2" s="117"/>
      <c r="M2" s="2" t="str">
        <f>List!$B$11&amp;":"</f>
        <v>Zpět na:</v>
      </c>
      <c r="N2" s="117"/>
      <c r="O2" s="184" t="str">
        <f>List!$B$22&amp;":"</f>
        <v>Soupis kování:</v>
      </c>
      <c r="P2" s="119"/>
      <c r="Q2" s="119"/>
      <c r="R2" s="119"/>
      <c r="S2" s="119"/>
      <c r="T2" s="119"/>
    </row>
    <row r="3" spans="1:20" ht="13" thickBot="1" x14ac:dyDescent="0.3">
      <c r="A3" s="117"/>
      <c r="B3" s="117"/>
      <c r="C3" s="117"/>
      <c r="D3" s="117"/>
      <c r="E3" s="117"/>
      <c r="F3" s="117"/>
      <c r="G3" s="117"/>
      <c r="H3" s="185"/>
      <c r="I3" s="185" t="str">
        <f>List!$B$146&amp;":"</f>
        <v>Základní prvek:</v>
      </c>
      <c r="J3" s="186"/>
      <c r="K3" s="185" t="str">
        <f>List!$B$50&amp;" M"</f>
        <v>Zásuvka M</v>
      </c>
      <c r="L3" s="117"/>
      <c r="M3" s="149" t="str">
        <f>" "&amp;List!$B$13</f>
        <v xml:space="preserve"> Úvod</v>
      </c>
      <c r="N3" s="117"/>
      <c r="O3" s="428"/>
      <c r="P3" s="428"/>
      <c r="Q3" s="428"/>
      <c r="R3" s="429"/>
      <c r="S3" s="430"/>
      <c r="T3" s="430"/>
    </row>
    <row r="4" spans="1:20" ht="13" thickBot="1" x14ac:dyDescent="0.3">
      <c r="A4" s="117"/>
      <c r="B4" s="117"/>
      <c r="C4" s="117"/>
      <c r="D4" s="117"/>
      <c r="E4" s="117"/>
      <c r="F4" s="117"/>
      <c r="G4" s="117"/>
      <c r="K4" s="74" t="str">
        <f>List!$B$52&amp;" C, F"</f>
        <v>Čelní výsuv C, F</v>
      </c>
      <c r="L4" s="117"/>
      <c r="M4" s="150" t="str">
        <f>" "&amp;List!$B$4</f>
        <v xml:space="preserve"> Výběr zásuvek a výsuvů</v>
      </c>
      <c r="N4" s="117"/>
      <c r="O4" s="428"/>
      <c r="P4" s="428"/>
      <c r="Q4" s="428"/>
      <c r="R4" s="429"/>
      <c r="S4" s="430"/>
      <c r="T4" s="430"/>
    </row>
    <row r="5" spans="1:20" ht="13" thickBot="1" x14ac:dyDescent="0.3">
      <c r="A5" s="117"/>
      <c r="B5" s="117"/>
      <c r="C5" s="117"/>
      <c r="D5" s="117"/>
      <c r="E5" s="117"/>
      <c r="F5" s="117"/>
      <c r="G5" s="117"/>
      <c r="H5" s="7"/>
      <c r="I5" s="7"/>
      <c r="J5" s="7"/>
      <c r="K5" s="114"/>
      <c r="L5" s="117"/>
      <c r="M5" s="150" t="str">
        <f>" "&amp;List!$B$5</f>
        <v xml:space="preserve"> Výběr doplňků</v>
      </c>
      <c r="N5" s="117"/>
      <c r="O5" s="428"/>
      <c r="P5" s="428"/>
      <c r="Q5" s="428"/>
      <c r="R5" s="429"/>
      <c r="S5" s="430"/>
      <c r="T5" s="430"/>
    </row>
    <row r="6" spans="1:20" ht="13" thickBot="1" x14ac:dyDescent="0.3">
      <c r="A6" s="117"/>
      <c r="B6" s="117"/>
      <c r="C6" s="117"/>
      <c r="D6" s="117"/>
      <c r="E6" s="117"/>
      <c r="F6" s="117"/>
      <c r="G6" s="117"/>
      <c r="H6" s="173"/>
      <c r="I6" s="113"/>
      <c r="J6" s="173"/>
      <c r="K6" s="113"/>
      <c r="L6" s="117"/>
      <c r="M6" s="150" t="str">
        <f>" "&amp;List!$B$6</f>
        <v xml:space="preserve"> Výběr SERVO-DRIVE</v>
      </c>
      <c r="N6" s="117"/>
      <c r="O6" s="431"/>
      <c r="P6" s="431"/>
      <c r="Q6" s="431"/>
      <c r="R6" s="432"/>
      <c r="S6" s="433"/>
      <c r="T6" s="433"/>
    </row>
    <row r="7" spans="1:20" x14ac:dyDescent="0.25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17"/>
      <c r="M7" s="242" t="str">
        <f>" "&amp;List!$B$7</f>
        <v xml:space="preserve"> Výběr AMBIA-LINE</v>
      </c>
      <c r="N7" s="117"/>
      <c r="O7" s="434"/>
      <c r="P7" s="434"/>
      <c r="Q7" s="434"/>
      <c r="R7" s="435"/>
      <c r="S7" s="436"/>
      <c r="T7" s="436"/>
    </row>
    <row r="8" spans="1:20" x14ac:dyDescent="0.25">
      <c r="A8" s="117"/>
      <c r="B8" s="117"/>
      <c r="C8" s="117"/>
      <c r="D8" s="117"/>
      <c r="E8" s="117"/>
      <c r="F8" s="117"/>
      <c r="G8" s="117"/>
      <c r="H8" s="120" t="str">
        <f>List!$B$97&amp;":"</f>
        <v>cena kování:</v>
      </c>
      <c r="I8" s="120"/>
      <c r="J8" s="120"/>
      <c r="K8" s="116">
        <f>T42</f>
        <v>0</v>
      </c>
      <c r="L8" s="117"/>
      <c r="N8" s="117"/>
      <c r="O8" s="124"/>
      <c r="P8" s="124"/>
      <c r="Q8" s="124"/>
      <c r="R8" s="327"/>
      <c r="S8" s="328"/>
      <c r="T8" s="328"/>
    </row>
    <row r="9" spans="1:20" ht="13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" t="str">
        <f>List!$B$12&amp;":"</f>
        <v>Pokračovat na:</v>
      </c>
      <c r="N9" s="117"/>
      <c r="O9" s="125"/>
      <c r="P9" s="125"/>
      <c r="Q9" s="125"/>
      <c r="R9" s="257"/>
      <c r="S9" s="258"/>
      <c r="T9" s="258"/>
    </row>
    <row r="10" spans="1:20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117"/>
      <c r="M10" s="150" t="str">
        <f>" "&amp;List!$B$18</f>
        <v xml:space="preserve"> Souhrn</v>
      </c>
      <c r="N10" s="117"/>
      <c r="O10" s="125"/>
      <c r="P10" s="125"/>
      <c r="Q10" s="125"/>
      <c r="R10" s="257"/>
      <c r="S10" s="258"/>
      <c r="T10" s="258"/>
    </row>
    <row r="11" spans="1:20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117"/>
      <c r="M11" s="150" t="str">
        <f>" "&amp;List!$B$20</f>
        <v xml:space="preserve"> Objednávka</v>
      </c>
      <c r="N11" s="117"/>
      <c r="O11" s="125"/>
      <c r="P11" s="125"/>
      <c r="Q11" s="125"/>
      <c r="R11" s="257"/>
      <c r="S11" s="258"/>
      <c r="T11" s="258"/>
    </row>
    <row r="12" spans="1:20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117"/>
      <c r="M12" s="117"/>
      <c r="N12" s="117"/>
      <c r="O12" s="120"/>
      <c r="P12" s="120"/>
      <c r="Q12" s="120"/>
      <c r="R12" s="121"/>
      <c r="S12" s="116"/>
      <c r="T12" s="116"/>
    </row>
    <row r="13" spans="1:20" ht="13" x14ac:dyDescent="0.3">
      <c r="A13" s="117"/>
      <c r="B13" s="117"/>
      <c r="C13" s="117"/>
      <c r="D13" s="142"/>
      <c r="E13" s="142"/>
      <c r="F13" s="142"/>
      <c r="G13" s="142"/>
      <c r="H13" s="288"/>
      <c r="I13" s="288"/>
      <c r="J13" s="288"/>
      <c r="K13" s="288"/>
      <c r="L13" s="117"/>
      <c r="M13" s="117"/>
      <c r="N13" s="117"/>
      <c r="O13" s="124"/>
      <c r="P13" s="124"/>
      <c r="Q13" s="124"/>
      <c r="R13" s="327"/>
      <c r="S13" s="328"/>
      <c r="T13" s="328"/>
    </row>
    <row r="14" spans="1:20" ht="15.5" x14ac:dyDescent="0.25">
      <c r="A14" s="117"/>
      <c r="B14" s="307" t="str">
        <f>"[1]  "&amp;List!$B$137</f>
        <v>[1]  Držák nožů</v>
      </c>
      <c r="C14" s="7"/>
      <c r="D14" s="7"/>
      <c r="E14" s="7"/>
      <c r="F14" s="7"/>
      <c r="G14" s="7"/>
      <c r="H14" s="285"/>
      <c r="I14" s="285"/>
      <c r="J14" s="285"/>
      <c r="K14" s="285"/>
      <c r="L14" s="117"/>
      <c r="M14" s="117"/>
      <c r="N14" s="117"/>
      <c r="O14" s="125"/>
      <c r="P14" s="125"/>
      <c r="Q14" s="125"/>
      <c r="R14" s="257"/>
      <c r="S14" s="258"/>
      <c r="T14" s="258"/>
    </row>
    <row r="15" spans="1:20" ht="14.5" thickBot="1" x14ac:dyDescent="0.35">
      <c r="A15" s="117"/>
      <c r="B15" s="427" t="str">
        <f>"   "&amp;List!$B$122&amp;" M,K, "&amp;List!$B$124&amp;" 450mm"</f>
        <v xml:space="preserve">   Pro zásuvku M,K, od jmenovité délky 450mm</v>
      </c>
      <c r="C15" s="427"/>
      <c r="D15" s="347"/>
      <c r="E15" s="347"/>
      <c r="F15" s="347"/>
      <c r="G15" s="347"/>
      <c r="H15" s="450"/>
      <c r="I15" s="285"/>
      <c r="J15" s="285"/>
      <c r="K15" s="285"/>
      <c r="L15" s="117"/>
      <c r="M15" s="117"/>
      <c r="N15" s="117"/>
      <c r="O15" s="125"/>
      <c r="P15" s="125"/>
      <c r="Q15" s="125"/>
      <c r="R15" s="257"/>
      <c r="S15" s="258"/>
      <c r="T15" s="258"/>
    </row>
    <row r="16" spans="1:20" x14ac:dyDescent="0.25">
      <c r="A16" s="117"/>
      <c r="C16" s="117"/>
      <c r="D16" s="117"/>
      <c r="E16" s="117"/>
      <c r="F16" s="117"/>
      <c r="G16" s="117"/>
      <c r="H16" s="285"/>
      <c r="I16" s="285"/>
      <c r="J16" s="285"/>
      <c r="K16" s="285"/>
      <c r="L16" s="117"/>
      <c r="M16" s="117"/>
      <c r="N16" s="117"/>
      <c r="O16" s="125"/>
      <c r="P16" s="125"/>
      <c r="Q16" s="125"/>
      <c r="R16" s="257"/>
      <c r="S16" s="258"/>
      <c r="T16" s="258"/>
    </row>
    <row r="17" spans="1:20" ht="15.5" x14ac:dyDescent="0.25">
      <c r="A17" s="117"/>
      <c r="B17" s="307" t="str">
        <f>"[2]  "&amp;List!$B$142&amp;", "&amp;List!$C$143</f>
        <v>[2]  Řezačka potravinové folie, s fólií</v>
      </c>
      <c r="C17" s="7"/>
      <c r="D17" s="7"/>
      <c r="E17" s="7"/>
      <c r="F17" s="7"/>
      <c r="G17" s="7"/>
      <c r="H17" s="285"/>
      <c r="I17" s="285"/>
      <c r="J17" s="285"/>
      <c r="K17" s="285"/>
      <c r="L17" s="117"/>
      <c r="M17" s="117"/>
      <c r="N17" s="117"/>
      <c r="O17" s="120"/>
      <c r="P17" s="120"/>
      <c r="Q17" s="120"/>
      <c r="R17" s="121"/>
      <c r="S17" s="116"/>
      <c r="T17" s="116"/>
    </row>
    <row r="18" spans="1:20" ht="14.5" thickBot="1" x14ac:dyDescent="0.35">
      <c r="A18" s="117"/>
      <c r="B18" s="427" t="str">
        <f>"   "&amp;List!$B$122&amp;" M,K, "&amp;List!$B$124&amp;" 450mm"</f>
        <v xml:space="preserve">   Pro zásuvku M,K, od jmenovité délky 450mm</v>
      </c>
      <c r="C18" s="427"/>
      <c r="D18" s="347"/>
      <c r="E18" s="347"/>
      <c r="F18" s="347"/>
      <c r="G18" s="347"/>
      <c r="H18" s="450"/>
      <c r="I18" s="117"/>
      <c r="J18" s="117"/>
      <c r="K18" s="117"/>
      <c r="L18" s="117"/>
      <c r="M18" s="117"/>
      <c r="N18" s="117"/>
      <c r="O18" s="120" t="str">
        <f>Cen!A625</f>
        <v>Držák nožů</v>
      </c>
      <c r="P18" s="120" t="str">
        <f>Cen!B625</f>
        <v>ZC7M0200</v>
      </c>
      <c r="Q18" s="120" t="str">
        <f>Cen!C625</f>
        <v>OG-M</v>
      </c>
      <c r="R18" s="121">
        <f>H15</f>
        <v>0</v>
      </c>
      <c r="S18" s="116">
        <f>Cen!F625</f>
        <v>779.68948</v>
      </c>
      <c r="T18" s="116">
        <f>R18*S18</f>
        <v>0</v>
      </c>
    </row>
    <row r="19" spans="1:20" ht="14" x14ac:dyDescent="0.3">
      <c r="A19" s="117"/>
      <c r="B19" s="425"/>
      <c r="C19" s="426"/>
      <c r="D19" s="424"/>
      <c r="E19" s="424"/>
      <c r="F19" s="424"/>
      <c r="G19" s="424"/>
      <c r="H19" s="451"/>
      <c r="I19" s="117"/>
      <c r="J19" s="117"/>
      <c r="K19" s="117"/>
      <c r="L19" s="117"/>
      <c r="M19" s="117"/>
      <c r="N19" s="117"/>
      <c r="O19" s="120" t="str">
        <f>Cen!A626</f>
        <v>Řezačka na potravinové folie, s folií</v>
      </c>
      <c r="P19" s="120" t="str">
        <f>Cen!B626</f>
        <v>ZC7C000</v>
      </c>
      <c r="Q19" s="120" t="str">
        <f>Cen!C626</f>
        <v>OG-M</v>
      </c>
      <c r="R19" s="121">
        <f>H18</f>
        <v>0</v>
      </c>
      <c r="S19" s="116">
        <f>Cen!F626</f>
        <v>1916.5860199999997</v>
      </c>
      <c r="T19" s="116">
        <f>R19*S19</f>
        <v>0</v>
      </c>
    </row>
    <row r="20" spans="1:20" ht="14" x14ac:dyDescent="0.3">
      <c r="A20" s="117"/>
      <c r="B20" s="286"/>
      <c r="C20" s="340"/>
      <c r="D20" s="341"/>
      <c r="E20" s="341"/>
      <c r="F20" s="341"/>
      <c r="G20" s="341"/>
      <c r="H20" s="341"/>
      <c r="I20" s="290"/>
      <c r="J20" s="341"/>
      <c r="K20" s="341"/>
      <c r="L20" s="117"/>
      <c r="M20" s="117"/>
      <c r="N20" s="117"/>
      <c r="O20" s="120" t="str">
        <f>Cen!A627</f>
        <v>Řezačka na potravinové folie, bez folie</v>
      </c>
      <c r="P20" s="120" t="str">
        <f>Cen!B627</f>
        <v>ZC7C001</v>
      </c>
      <c r="Q20" s="120" t="str">
        <f>Cen!C627</f>
        <v>OG-M</v>
      </c>
      <c r="R20" s="121">
        <f>H19</f>
        <v>0</v>
      </c>
      <c r="S20" s="116">
        <f>Cen!F627</f>
        <v>1916.5860199999997</v>
      </c>
      <c r="T20" s="116">
        <f>R20*S20</f>
        <v>0</v>
      </c>
    </row>
    <row r="21" spans="1:20" ht="15.5" x14ac:dyDescent="0.3">
      <c r="A21" s="117"/>
      <c r="B21" s="307" t="str">
        <f>"[3]  "&amp;List!$B$140</f>
        <v>[3]  Stojánek na kořenky</v>
      </c>
      <c r="C21" s="7"/>
      <c r="D21" s="7"/>
      <c r="E21" s="7"/>
      <c r="F21" s="7"/>
      <c r="G21" s="7"/>
      <c r="H21" s="285"/>
      <c r="I21" s="290"/>
      <c r="J21" s="290"/>
      <c r="K21" s="290"/>
      <c r="L21" s="117"/>
      <c r="M21" s="117"/>
      <c r="N21" s="117"/>
      <c r="O21" s="120" t="str">
        <f>Cen!A628</f>
        <v>Stojánek na kořenky</v>
      </c>
      <c r="P21" s="120" t="str">
        <f>Cen!B628</f>
        <v>ZC7G0P0I</v>
      </c>
      <c r="Q21" s="120" t="str">
        <f>Cen!C628</f>
        <v>INGL</v>
      </c>
      <c r="R21" s="121">
        <f>H22</f>
        <v>0</v>
      </c>
      <c r="S21" s="116">
        <f>Cen!F628</f>
        <v>1191.8663899999999</v>
      </c>
      <c r="T21" s="116">
        <f>R21*S21</f>
        <v>0</v>
      </c>
    </row>
    <row r="22" spans="1:20" ht="14.5" thickBot="1" x14ac:dyDescent="0.35">
      <c r="A22" s="117"/>
      <c r="B22" s="427" t="str">
        <f>"   "&amp;List!$B$123&amp;" C,F, "</f>
        <v xml:space="preserve">   Pro čení výsuv C,F, </v>
      </c>
      <c r="C22" s="427"/>
      <c r="D22" s="347"/>
      <c r="E22" s="347"/>
      <c r="F22" s="347"/>
      <c r="G22" s="347"/>
      <c r="H22" s="450"/>
      <c r="I22" s="290"/>
      <c r="J22" s="290"/>
      <c r="K22" s="290"/>
      <c r="L22" s="117"/>
      <c r="M22" s="117"/>
      <c r="N22" s="117"/>
      <c r="O22" s="120" t="str">
        <f>Cen!A629</f>
        <v>Držák talířů</v>
      </c>
      <c r="P22" s="120" t="str">
        <f>Cen!B629</f>
        <v>ZC7T0350</v>
      </c>
      <c r="Q22" s="120" t="str">
        <f>Cen!C629</f>
        <v>OG-M</v>
      </c>
      <c r="R22" s="121">
        <f>H25</f>
        <v>0</v>
      </c>
      <c r="S22" s="116">
        <f>Cen!F629</f>
        <v>1160.9431999999999</v>
      </c>
      <c r="T22" s="116">
        <f>R22*S22</f>
        <v>0</v>
      </c>
    </row>
    <row r="23" spans="1:20" ht="13" x14ac:dyDescent="0.3">
      <c r="A23" s="117"/>
      <c r="B23" s="289"/>
      <c r="C23" s="289"/>
      <c r="D23" s="286"/>
      <c r="E23" s="286"/>
      <c r="F23" s="286"/>
      <c r="G23" s="286"/>
      <c r="H23" s="285"/>
      <c r="I23" s="285"/>
      <c r="J23" s="285"/>
      <c r="K23" s="285"/>
      <c r="L23" s="117"/>
      <c r="M23" s="117"/>
      <c r="N23" s="117"/>
      <c r="O23" s="205"/>
      <c r="P23" s="205"/>
      <c r="Q23" s="205"/>
      <c r="R23" s="255"/>
      <c r="S23" s="256"/>
      <c r="T23" s="256"/>
    </row>
    <row r="24" spans="1:20" ht="15.5" x14ac:dyDescent="0.25">
      <c r="A24" s="117"/>
      <c r="B24" s="307" t="str">
        <f>"[4]  "&amp;List!$B$135</f>
        <v>[4]  Držák talířů</v>
      </c>
      <c r="C24" s="7"/>
      <c r="D24" s="7"/>
      <c r="E24" s="7"/>
      <c r="F24" s="7"/>
      <c r="G24" s="7"/>
      <c r="H24" s="285"/>
      <c r="I24" s="285"/>
      <c r="J24" s="285"/>
      <c r="K24" s="285"/>
      <c r="L24" s="117"/>
      <c r="M24" s="117"/>
      <c r="N24" s="117"/>
      <c r="O24" s="205"/>
      <c r="P24" s="205"/>
      <c r="Q24" s="205"/>
      <c r="R24" s="255"/>
      <c r="S24" s="256"/>
      <c r="T24" s="256"/>
    </row>
    <row r="25" spans="1:20" ht="14.5" thickBot="1" x14ac:dyDescent="0.35">
      <c r="A25" s="117"/>
      <c r="B25" s="427" t="str">
        <f>"   "&amp;List!$B$123&amp;" C,F, "</f>
        <v xml:space="preserve">   Pro čení výsuv C,F, </v>
      </c>
      <c r="C25" s="427"/>
      <c r="D25" s="347"/>
      <c r="E25" s="347"/>
      <c r="F25" s="347"/>
      <c r="G25" s="347"/>
      <c r="H25" s="450"/>
      <c r="I25" s="285"/>
      <c r="J25" s="285"/>
      <c r="K25" s="285"/>
      <c r="L25" s="117"/>
      <c r="M25" s="117"/>
      <c r="N25" s="117"/>
      <c r="O25" s="205"/>
      <c r="P25" s="205"/>
      <c r="Q25" s="205"/>
      <c r="R25" s="255"/>
      <c r="S25" s="256"/>
      <c r="T25" s="256"/>
    </row>
    <row r="26" spans="1:20" ht="14" x14ac:dyDescent="0.3">
      <c r="A26" s="117"/>
      <c r="B26" s="343"/>
      <c r="C26" s="286"/>
      <c r="D26" s="344"/>
      <c r="E26" s="290"/>
      <c r="F26" s="290"/>
      <c r="G26" s="290"/>
      <c r="H26" s="290"/>
      <c r="I26" s="117"/>
      <c r="J26" s="117"/>
      <c r="K26" s="117"/>
      <c r="L26" s="117"/>
      <c r="M26" s="117"/>
      <c r="N26" s="117"/>
      <c r="O26" s="356"/>
      <c r="P26" s="356"/>
      <c r="Q26" s="356"/>
      <c r="R26" s="357"/>
      <c r="S26" s="358"/>
      <c r="T26" s="358"/>
    </row>
    <row r="27" spans="1:20" ht="14" x14ac:dyDescent="0.3">
      <c r="A27" s="117"/>
      <c r="B27" s="310"/>
      <c r="C27" s="311"/>
      <c r="D27" s="290"/>
      <c r="E27" s="290"/>
      <c r="F27" s="290"/>
      <c r="G27" s="290"/>
      <c r="I27" s="117"/>
      <c r="J27" s="117"/>
      <c r="K27" s="117"/>
      <c r="L27" s="117"/>
      <c r="M27" s="117"/>
      <c r="N27" s="117"/>
      <c r="O27" s="356"/>
      <c r="P27" s="356"/>
      <c r="Q27" s="356"/>
      <c r="R27" s="357"/>
      <c r="S27" s="358"/>
      <c r="T27" s="358"/>
    </row>
    <row r="28" spans="1:20" ht="13" x14ac:dyDescent="0.3">
      <c r="A28" s="117"/>
      <c r="B28" s="449"/>
      <c r="C28" s="282"/>
      <c r="D28" s="117"/>
      <c r="E28" s="117"/>
      <c r="F28" s="117"/>
      <c r="G28" s="117"/>
      <c r="H28" s="283"/>
      <c r="I28" s="283"/>
      <c r="J28" s="283"/>
      <c r="K28" s="283"/>
      <c r="L28" s="117"/>
      <c r="M28" s="117"/>
      <c r="N28" s="117"/>
      <c r="O28" s="356"/>
      <c r="P28" s="356"/>
      <c r="Q28" s="356"/>
      <c r="R28" s="357"/>
      <c r="S28" s="358"/>
      <c r="T28" s="358"/>
    </row>
    <row r="29" spans="1:20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356"/>
      <c r="P29" s="356"/>
      <c r="Q29" s="356"/>
      <c r="R29" s="357"/>
      <c r="S29" s="358"/>
      <c r="T29" s="358"/>
    </row>
    <row r="30" spans="1:20" ht="13" x14ac:dyDescent="0.3">
      <c r="A30" s="117"/>
      <c r="B30" s="437"/>
      <c r="C30" s="282"/>
      <c r="H30" s="284"/>
      <c r="I30" s="284"/>
      <c r="J30" s="284"/>
      <c r="K30" s="284"/>
      <c r="L30" s="117"/>
      <c r="M30" s="117"/>
      <c r="N30" s="117"/>
      <c r="O30" s="356"/>
      <c r="P30" s="356"/>
      <c r="Q30" s="356"/>
      <c r="R30" s="357"/>
      <c r="S30" s="358"/>
      <c r="T30" s="358"/>
    </row>
    <row r="31" spans="1:20" ht="13" x14ac:dyDescent="0.3">
      <c r="A31" s="117"/>
      <c r="B31" s="282"/>
      <c r="C31" s="282"/>
      <c r="H31" s="285"/>
      <c r="I31" s="285"/>
      <c r="J31" s="285"/>
      <c r="K31" s="285"/>
      <c r="L31" s="117"/>
      <c r="M31" s="117"/>
      <c r="N31" s="117"/>
      <c r="O31" s="356"/>
      <c r="P31" s="356"/>
      <c r="Q31" s="356"/>
      <c r="R31" s="357"/>
      <c r="S31" s="358"/>
      <c r="T31" s="358"/>
    </row>
    <row r="32" spans="1:20" ht="13" x14ac:dyDescent="0.3">
      <c r="A32" s="117"/>
      <c r="C32" s="282"/>
      <c r="H32" s="283"/>
      <c r="I32" s="283"/>
      <c r="J32" s="283"/>
      <c r="K32" s="283"/>
      <c r="L32" s="117"/>
      <c r="M32" s="117"/>
      <c r="N32" s="117"/>
      <c r="O32" s="356"/>
      <c r="P32" s="356"/>
      <c r="Q32" s="356"/>
      <c r="R32" s="357"/>
      <c r="S32" s="358"/>
      <c r="T32" s="358"/>
    </row>
    <row r="33" spans="1:20" ht="15.5" x14ac:dyDescent="0.3">
      <c r="A33" s="117"/>
      <c r="B33" s="339"/>
      <c r="C33" s="286"/>
      <c r="D33" s="340"/>
      <c r="E33" s="341"/>
      <c r="F33" s="342"/>
      <c r="G33" s="341"/>
      <c r="H33" s="341"/>
      <c r="I33" s="286"/>
      <c r="J33" s="286"/>
      <c r="K33" s="286"/>
      <c r="L33" s="117"/>
      <c r="O33" s="356"/>
      <c r="P33" s="356"/>
      <c r="Q33" s="356"/>
      <c r="R33" s="357"/>
      <c r="S33" s="358"/>
      <c r="T33" s="358"/>
    </row>
    <row r="34" spans="1:20" ht="14" x14ac:dyDescent="0.3">
      <c r="B34" s="343"/>
      <c r="C34" s="286"/>
      <c r="D34" s="344"/>
      <c r="E34" s="290"/>
      <c r="F34" s="290"/>
      <c r="G34" s="290"/>
      <c r="H34" s="290"/>
      <c r="I34" s="284"/>
      <c r="J34" s="284"/>
      <c r="K34" s="284"/>
      <c r="O34" s="356"/>
      <c r="P34" s="356"/>
      <c r="Q34" s="356"/>
      <c r="R34" s="357"/>
      <c r="S34" s="358"/>
      <c r="T34" s="358"/>
    </row>
    <row r="35" spans="1:20" ht="14" x14ac:dyDescent="0.3">
      <c r="B35" s="343"/>
      <c r="C35" s="286"/>
      <c r="D35" s="344"/>
      <c r="E35" s="290"/>
      <c r="F35" s="290"/>
      <c r="G35" s="290"/>
      <c r="H35" s="290"/>
      <c r="I35" s="284"/>
      <c r="J35" s="284"/>
      <c r="K35" s="284"/>
      <c r="O35" s="356"/>
      <c r="P35" s="356"/>
      <c r="Q35" s="356"/>
      <c r="R35" s="357"/>
      <c r="S35" s="358"/>
      <c r="T35" s="358"/>
    </row>
    <row r="36" spans="1:20" ht="14" x14ac:dyDescent="0.3">
      <c r="B36" s="310"/>
      <c r="C36" s="311"/>
      <c r="D36" s="290"/>
      <c r="E36" s="290"/>
      <c r="F36" s="290"/>
      <c r="G36" s="290"/>
      <c r="I36" s="285"/>
      <c r="J36" s="285"/>
      <c r="K36" s="285"/>
      <c r="O36" s="359"/>
      <c r="P36" s="359"/>
      <c r="Q36" s="359"/>
      <c r="R36" s="360"/>
      <c r="S36" s="361"/>
      <c r="T36" s="358"/>
    </row>
    <row r="37" spans="1:20" ht="13" x14ac:dyDescent="0.3">
      <c r="B37" s="282"/>
      <c r="C37" s="282"/>
      <c r="H37" s="283"/>
      <c r="I37" s="283"/>
      <c r="J37" s="283"/>
      <c r="K37" s="283"/>
      <c r="O37" s="359"/>
      <c r="P37" s="359"/>
      <c r="Q37" s="359"/>
      <c r="R37" s="360"/>
      <c r="S37" s="361"/>
      <c r="T37" s="361"/>
    </row>
    <row r="38" spans="1:20" ht="13" x14ac:dyDescent="0.3">
      <c r="B38" s="282"/>
      <c r="C38" s="282"/>
      <c r="H38" s="286"/>
      <c r="I38" s="286"/>
      <c r="J38" s="286"/>
      <c r="K38" s="286"/>
      <c r="O38" s="142"/>
      <c r="P38" s="142"/>
      <c r="Q38" s="142"/>
      <c r="R38" s="148"/>
      <c r="S38" s="152"/>
      <c r="T38" s="152"/>
    </row>
    <row r="39" spans="1:20" x14ac:dyDescent="0.25">
      <c r="O39" s="120"/>
      <c r="P39" s="120"/>
      <c r="Q39" s="120"/>
      <c r="R39" s="121"/>
      <c r="S39" s="116"/>
      <c r="T39" s="116"/>
    </row>
    <row r="40" spans="1:20" x14ac:dyDescent="0.25">
      <c r="O40" s="120"/>
      <c r="P40" s="120"/>
      <c r="Q40" s="120"/>
      <c r="R40" s="121"/>
      <c r="S40" s="116"/>
      <c r="T40" s="116"/>
    </row>
    <row r="41" spans="1:20" x14ac:dyDescent="0.25">
      <c r="O41" s="117"/>
      <c r="P41" s="117"/>
    </row>
    <row r="42" spans="1:20" x14ac:dyDescent="0.25">
      <c r="O42" s="117"/>
      <c r="P42" s="117"/>
      <c r="R42" s="74" t="str">
        <f>List!$B$97</f>
        <v>cena kování</v>
      </c>
      <c r="T42" s="346">
        <f>SUM(T3:T41)</f>
        <v>0</v>
      </c>
    </row>
    <row r="43" spans="1:20" x14ac:dyDescent="0.25">
      <c r="O43" s="117"/>
      <c r="P43" s="117"/>
    </row>
    <row r="44" spans="1:20" x14ac:dyDescent="0.25">
      <c r="O44" s="117"/>
      <c r="P44" s="117"/>
    </row>
    <row r="45" spans="1:20" x14ac:dyDescent="0.25">
      <c r="O45" s="117"/>
      <c r="P45" s="117"/>
    </row>
    <row r="46" spans="1:20" x14ac:dyDescent="0.25">
      <c r="O46" s="117"/>
      <c r="P46" s="117"/>
    </row>
    <row r="47" spans="1:20" x14ac:dyDescent="0.25">
      <c r="O47" s="117"/>
      <c r="P47" s="117"/>
    </row>
    <row r="48" spans="1:20" x14ac:dyDescent="0.25">
      <c r="O48" s="117"/>
      <c r="P48" s="117"/>
    </row>
    <row r="49" spans="15:16" x14ac:dyDescent="0.25">
      <c r="O49" s="117"/>
      <c r="P49" s="117"/>
    </row>
    <row r="50" spans="15:16" x14ac:dyDescent="0.25">
      <c r="O50" s="117"/>
      <c r="P50" s="117"/>
    </row>
  </sheetData>
  <sheetProtection password="CF3A" sheet="1" objects="1" scenarios="1"/>
  <phoneticPr fontId="52" type="noConversion"/>
  <hyperlinks>
    <hyperlink ref="M3" location="Form!A1" tooltip=" " display="Form!A1" xr:uid="{00000000-0004-0000-2700-000000000000}"/>
    <hyperlink ref="M4" location="Menu!A1" tooltip=" " display="Menu!A1" xr:uid="{00000000-0004-0000-2700-000001000000}"/>
    <hyperlink ref="M5" location="Acs!A1" tooltip=" " display="Acs!A1" xr:uid="{00000000-0004-0000-2700-000002000000}"/>
    <hyperlink ref="M6" location="SD!A1" tooltip=" " display="SD!A1" xr:uid="{00000000-0004-0000-2700-000003000000}"/>
    <hyperlink ref="M10" location="Sum!A1" tooltip=" " display="Sum!A1" xr:uid="{00000000-0004-0000-2700-000004000000}"/>
    <hyperlink ref="M11" location="Ord!A1" tooltip=" " display="Ord!A1" xr:uid="{00000000-0004-0000-2700-000005000000}"/>
    <hyperlink ref="M7" location="AL!A1" tooltip=" " display="AL!A1" xr:uid="{00000000-0004-0000-2700-000006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indexed="13"/>
  </sheetPr>
  <dimension ref="A1:Z121"/>
  <sheetViews>
    <sheetView showGridLines="0" showRowColHeaders="0" workbookViewId="0"/>
  </sheetViews>
  <sheetFormatPr defaultColWidth="9.1796875" defaultRowHeight="12.5" x14ac:dyDescent="0.25"/>
  <cols>
    <col min="1" max="1" width="2.54296875" style="117" customWidth="1"/>
    <col min="2" max="3" width="9.1796875" style="117"/>
    <col min="4" max="4" width="9.7265625" style="117" customWidth="1"/>
    <col min="5" max="5" width="2.81640625" style="117" customWidth="1"/>
    <col min="6" max="7" width="9.1796875" style="117"/>
    <col min="8" max="8" width="9.7265625" style="117" customWidth="1"/>
    <col min="9" max="9" width="2.81640625" style="117" customWidth="1"/>
    <col min="10" max="11" width="9.1796875" style="117"/>
    <col min="12" max="12" width="9.7265625" style="117" customWidth="1"/>
    <col min="13" max="13" width="2.81640625" style="117" customWidth="1"/>
    <col min="14" max="15" width="9.1796875" style="117"/>
    <col min="16" max="16" width="9.7265625" style="117" customWidth="1"/>
    <col min="17" max="17" width="5.54296875" style="117" customWidth="1"/>
    <col min="18" max="18" width="25.7265625" style="117" customWidth="1"/>
    <col min="19" max="19" width="9.1796875" style="117"/>
    <col min="20" max="20" width="9.1796875" style="117" hidden="1" customWidth="1"/>
    <col min="21" max="21" width="9.1796875" style="117" customWidth="1"/>
    <col min="22" max="16384" width="9.1796875" style="117"/>
  </cols>
  <sheetData>
    <row r="1" spans="2:26" ht="6" customHeight="1" x14ac:dyDescent="0.25"/>
    <row r="2" spans="2:26" ht="16.5" customHeight="1" x14ac:dyDescent="0.35">
      <c r="B2" s="629" t="str">
        <f>List!$B$57</f>
        <v>Zásuvky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750" t="str">
        <f>List!$B$19</f>
        <v>Vybrané zásuvky</v>
      </c>
      <c r="R2" s="151" t="str">
        <f>List!$B$11&amp;":"</f>
        <v>Zpět na:</v>
      </c>
    </row>
    <row r="3" spans="2:26" ht="15" thickBot="1" x14ac:dyDescent="0.4">
      <c r="C3" s="141"/>
      <c r="D3" s="147" t="str">
        <f>List!$B$50&amp;" N  "</f>
        <v xml:space="preserve">Zásuvka N  </v>
      </c>
      <c r="G3" s="141"/>
      <c r="H3" s="147" t="str">
        <f>List!$B$50&amp;" M  "</f>
        <v xml:space="preserve">Zásuvka M  </v>
      </c>
      <c r="K3" s="141"/>
      <c r="L3" s="147" t="str">
        <f>List!$B$51&amp;" M  "</f>
        <v xml:space="preserve">Vnitřní zásuvka M  </v>
      </c>
      <c r="O3" s="141"/>
      <c r="P3" s="147" t="str">
        <f>List!$B$50&amp;" K  "</f>
        <v xml:space="preserve">Zásuvka K  </v>
      </c>
      <c r="R3" s="149" t="str">
        <f>" "&amp;List!$B$13</f>
        <v xml:space="preserve"> Úvod</v>
      </c>
      <c r="T3" s="117">
        <f>SUM(D5,H5,L5,P5,D10,H10,L10,D16,H16,L16,D22,H22,L22,D28,H28,L28,P28,D34,L34,P34,)</f>
        <v>0</v>
      </c>
    </row>
    <row r="4" spans="2:26" ht="13.5" thickBot="1" x14ac:dyDescent="0.35">
      <c r="B4" s="142"/>
      <c r="C4" s="143" t="str">
        <f>List!$B$79&amp;":"</f>
        <v>označení:</v>
      </c>
      <c r="D4" s="158" t="s">
        <v>11</v>
      </c>
      <c r="F4" s="142"/>
      <c r="G4" s="143" t="str">
        <f>List!$B$79&amp;":"</f>
        <v>označení:</v>
      </c>
      <c r="H4" s="158" t="s">
        <v>12</v>
      </c>
      <c r="J4" s="142"/>
      <c r="K4" s="143" t="str">
        <f>List!$B$79&amp;":"</f>
        <v>označení:</v>
      </c>
      <c r="L4" s="158" t="s">
        <v>14</v>
      </c>
      <c r="O4" s="143" t="str">
        <f>List!$B$79&amp;":"</f>
        <v>označení:</v>
      </c>
      <c r="P4" s="158" t="s">
        <v>13</v>
      </c>
      <c r="R4" s="150" t="str">
        <f>" "&amp;List!$B$4</f>
        <v xml:space="preserve"> Výběr zásuvek a výsuvů</v>
      </c>
      <c r="T4" s="117">
        <f>SUM(D46,H46,L46,P46,D40,H40,L40,P40)</f>
        <v>0</v>
      </c>
    </row>
    <row r="5" spans="2:26" ht="13" thickBot="1" x14ac:dyDescent="0.3">
      <c r="B5" s="142"/>
      <c r="C5" s="164" t="str">
        <f>List!$B$101&amp;":"</f>
        <v>Počet:</v>
      </c>
      <c r="D5" s="465">
        <f>SUM('7N400P'!$H$19:$I$19, '7N400P'!$H$23:$I$23, '7N400P'!$H$27:$I$27)</f>
        <v>0</v>
      </c>
      <c r="F5" s="142"/>
      <c r="G5" s="164" t="str">
        <f>List!$B$101&amp;":"</f>
        <v>Počet:</v>
      </c>
      <c r="H5" s="465">
        <f>SUM('7M400P'!$D$20:$L$21, '7M400P'!$D$25:$L$26, '7M400P'!$D$30:$L$31)</f>
        <v>0</v>
      </c>
      <c r="J5" s="142"/>
      <c r="K5" s="164" t="str">
        <f>List!$B$101&amp;":"</f>
        <v>Počet:</v>
      </c>
      <c r="L5" s="465">
        <f>SUM('7M40VP'!$D$20:$L$21,'7M40VP'!$D$25:$L$26, '7M40VP'!$D$30:$L$31)</f>
        <v>0</v>
      </c>
      <c r="O5" s="164" t="str">
        <f>List!$B$101&amp;":"</f>
        <v>Počet:</v>
      </c>
      <c r="P5" s="465">
        <f>SUM('7K400P'!$F$20:$J$21, '7K400P'!$F$25:$J$26, '7K400P'!$F$30:$J$31)</f>
        <v>0</v>
      </c>
      <c r="R5" s="150" t="str">
        <f>" "&amp;List!$B$5</f>
        <v xml:space="preserve"> Výběr doplňků</v>
      </c>
    </row>
    <row r="6" spans="2:26" ht="13" thickBot="1" x14ac:dyDescent="0.3">
      <c r="B6" s="142"/>
      <c r="C6" s="143"/>
      <c r="D6" s="145"/>
      <c r="F6" s="142"/>
      <c r="G6" s="143"/>
      <c r="H6" s="145"/>
      <c r="K6" s="143"/>
      <c r="L6" s="145"/>
      <c r="N6" s="142"/>
      <c r="O6" s="142"/>
      <c r="P6" s="144"/>
      <c r="R6" s="150" t="str">
        <f>" "&amp;List!$B$6</f>
        <v xml:space="preserve"> Výběr SERVO-DRIVE</v>
      </c>
      <c r="T6" s="117">
        <f>SUM(D51,H51,P51,D56,H56,L56,P56)</f>
        <v>0</v>
      </c>
    </row>
    <row r="7" spans="2:26" ht="14" x14ac:dyDescent="0.3">
      <c r="B7" s="629" t="str">
        <f>List!$B$59</f>
        <v>Čelní výsuvy</v>
      </c>
      <c r="C7" s="628"/>
      <c r="D7" s="628"/>
      <c r="E7" s="628"/>
      <c r="F7" s="628"/>
      <c r="G7" s="628"/>
      <c r="H7" s="628"/>
      <c r="I7" s="628"/>
      <c r="J7" s="628"/>
      <c r="K7" s="628"/>
      <c r="L7" s="628"/>
      <c r="M7" s="119"/>
      <c r="N7" s="119"/>
      <c r="O7" s="119"/>
      <c r="P7" s="119"/>
      <c r="R7" s="242" t="str">
        <f>" "&amp;List!$B$7</f>
        <v xml:space="preserve"> Výběr AMBIA-LINE</v>
      </c>
    </row>
    <row r="8" spans="2:26" ht="14.5" x14ac:dyDescent="0.35">
      <c r="B8" s="141"/>
      <c r="C8" s="141"/>
      <c r="D8" s="140" t="str">
        <f>List!$B$52&amp;" C pure"</f>
        <v>Čelní výsuv C pure</v>
      </c>
      <c r="F8" s="141"/>
      <c r="G8" s="141"/>
      <c r="H8" s="140" t="str">
        <f>List!$B$52&amp;" C free "</f>
        <v xml:space="preserve">Čelní výsuv C free </v>
      </c>
      <c r="J8" s="141"/>
      <c r="K8" s="141"/>
      <c r="L8" s="140" t="str">
        <f>List!$B$52&amp;" F "</f>
        <v xml:space="preserve">Čelní výsuv F </v>
      </c>
      <c r="N8" s="624"/>
      <c r="O8" s="624"/>
      <c r="P8" s="625"/>
    </row>
    <row r="9" spans="2:26" ht="13.5" customHeight="1" thickBot="1" x14ac:dyDescent="0.35">
      <c r="B9" s="142"/>
      <c r="C9" s="143" t="str">
        <f>List!$B$79&amp;":"</f>
        <v>označení:</v>
      </c>
      <c r="D9" s="158" t="s">
        <v>15</v>
      </c>
      <c r="F9" s="142"/>
      <c r="G9" s="143" t="str">
        <f>List!$B$79&amp;":"</f>
        <v>označení:</v>
      </c>
      <c r="H9" s="600" t="s">
        <v>773</v>
      </c>
      <c r="J9" s="142"/>
      <c r="K9" s="143" t="str">
        <f>List!$B$79&amp;":"</f>
        <v>označení:</v>
      </c>
      <c r="L9" s="158" t="s">
        <v>16</v>
      </c>
      <c r="N9" s="175"/>
      <c r="O9" s="464"/>
      <c r="P9" s="626"/>
      <c r="R9" s="2" t="str">
        <f>List!$B$12&amp;":"</f>
        <v>Pokračovat na:</v>
      </c>
    </row>
    <row r="10" spans="2:26" ht="13.5" customHeight="1" x14ac:dyDescent="0.25">
      <c r="B10" s="142"/>
      <c r="C10" s="164" t="str">
        <f>List!$B$101&amp;":"</f>
        <v>Počet:</v>
      </c>
      <c r="D10" s="465">
        <f>SUM('7C410P'!$D$20:$L$21, '7C410P'!$D$26:$L$27, '7C410P'!$D$32:$L$33)</f>
        <v>0</v>
      </c>
      <c r="F10" s="142"/>
      <c r="G10" s="164" t="str">
        <f>List!$B$101&amp;":"</f>
        <v>Počet:</v>
      </c>
      <c r="H10" s="465">
        <f>SUM('7C410F'!$D$20:$L$21, '7C410F'!$D$26:$L$27, '7C410F'!$D$32:$L$33)</f>
        <v>0</v>
      </c>
      <c r="J10" s="142"/>
      <c r="K10" s="164" t="str">
        <f>List!$B$101&amp;":"</f>
        <v>Počet:</v>
      </c>
      <c r="L10" s="465">
        <f>SUM('7F410P'!$H$20:$L$21, '7F410P'!$H$26:$L$27, '7F410P'!$D$32:$L$33)</f>
        <v>0</v>
      </c>
      <c r="N10" s="175"/>
      <c r="O10" s="464"/>
      <c r="P10" s="627"/>
      <c r="R10" s="150" t="str">
        <f>" "&amp;List!$B$20</f>
        <v xml:space="preserve"> Objednávka</v>
      </c>
    </row>
    <row r="11" spans="2:26" ht="13.5" customHeight="1" x14ac:dyDescent="0.25">
      <c r="B11" s="142"/>
      <c r="C11" s="143"/>
      <c r="D11" s="145"/>
      <c r="F11" s="142"/>
      <c r="G11" s="143"/>
      <c r="H11" s="145"/>
      <c r="J11" s="142"/>
      <c r="K11" s="143"/>
      <c r="L11" s="145"/>
      <c r="N11" s="142"/>
      <c r="O11" s="143"/>
      <c r="P11" s="145"/>
      <c r="T11" s="175"/>
      <c r="U11" s="175"/>
      <c r="V11" s="175"/>
      <c r="W11" s="175"/>
    </row>
    <row r="12" spans="2:26" ht="6" customHeight="1" x14ac:dyDescent="0.25">
      <c r="B12" s="142"/>
      <c r="C12" s="143"/>
      <c r="D12" s="148"/>
      <c r="F12" s="142"/>
      <c r="G12" s="143"/>
      <c r="H12" s="148"/>
      <c r="J12" s="142"/>
      <c r="K12" s="143"/>
      <c r="L12" s="148"/>
      <c r="N12" s="142"/>
      <c r="O12" s="143"/>
      <c r="P12" s="148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2:26" ht="16.5" customHeight="1" x14ac:dyDescent="0.3">
      <c r="B13" s="629" t="str">
        <f>List!$B$60&amp;" C pure"</f>
        <v>Vnitřní výsuvy C pure</v>
      </c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119"/>
      <c r="N13" s="142"/>
      <c r="O13" s="142"/>
      <c r="P13" s="142"/>
      <c r="T13" s="226"/>
      <c r="U13" s="226"/>
      <c r="V13" s="226"/>
      <c r="W13" s="227"/>
    </row>
    <row r="14" spans="2:26" ht="13.5" customHeight="1" x14ac:dyDescent="0.35">
      <c r="B14" s="141"/>
      <c r="C14" s="141"/>
      <c r="D14" s="140" t="str">
        <f>List!$B$69&amp;" "&amp;List!$B$67&amp;"  "</f>
        <v xml:space="preserve">vysoký přední zásuvný prvek  </v>
      </c>
      <c r="F14" s="141"/>
      <c r="G14" s="141"/>
      <c r="H14" s="140" t="str">
        <f>List!$B$70&amp;" "&amp;List!$B$67&amp;"  "</f>
        <v xml:space="preserve">nízký přední zásuvný prvek  </v>
      </c>
      <c r="J14" s="141"/>
      <c r="K14" s="141"/>
      <c r="L14" s="140" t="str">
        <f>List!$B$72&amp;"  "</f>
        <v xml:space="preserve">přední reling  </v>
      </c>
      <c r="N14" s="624"/>
      <c r="O14" s="624"/>
      <c r="P14" s="625"/>
      <c r="R14" s="119" t="str">
        <f>List!C193</f>
        <v>Vybráno celkem</v>
      </c>
      <c r="T14" s="175"/>
      <c r="U14" s="175"/>
      <c r="V14" s="175"/>
      <c r="W14" s="175"/>
    </row>
    <row r="15" spans="2:26" ht="13.5" customHeight="1" x14ac:dyDescent="0.3">
      <c r="B15" s="142"/>
      <c r="C15" s="143" t="str">
        <f>List!$B$79&amp;":"</f>
        <v>označení:</v>
      </c>
      <c r="D15" s="158" t="s">
        <v>17</v>
      </c>
      <c r="F15" s="142"/>
      <c r="G15" s="143" t="str">
        <f>List!$B$79&amp;":"</f>
        <v>označení:</v>
      </c>
      <c r="H15" s="158" t="s">
        <v>18</v>
      </c>
      <c r="J15" s="142"/>
      <c r="K15" s="143" t="str">
        <f>List!$B$79&amp;":"</f>
        <v>označení:</v>
      </c>
      <c r="L15" s="158" t="s">
        <v>19</v>
      </c>
      <c r="N15" s="175"/>
      <c r="O15" s="464"/>
      <c r="P15" s="626"/>
      <c r="R15" s="117" t="str">
        <f>List!$C$194&amp;": "&amp;Sum!$T$3</f>
        <v>zásuvek a výsuvů: 0</v>
      </c>
      <c r="T15" s="175"/>
      <c r="U15" s="175"/>
      <c r="V15" s="175"/>
      <c r="W15" s="175"/>
    </row>
    <row r="16" spans="2:26" ht="13.5" customHeight="1" x14ac:dyDescent="0.25">
      <c r="B16" s="142"/>
      <c r="C16" s="164" t="str">
        <f>List!$B$101&amp;":"</f>
        <v>Počet:</v>
      </c>
      <c r="D16" s="465">
        <f>SUM('7C41VP'!$D$20:$L$21, '7C41VP'!$D$26:$L$27, '7C41VP'!$D$32:$L$33)</f>
        <v>0</v>
      </c>
      <c r="F16" s="142"/>
      <c r="G16" s="164" t="str">
        <f>List!$B$101&amp;":"</f>
        <v>Počet:</v>
      </c>
      <c r="H16" s="465">
        <f>SUM('7C41NP'!$D$20:$L$21,'7C41NP'!$D$26:$L$27, '7C41NP'!$D$32:$L$33)</f>
        <v>0</v>
      </c>
      <c r="J16" s="142"/>
      <c r="K16" s="164" t="str">
        <f>List!$B$101&amp;":"</f>
        <v>Počet:</v>
      </c>
      <c r="L16" s="465">
        <f>SUM('7C41RP'!$D$20:$L$21,'7C41RP'!$D$26:$L$27, '7C41RP'!$D$32:$L$33)</f>
        <v>0</v>
      </c>
      <c r="N16" s="175"/>
      <c r="O16" s="464"/>
      <c r="P16" s="627"/>
      <c r="R16" s="117" t="str">
        <f>List!$C$195&amp;": "&amp;Sum!$T$4</f>
        <v>potravinových skříní: 0</v>
      </c>
    </row>
    <row r="17" spans="2:26" ht="13.5" customHeight="1" x14ac:dyDescent="0.25">
      <c r="B17" s="142"/>
      <c r="C17" s="164" t="str">
        <f>List!$B$67&amp;":"</f>
        <v>přední zásuvný prvek:</v>
      </c>
      <c r="D17" s="465">
        <f>SUM('7C41VP'!$E$48:$H$48)</f>
        <v>0</v>
      </c>
      <c r="F17" s="142"/>
      <c r="G17" s="164" t="str">
        <f>List!$B$67&amp;":"</f>
        <v>přední zásuvný prvek:</v>
      </c>
      <c r="H17" s="465">
        <f>SUM('7C41NP'!$E$48:$H$48)</f>
        <v>0</v>
      </c>
      <c r="J17" s="142"/>
      <c r="K17" s="143"/>
      <c r="L17" s="145"/>
      <c r="N17" s="142"/>
      <c r="O17" s="143"/>
      <c r="P17" s="145"/>
      <c r="R17" s="117" t="str">
        <f>List!$C$196&amp;": "&amp;Sum!$T$6</f>
        <v>prvků AMBIA-LINE: 0</v>
      </c>
    </row>
    <row r="18" spans="2:26" ht="6" customHeight="1" x14ac:dyDescent="0.25">
      <c r="B18" s="142"/>
      <c r="C18" s="143"/>
      <c r="D18" s="148"/>
      <c r="F18" s="142"/>
      <c r="G18" s="143"/>
      <c r="H18" s="148"/>
      <c r="J18" s="142"/>
      <c r="K18" s="143"/>
      <c r="L18" s="148"/>
      <c r="N18" s="142"/>
      <c r="O18" s="143"/>
      <c r="P18" s="148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2:26" ht="16.5" customHeight="1" x14ac:dyDescent="0.3">
      <c r="B19" s="629" t="str">
        <f>List!$B$60&amp;" C free"</f>
        <v>Vnitřní výsuvy C free</v>
      </c>
      <c r="C19" s="628"/>
      <c r="D19" s="628"/>
      <c r="E19" s="628"/>
      <c r="F19" s="628"/>
      <c r="G19" s="628"/>
      <c r="H19" s="628"/>
      <c r="I19" s="628"/>
      <c r="J19" s="629"/>
      <c r="K19" s="628"/>
      <c r="L19" s="628"/>
      <c r="M19" s="119"/>
      <c r="N19" s="138"/>
      <c r="O19" s="119"/>
      <c r="P19" s="119"/>
    </row>
    <row r="20" spans="2:26" ht="13.5" customHeight="1" x14ac:dyDescent="0.35">
      <c r="B20" s="141"/>
      <c r="C20" s="141"/>
      <c r="D20" s="140" t="str">
        <f>List!$B$69&amp;" "&amp;List!$B$67&amp;"  "</f>
        <v xml:space="preserve">vysoký přední zásuvný prvek  </v>
      </c>
      <c r="F20" s="141"/>
      <c r="G20" s="141"/>
      <c r="H20" s="140" t="str">
        <f>List!$B$70&amp;" "&amp;List!$B$67&amp;"  "</f>
        <v xml:space="preserve">nízký přední zásuvný prvek  </v>
      </c>
      <c r="J20" s="141"/>
      <c r="K20" s="141"/>
      <c r="L20" s="140" t="str">
        <f>List!$B$72&amp;"  "</f>
        <v xml:space="preserve">přední reling  </v>
      </c>
      <c r="N20" s="624"/>
      <c r="O20" s="624"/>
      <c r="P20" s="625"/>
      <c r="R20" s="142"/>
      <c r="T20" s="175"/>
      <c r="U20" s="175"/>
      <c r="V20" s="175"/>
      <c r="W20" s="175"/>
    </row>
    <row r="21" spans="2:26" ht="13.5" customHeight="1" x14ac:dyDescent="0.3">
      <c r="B21" s="142"/>
      <c r="C21" s="143" t="str">
        <f>List!$B$79&amp;":"</f>
        <v>označení:</v>
      </c>
      <c r="D21" s="600" t="s">
        <v>775</v>
      </c>
      <c r="F21" s="142"/>
      <c r="G21" s="143" t="str">
        <f>List!$B$79&amp;":"</f>
        <v>označení:</v>
      </c>
      <c r="H21" s="600" t="s">
        <v>776</v>
      </c>
      <c r="J21" s="142"/>
      <c r="K21" s="143" t="str">
        <f>List!$B$79&amp;":"</f>
        <v>označení:</v>
      </c>
      <c r="L21" s="600" t="s">
        <v>777</v>
      </c>
      <c r="N21" s="175"/>
      <c r="O21" s="464"/>
      <c r="P21" s="626"/>
      <c r="R21" s="142"/>
      <c r="T21" s="175"/>
      <c r="U21" s="175"/>
      <c r="V21" s="175"/>
      <c r="W21" s="175"/>
    </row>
    <row r="22" spans="2:26" ht="13.5" customHeight="1" x14ac:dyDescent="0.25">
      <c r="B22" s="142"/>
      <c r="C22" s="164" t="str">
        <f>List!$B$101&amp;":"</f>
        <v>Počet:</v>
      </c>
      <c r="D22" s="465">
        <f>SUM('7C41VF'!$D$20:$L$21,'7C41VF'!$D$26:$L$27, '7C41VF'!$D$32:$L$33)</f>
        <v>0</v>
      </c>
      <c r="F22" s="142"/>
      <c r="G22" s="164" t="str">
        <f>List!$B$101&amp;":"</f>
        <v>Počet:</v>
      </c>
      <c r="H22" s="465">
        <f>SUM('7C41NF'!$D$20:$L$21,'7C41NF'!$D$26:$L$27, '7C41NF'!$D$32:$L$33)</f>
        <v>0</v>
      </c>
      <c r="J22" s="142"/>
      <c r="K22" s="164" t="str">
        <f>List!$B$101&amp;":"</f>
        <v>Počet:</v>
      </c>
      <c r="L22" s="465">
        <f>SUM('7C41RF'!$D$20:$L$21, '7C41RF'!$D$26:$L$27, '7C41RF'!$D$32:$L$33)</f>
        <v>0</v>
      </c>
      <c r="N22" s="175"/>
      <c r="O22" s="464"/>
      <c r="P22" s="627"/>
    </row>
    <row r="23" spans="2:26" ht="13.5" customHeight="1" x14ac:dyDescent="0.25">
      <c r="B23" s="142"/>
      <c r="C23" s="164" t="str">
        <f>List!$B$67&amp;":"</f>
        <v>přední zásuvný prvek:</v>
      </c>
      <c r="D23" s="465">
        <f>SUM('7C41VF'!$E$48:$H$48)</f>
        <v>0</v>
      </c>
      <c r="F23" s="142"/>
      <c r="G23" s="164" t="str">
        <f>List!$B$67&amp;":"</f>
        <v>přední zásuvný prvek:</v>
      </c>
      <c r="H23" s="465">
        <f>SUM('7C41NF'!E47:H47)</f>
        <v>0</v>
      </c>
      <c r="J23" s="142"/>
      <c r="K23" s="143"/>
      <c r="L23" s="145"/>
      <c r="N23" s="142"/>
      <c r="O23" s="143"/>
      <c r="P23" s="145"/>
    </row>
    <row r="24" spans="2:26" ht="6" customHeight="1" x14ac:dyDescent="0.25">
      <c r="B24" s="142"/>
      <c r="C24" s="143"/>
      <c r="D24" s="148"/>
      <c r="F24" s="142"/>
      <c r="G24" s="143"/>
      <c r="H24" s="148"/>
      <c r="J24" s="142"/>
      <c r="K24" s="143"/>
      <c r="L24" s="148"/>
      <c r="N24" s="142"/>
      <c r="O24" s="143"/>
      <c r="P24" s="148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2:26" ht="16.5" customHeight="1" x14ac:dyDescent="0.3">
      <c r="B25" s="629" t="str">
        <f>List!$B$61</f>
        <v>Dřezové zásuvky a výsuvy</v>
      </c>
      <c r="C25" s="628"/>
      <c r="D25" s="628"/>
      <c r="E25" s="628"/>
      <c r="F25" s="628"/>
      <c r="G25" s="628"/>
      <c r="H25" s="628"/>
      <c r="I25" s="628"/>
      <c r="J25" s="629"/>
      <c r="K25" s="628"/>
      <c r="L25" s="628"/>
      <c r="M25" s="628"/>
      <c r="N25" s="629"/>
      <c r="O25" s="628"/>
      <c r="P25" s="628"/>
    </row>
    <row r="26" spans="2:26" ht="13.5" customHeight="1" x14ac:dyDescent="0.35">
      <c r="B26" s="141"/>
      <c r="C26" s="141"/>
      <c r="D26" s="140" t="str">
        <f>List!$B$55&amp;" C pure "</f>
        <v xml:space="preserve">Dřezový výsuv C pure </v>
      </c>
      <c r="F26" s="141"/>
      <c r="G26" s="141"/>
      <c r="H26" s="140" t="str">
        <f>List!$B$55&amp;" C free "</f>
        <v xml:space="preserve">Dřezový výsuv C free </v>
      </c>
      <c r="J26" s="141"/>
      <c r="K26" s="141"/>
      <c r="L26" s="140" t="str">
        <f>List!$B$55&amp;" M/C pure "</f>
        <v xml:space="preserve">Dřezový výsuv M/C pure </v>
      </c>
      <c r="N26" s="141"/>
      <c r="O26" s="141"/>
      <c r="P26" s="140" t="str">
        <f>List!$B$55&amp;" M/C free "</f>
        <v xml:space="preserve">Dřezový výsuv M/C free </v>
      </c>
    </row>
    <row r="27" spans="2:26" ht="13.5" customHeight="1" x14ac:dyDescent="0.3">
      <c r="B27" s="142"/>
      <c r="C27" s="143" t="str">
        <f>List!$B$79&amp;":"</f>
        <v>označení:</v>
      </c>
      <c r="D27" s="158" t="s">
        <v>20</v>
      </c>
      <c r="F27" s="142"/>
      <c r="G27" s="143" t="str">
        <f>List!$B$79&amp;":"</f>
        <v>označení:</v>
      </c>
      <c r="H27" s="600" t="s">
        <v>774</v>
      </c>
      <c r="J27" s="142"/>
      <c r="K27" s="143" t="str">
        <f>List!$B$79&amp;":"</f>
        <v>označení:</v>
      </c>
      <c r="L27" s="158" t="s">
        <v>778</v>
      </c>
      <c r="N27" s="142"/>
      <c r="O27" s="143" t="str">
        <f>List!$B$79&amp;":"</f>
        <v>označení:</v>
      </c>
      <c r="P27" s="600" t="s">
        <v>779</v>
      </c>
    </row>
    <row r="28" spans="2:26" ht="13.5" customHeight="1" x14ac:dyDescent="0.25">
      <c r="B28" s="142"/>
      <c r="C28" s="164" t="str">
        <f>List!$B$101&amp;":"</f>
        <v>Počet:</v>
      </c>
      <c r="D28" s="465">
        <f>SUM('7C442P'!$H$21:$L$22)</f>
        <v>0</v>
      </c>
      <c r="F28" s="142"/>
      <c r="G28" s="164" t="str">
        <f>List!$B$101&amp;":"</f>
        <v>Počet:</v>
      </c>
      <c r="H28" s="465">
        <f>SUM('7C442F'!$H$21:$L$22)</f>
        <v>0</v>
      </c>
      <c r="J28" s="142"/>
      <c r="K28" s="164" t="str">
        <f>List!$B$101&amp;":"</f>
        <v>Počet:</v>
      </c>
      <c r="L28" s="465">
        <f>SUM('7CM42P'!$H$21:$L$22, '7CM42P'!$H$27:$L$28, '7CM42P'!$H$33:$L$34)</f>
        <v>0</v>
      </c>
      <c r="N28" s="142"/>
      <c r="O28" s="164" t="str">
        <f>List!$B$101&amp;":"</f>
        <v>Počet:</v>
      </c>
      <c r="P28" s="465">
        <f>SUM('7CM42F'!$H$21:$L$22, '7CM42F'!$H$27:$L$28, '7CM42F'!$H$33:$L$34)</f>
        <v>0</v>
      </c>
    </row>
    <row r="29" spans="2:26" ht="13.5" customHeight="1" x14ac:dyDescent="0.25">
      <c r="B29" s="142"/>
      <c r="C29" s="143"/>
      <c r="D29" s="145"/>
      <c r="F29" s="142"/>
      <c r="G29" s="143"/>
      <c r="H29" s="145"/>
      <c r="J29" s="142"/>
      <c r="K29" s="143"/>
      <c r="L29" s="145"/>
      <c r="N29" s="142"/>
      <c r="O29" s="143"/>
      <c r="P29" s="145"/>
    </row>
    <row r="30" spans="2:26" ht="6" customHeight="1" x14ac:dyDescent="0.25">
      <c r="B30" s="142"/>
      <c r="C30" s="143"/>
      <c r="D30" s="148"/>
      <c r="F30" s="142"/>
      <c r="G30" s="143"/>
      <c r="H30" s="148"/>
      <c r="J30" s="142"/>
      <c r="K30" s="143"/>
      <c r="L30" s="148"/>
      <c r="N30" s="142"/>
      <c r="O30" s="143"/>
      <c r="P30" s="148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2:26" ht="16.5" customHeight="1" x14ac:dyDescent="0.35">
      <c r="B31" s="629"/>
      <c r="C31" s="628"/>
      <c r="D31" s="628"/>
      <c r="E31" s="119"/>
      <c r="F31" s="119"/>
      <c r="G31" s="119"/>
      <c r="H31" s="119"/>
      <c r="I31" s="628"/>
      <c r="J31" s="629"/>
      <c r="K31" s="628"/>
      <c r="L31" s="630" t="str">
        <f>List!$B$59&amp;" "&amp;List!$B$63</f>
        <v>Čelní výsuvy pro úzké korpusy</v>
      </c>
      <c r="M31" s="631"/>
      <c r="N31" s="629"/>
      <c r="O31" s="628"/>
      <c r="P31" s="628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2:26" ht="13.5" customHeight="1" x14ac:dyDescent="0.35">
      <c r="B32" s="141"/>
      <c r="C32" s="141"/>
      <c r="D32" s="140" t="str">
        <f>List!$B$54&amp;" M"</f>
        <v>Dřezová zásuvka M</v>
      </c>
      <c r="F32" s="624"/>
      <c r="G32" s="624"/>
      <c r="H32" s="625"/>
      <c r="J32" s="141"/>
      <c r="K32" s="141"/>
      <c r="L32" s="147" t="str">
        <f>List!$B$52&amp;" C pure "</f>
        <v xml:space="preserve">Čelní výsuv C pure </v>
      </c>
      <c r="M32" s="174"/>
      <c r="N32" s="141"/>
      <c r="O32" s="141"/>
      <c r="P32" s="147" t="str">
        <f>List!$B$52&amp;" C free "</f>
        <v xml:space="preserve">Čelní výsuv C free </v>
      </c>
      <c r="R32" s="175"/>
      <c r="S32" s="462"/>
      <c r="T32" s="462"/>
      <c r="U32" s="463"/>
      <c r="V32" s="175"/>
      <c r="W32" s="462"/>
      <c r="X32" s="462"/>
      <c r="Y32" s="463"/>
      <c r="Z32" s="175"/>
    </row>
    <row r="33" spans="2:26" ht="13.5" customHeight="1" x14ac:dyDescent="0.35">
      <c r="B33" s="142"/>
      <c r="C33" s="143" t="str">
        <f>List!$B$79&amp;":"</f>
        <v>označení:</v>
      </c>
      <c r="D33" s="158" t="s">
        <v>3</v>
      </c>
      <c r="F33" s="175"/>
      <c r="G33" s="464"/>
      <c r="H33" s="626"/>
      <c r="J33" s="142"/>
      <c r="K33" s="143" t="str">
        <f>List!$B$79&amp;":"</f>
        <v>označení:</v>
      </c>
      <c r="L33" s="158" t="s">
        <v>902</v>
      </c>
      <c r="N33" s="142"/>
      <c r="O33" s="143" t="str">
        <f>List!$B$79&amp;":"</f>
        <v>označení:</v>
      </c>
      <c r="P33" s="600" t="s">
        <v>903</v>
      </c>
      <c r="R33" s="175"/>
      <c r="S33" s="175"/>
      <c r="T33" s="464"/>
      <c r="U33" s="632"/>
      <c r="V33" s="175"/>
      <c r="W33" s="175"/>
      <c r="X33" s="464"/>
      <c r="Y33" s="632"/>
      <c r="Z33" s="175"/>
    </row>
    <row r="34" spans="2:26" ht="13.5" customHeight="1" x14ac:dyDescent="0.25">
      <c r="B34" s="142"/>
      <c r="C34" s="164" t="str">
        <f>List!$B$101&amp;":"</f>
        <v>Počet:</v>
      </c>
      <c r="D34" s="465">
        <f>SUM('7M442P'!$H$21:$L$22)</f>
        <v>0</v>
      </c>
      <c r="F34" s="175"/>
      <c r="G34" s="464"/>
      <c r="H34" s="627"/>
      <c r="J34" s="142"/>
      <c r="K34" s="164" t="str">
        <f>List!$B$101&amp;":"</f>
        <v>Počet:</v>
      </c>
      <c r="L34" s="465">
        <f>SUM('7CM52P'!$F$21:$J$21)</f>
        <v>0</v>
      </c>
      <c r="N34" s="142"/>
      <c r="O34" s="164" t="str">
        <f>List!$B$101&amp;":"</f>
        <v>Počet:</v>
      </c>
      <c r="P34" s="465">
        <f>SUM('7CM52F'!$F$21:$J$21)</f>
        <v>0</v>
      </c>
      <c r="R34" s="175"/>
      <c r="S34" s="175"/>
      <c r="T34" s="464"/>
      <c r="U34" s="287"/>
      <c r="V34" s="175"/>
      <c r="W34" s="175"/>
      <c r="X34" s="464"/>
      <c r="Y34" s="287"/>
      <c r="Z34" s="175"/>
    </row>
    <row r="35" spans="2:26" ht="13.5" customHeight="1" x14ac:dyDescent="0.25">
      <c r="B35" s="142"/>
      <c r="C35" s="143"/>
      <c r="D35" s="145"/>
      <c r="F35" s="142"/>
      <c r="G35" s="143"/>
      <c r="H35" s="145"/>
      <c r="J35" s="142"/>
      <c r="K35" s="143"/>
      <c r="L35" s="145"/>
      <c r="N35" s="142"/>
      <c r="O35" s="143"/>
      <c r="P35" s="145"/>
      <c r="R35" s="175"/>
      <c r="S35" s="175"/>
      <c r="T35" s="464"/>
      <c r="U35" s="287"/>
      <c r="V35" s="175"/>
      <c r="W35" s="175"/>
      <c r="X35" s="464"/>
      <c r="Y35" s="287"/>
      <c r="Z35" s="175"/>
    </row>
    <row r="36" spans="2:26" ht="6" customHeight="1" x14ac:dyDescent="0.25">
      <c r="B36" s="142"/>
      <c r="C36" s="164"/>
      <c r="D36" s="148"/>
      <c r="F36" s="142"/>
      <c r="G36" s="164"/>
      <c r="H36" s="148"/>
      <c r="K36" s="143"/>
      <c r="L36" s="148"/>
      <c r="O36" s="143"/>
      <c r="P36" s="148"/>
    </row>
    <row r="37" spans="2:26" ht="16.5" customHeight="1" x14ac:dyDescent="0.3">
      <c r="B37" s="629" t="str">
        <f>"SPACE-TOWER, "&amp;List!$B$64&amp;" 4xC/1xM"</f>
        <v>SPACE-TOWER, sestava 4xC/1xM</v>
      </c>
      <c r="C37" s="628"/>
      <c r="D37" s="628"/>
      <c r="E37" s="628"/>
      <c r="F37" s="629"/>
      <c r="G37" s="628"/>
      <c r="H37" s="628"/>
      <c r="I37" s="628"/>
      <c r="J37" s="628"/>
      <c r="K37" s="628"/>
      <c r="L37" s="628"/>
      <c r="M37" s="628"/>
      <c r="N37" s="628"/>
      <c r="O37" s="628"/>
      <c r="P37" s="628"/>
    </row>
    <row r="38" spans="2:26" ht="13.5" customHeight="1" x14ac:dyDescent="0.35">
      <c r="B38" s="141"/>
      <c r="C38" s="141"/>
      <c r="D38" s="140" t="str">
        <f>List!$B$67&amp;" - pure "</f>
        <v xml:space="preserve">přední zásuvný prvek - pure </v>
      </c>
      <c r="F38" s="141"/>
      <c r="G38" s="141"/>
      <c r="H38" s="140" t="str">
        <f>List!$B$67&amp;" - free "</f>
        <v xml:space="preserve">přední zásuvný prvek - free </v>
      </c>
      <c r="J38" s="141"/>
      <c r="K38" s="141"/>
      <c r="L38" s="140" t="str">
        <f>List!$B$72&amp;" - pure "</f>
        <v xml:space="preserve">přední reling - pure </v>
      </c>
      <c r="N38" s="141"/>
      <c r="O38" s="141"/>
      <c r="P38" s="140" t="str">
        <f>List!$B$72&amp;" - free "</f>
        <v xml:space="preserve">přední reling - free </v>
      </c>
    </row>
    <row r="39" spans="2:26" ht="13.5" customHeight="1" x14ac:dyDescent="0.3">
      <c r="B39" s="142"/>
      <c r="C39" s="164" t="s">
        <v>135</v>
      </c>
      <c r="D39" s="158" t="s">
        <v>749</v>
      </c>
      <c r="F39" s="142"/>
      <c r="G39" s="164" t="s">
        <v>135</v>
      </c>
      <c r="H39" s="600" t="s">
        <v>782</v>
      </c>
      <c r="J39" s="142"/>
      <c r="K39" s="143" t="str">
        <f>List!$B$79&amp;":"</f>
        <v>označení:</v>
      </c>
      <c r="L39" s="158" t="s">
        <v>750</v>
      </c>
      <c r="N39" s="142"/>
      <c r="O39" s="143" t="str">
        <f>List!$B$79&amp;":"</f>
        <v>označení:</v>
      </c>
      <c r="P39" s="600" t="s">
        <v>783</v>
      </c>
    </row>
    <row r="40" spans="2:26" ht="13.5" customHeight="1" x14ac:dyDescent="0.25">
      <c r="B40" s="142"/>
      <c r="C40" s="164" t="str">
        <f>List!$B$101&amp;":"</f>
        <v>Počet:</v>
      </c>
      <c r="D40" s="465">
        <f>SUM('7STMGP'!$D$26:$F$26, '7STMGP'!$J$26:$L$26, '7STMGP'!$D$34:$F$34, '7STMGP'!$J$34:$L$34)</f>
        <v>0</v>
      </c>
      <c r="F40" s="142"/>
      <c r="G40" s="164" t="str">
        <f>List!$B$101&amp;":"</f>
        <v>Počet:</v>
      </c>
      <c r="H40" s="465">
        <f>SUM('7STMGF'!$D$26:$F$26, '7STMGF'!$J$26:$L$26, '7STMGF'!$D$34:$F$34, '7STMGF'!$J$34:$L$34)</f>
        <v>0</v>
      </c>
      <c r="J40" s="142"/>
      <c r="K40" s="164" t="str">
        <f>List!$B$101&amp;":"</f>
        <v>Počet:</v>
      </c>
      <c r="L40" s="465">
        <f>SUM('7STMRP'!$D$26:$F$26, '7STMRP'!$J$26:$L$26, '7STMRP'!$D$34:$F$34, '7STMRP'!$J$34:$L$34)</f>
        <v>0</v>
      </c>
      <c r="N40" s="142"/>
      <c r="O40" s="164" t="str">
        <f>List!$B$101&amp;":"</f>
        <v>Počet:</v>
      </c>
      <c r="P40" s="465">
        <f>SUM('7STMRF'!$D$26:$F$26, '7STMRF'!$J$26:$L$26, '7STMRF'!$D$34:$F$34, '7STMRF'!$J$34:$L$34)</f>
        <v>0</v>
      </c>
    </row>
    <row r="41" spans="2:26" ht="13.5" customHeight="1" x14ac:dyDescent="0.25">
      <c r="B41" s="142"/>
      <c r="C41" s="164"/>
      <c r="D41" s="145"/>
      <c r="F41" s="142"/>
      <c r="G41" s="164"/>
      <c r="H41" s="145"/>
      <c r="J41" s="142"/>
      <c r="K41" s="143"/>
      <c r="L41" s="145"/>
      <c r="N41" s="142"/>
      <c r="O41" s="143"/>
      <c r="P41" s="145"/>
    </row>
    <row r="42" spans="2:26" ht="6" customHeight="1" x14ac:dyDescent="0.25">
      <c r="B42" s="142"/>
      <c r="C42" s="143"/>
      <c r="D42" s="148"/>
      <c r="F42" s="142"/>
      <c r="G42" s="143"/>
      <c r="H42" s="148"/>
      <c r="J42" s="142"/>
      <c r="K42" s="143"/>
      <c r="L42" s="148"/>
      <c r="N42" s="142"/>
      <c r="O42" s="143"/>
      <c r="P42" s="148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2:26" ht="16.5" customHeight="1" x14ac:dyDescent="0.3">
      <c r="B43" s="629" t="str">
        <f>"SPACE-TOWER, "&amp;List!$B$64&amp;" 5xC"</f>
        <v>SPACE-TOWER, sestava 5xC</v>
      </c>
      <c r="C43" s="628"/>
      <c r="D43" s="628"/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8"/>
      <c r="P43" s="628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2:26" ht="13.5" customHeight="1" x14ac:dyDescent="0.35">
      <c r="B44" s="141"/>
      <c r="C44" s="141"/>
      <c r="D44" s="140" t="str">
        <f>List!$B$67&amp;" - pure "</f>
        <v xml:space="preserve">přední zásuvný prvek - pure </v>
      </c>
      <c r="F44" s="141"/>
      <c r="G44" s="141"/>
      <c r="H44" s="140" t="str">
        <f>List!$B$67&amp;" - free "</f>
        <v xml:space="preserve">přední zásuvný prvek - free </v>
      </c>
      <c r="J44" s="141"/>
      <c r="K44" s="141"/>
      <c r="L44" s="140" t="str">
        <f>List!$B$72&amp;" - pure "</f>
        <v xml:space="preserve">přední reling - pure </v>
      </c>
      <c r="N44" s="141"/>
      <c r="O44" s="141"/>
      <c r="P44" s="140" t="str">
        <f>List!$B$72&amp;" - free "</f>
        <v xml:space="preserve">přední reling - free </v>
      </c>
    </row>
    <row r="45" spans="2:26" ht="13.5" customHeight="1" x14ac:dyDescent="0.3">
      <c r="B45" s="142"/>
      <c r="C45" s="164" t="s">
        <v>135</v>
      </c>
      <c r="D45" s="158" t="s">
        <v>22</v>
      </c>
      <c r="F45" s="142"/>
      <c r="G45" s="164" t="s">
        <v>135</v>
      </c>
      <c r="H45" s="600" t="s">
        <v>781</v>
      </c>
      <c r="K45" s="143" t="str">
        <f>List!$B$79&amp;":"</f>
        <v>označení:</v>
      </c>
      <c r="L45" s="158" t="s">
        <v>23</v>
      </c>
      <c r="O45" s="143" t="str">
        <f>List!$B$79&amp;":"</f>
        <v>označení:</v>
      </c>
      <c r="P45" s="600" t="s">
        <v>780</v>
      </c>
    </row>
    <row r="46" spans="2:26" ht="13.5" customHeight="1" x14ac:dyDescent="0.25">
      <c r="B46" s="142"/>
      <c r="C46" s="164" t="str">
        <f>List!$B$101&amp;":"</f>
        <v>Počet:</v>
      </c>
      <c r="D46" s="465">
        <f>SUM('7STCGP'!$D$26:$F$26, '7STCGP'!$J$26:$L$26, '7STCGP'!$D$34:$F$34, '7STCGP'!$J$34:$L$34)</f>
        <v>0</v>
      </c>
      <c r="F46" s="142"/>
      <c r="G46" s="164" t="str">
        <f>List!$B$101&amp;":"</f>
        <v>Počet:</v>
      </c>
      <c r="H46" s="465">
        <f>SUM('7STCGF'!$D$26:$F$26, '7STCGF'!$J$26:$L$26, '7STCGF'!$D$34:$F$34, '7STCGF'!$J$34:$L$34)</f>
        <v>0</v>
      </c>
      <c r="K46" s="164" t="str">
        <f>List!$B$101&amp;":"</f>
        <v>Počet:</v>
      </c>
      <c r="L46" s="465">
        <f>SUM('7STCRP'!$D$26:$F$26, '7STCRP'!$J$26:$L$26, '7STCRP'!$D$34:$F$34, '7STCRP'!$J$34:$L$34)</f>
        <v>0</v>
      </c>
      <c r="O46" s="164" t="str">
        <f>List!$B$101&amp;":"</f>
        <v>Počet:</v>
      </c>
      <c r="P46" s="465">
        <f>SUM('7STCRF'!$D$26:$F$26, '7STCRF'!$J$26:$L$26, '7STCRF'!$D$34:$F$34, '7STCRF'!$J$34:$L$34)</f>
        <v>0</v>
      </c>
    </row>
    <row r="47" spans="2:26" ht="13.5" customHeight="1" x14ac:dyDescent="0.25">
      <c r="B47" s="142"/>
      <c r="C47" s="164"/>
      <c r="D47" s="145"/>
      <c r="F47" s="142"/>
      <c r="G47" s="164"/>
      <c r="H47" s="145"/>
      <c r="K47" s="143"/>
      <c r="L47" s="145"/>
      <c r="O47" s="143"/>
      <c r="P47" s="145"/>
    </row>
    <row r="48" spans="2:26" ht="5.25" customHeight="1" x14ac:dyDescent="0.25"/>
    <row r="49" spans="2:17" ht="16.5" customHeight="1" x14ac:dyDescent="0.3">
      <c r="B49" s="751" t="str">
        <f>"AMBIA-LINE "&amp;List!$B$116</f>
        <v>AMBIA-LINE pro zásuvky</v>
      </c>
      <c r="C49" s="628"/>
      <c r="D49" s="628"/>
      <c r="E49" s="628"/>
      <c r="F49" s="628"/>
      <c r="G49" s="628"/>
      <c r="H49" s="628"/>
      <c r="I49" s="119"/>
      <c r="J49" s="119"/>
      <c r="K49" s="119"/>
      <c r="L49" s="119"/>
      <c r="M49" s="628"/>
      <c r="N49" s="628"/>
      <c r="O49" s="628"/>
      <c r="P49" s="633" t="str">
        <f>"AMBIA-LINE "&amp;List!$B$158</f>
        <v>AMBIA-LINE Ostatní</v>
      </c>
    </row>
    <row r="50" spans="2:17" ht="13.5" customHeight="1" x14ac:dyDescent="0.35">
      <c r="B50" s="141"/>
      <c r="C50" s="887" t="str">
        <f>List!$B$119&amp;" "</f>
        <v xml:space="preserve">Design ocel </v>
      </c>
      <c r="D50" s="888" t="str">
        <f>List!$B$120</f>
        <v>Design dřevo</v>
      </c>
      <c r="F50" s="141"/>
      <c r="G50" s="887" t="str">
        <f>List!$B$120&amp;" "</f>
        <v xml:space="preserve">Design dřevo </v>
      </c>
      <c r="H50" s="888" t="str">
        <f>List!$B$120</f>
        <v>Design dřevo</v>
      </c>
      <c r="J50" s="624"/>
      <c r="K50" s="624"/>
      <c r="L50" s="625"/>
      <c r="N50" s="887" t="str">
        <f>List!$B$127&amp;" "</f>
        <v xml:space="preserve">Pomůcky do kuchyně </v>
      </c>
      <c r="O50" s="887"/>
      <c r="P50" s="888"/>
    </row>
    <row r="51" spans="2:17" ht="13.5" customHeight="1" x14ac:dyDescent="0.3">
      <c r="B51" s="142"/>
      <c r="C51" s="164" t="str">
        <f>List!$B$101&amp;":"</f>
        <v>Počet:</v>
      </c>
      <c r="D51" s="465">
        <f>SUM(ALds!$H$16:$L$16, ALds!$H$21:$L$22, ALds!$H$26:$H$27)</f>
        <v>0</v>
      </c>
      <c r="G51" s="164" t="str">
        <f>List!$B$101&amp;":"</f>
        <v>Počet:</v>
      </c>
      <c r="H51" s="465">
        <f>SUM(ALdw!$H$16:$L$16, ALdw!$H$21:$L$22, ALdw!$H$26)</f>
        <v>0</v>
      </c>
      <c r="J51" s="175"/>
      <c r="K51" s="464"/>
      <c r="L51" s="626"/>
      <c r="O51" s="164" t="str">
        <f>List!$B$101&amp;":"</f>
        <v>Počet:</v>
      </c>
      <c r="P51" s="465">
        <f>SUM(ALkh!$H$15,ALkh!$H$18,ALkh!$H$22,ALkh!$H$25)</f>
        <v>0</v>
      </c>
    </row>
    <row r="52" spans="2:17" ht="13.5" customHeight="1" x14ac:dyDescent="0.25">
      <c r="B52" s="142"/>
      <c r="C52" s="164"/>
      <c r="D52" s="145"/>
      <c r="G52" s="143"/>
      <c r="H52" s="145"/>
      <c r="J52" s="175"/>
      <c r="K52" s="464"/>
      <c r="L52" s="627"/>
      <c r="O52" s="143"/>
      <c r="P52" s="145"/>
    </row>
    <row r="53" spans="2:17" ht="5.25" customHeight="1" x14ac:dyDescent="0.25"/>
    <row r="54" spans="2:17" ht="16.5" customHeight="1" x14ac:dyDescent="0.3">
      <c r="B54" s="751" t="str">
        <f>"AMBIA-LINE "&amp;List!$B$117&amp;" C, F"</f>
        <v>AMBIA-LINE pro čelní výsuvy C, F</v>
      </c>
      <c r="C54" s="628"/>
      <c r="D54" s="628"/>
      <c r="E54" s="628"/>
      <c r="F54" s="628"/>
      <c r="G54" s="628"/>
      <c r="H54" s="628"/>
      <c r="I54" s="628"/>
      <c r="J54" s="628"/>
      <c r="K54" s="628"/>
      <c r="L54" s="633"/>
      <c r="M54" s="628"/>
      <c r="N54" s="628"/>
      <c r="O54" s="628"/>
      <c r="P54" s="633"/>
    </row>
    <row r="55" spans="2:17" ht="13.5" customHeight="1" x14ac:dyDescent="0.35">
      <c r="B55" s="141"/>
      <c r="C55" s="887" t="str">
        <f>List!$B$119&amp;" "</f>
        <v xml:space="preserve">Design ocel </v>
      </c>
      <c r="D55" s="888" t="str">
        <f>List!$B$119</f>
        <v>Design ocel</v>
      </c>
      <c r="F55" s="141"/>
      <c r="G55" s="887" t="str">
        <f>List!$B$120&amp;" "</f>
        <v xml:space="preserve">Design dřevo </v>
      </c>
      <c r="H55" s="888" t="str">
        <f>List!$B$120</f>
        <v>Design dřevo</v>
      </c>
      <c r="J55" s="887" t="str">
        <f>List!$B$215&amp;" "</f>
        <v xml:space="preserve">Souprava na lahve </v>
      </c>
      <c r="K55" s="887"/>
      <c r="L55" s="888"/>
      <c r="N55" s="887" t="str">
        <f>List!$B$154&amp;" "</f>
        <v xml:space="preserve">Příčný reling </v>
      </c>
      <c r="O55" s="887"/>
      <c r="P55" s="888"/>
    </row>
    <row r="56" spans="2:17" ht="13.5" customHeight="1" x14ac:dyDescent="0.25">
      <c r="B56" s="142"/>
      <c r="C56" s="164" t="str">
        <f>List!$B$101&amp;":"</f>
        <v>Počet:</v>
      </c>
      <c r="D56" s="465">
        <f>SUM(ALpos!$H$15:$H$16,ALpos!$H$20:$H$22)</f>
        <v>0</v>
      </c>
      <c r="G56" s="164" t="str">
        <f>List!$B$101&amp;":"</f>
        <v>Počet:</v>
      </c>
      <c r="H56" s="465">
        <f>SUM(ALpow!$H$15,ALpow!$H$20)</f>
        <v>0</v>
      </c>
      <c r="K56" s="164" t="str">
        <f>List!$B$101&amp;":"</f>
        <v>Počet:</v>
      </c>
      <c r="L56" s="465">
        <f>SUM(ALbot!$H$15,ALbot!$H$16)</f>
        <v>0</v>
      </c>
      <c r="O56" s="164" t="str">
        <f>List!$B$101&amp;":"</f>
        <v>Počet:</v>
      </c>
      <c r="P56" s="465">
        <f>SUM(ALrel!$H$15,ALrel!$H$20,ALrel!$H$21,ALrel!$H$25)</f>
        <v>0</v>
      </c>
    </row>
    <row r="57" spans="2:17" ht="13.5" customHeight="1" x14ac:dyDescent="0.25">
      <c r="B57" s="142"/>
      <c r="C57" s="164"/>
      <c r="D57" s="145"/>
      <c r="G57" s="143"/>
      <c r="H57" s="145"/>
      <c r="K57" s="143"/>
      <c r="L57" s="145"/>
      <c r="O57" s="143"/>
      <c r="P57" s="145"/>
      <c r="Q57" s="142"/>
    </row>
    <row r="58" spans="2:17" ht="5.25" customHeight="1" x14ac:dyDescent="0.25"/>
    <row r="59" spans="2:17" ht="16.5" customHeight="1" x14ac:dyDescent="0.3">
      <c r="B59" s="629" t="str">
        <f>List!$B$158</f>
        <v>Ostatní</v>
      </c>
      <c r="C59" s="628"/>
      <c r="D59" s="628"/>
      <c r="E59" s="628"/>
      <c r="F59" s="628"/>
      <c r="G59" s="628"/>
      <c r="H59" s="628"/>
      <c r="I59" s="139"/>
      <c r="J59" s="139"/>
      <c r="K59" s="139"/>
      <c r="L59" s="139"/>
      <c r="M59" s="139"/>
      <c r="N59" s="139"/>
      <c r="O59" s="139"/>
      <c r="P59" s="139"/>
    </row>
    <row r="60" spans="2:17" ht="13.5" customHeight="1" x14ac:dyDescent="0.35">
      <c r="B60" s="141"/>
      <c r="C60" s="887" t="str">
        <f>List!$B$21&amp;" "</f>
        <v xml:space="preserve">Doplňky </v>
      </c>
      <c r="D60" s="888" t="str">
        <f>List!$B$120</f>
        <v>Design dřevo</v>
      </c>
      <c r="F60" s="141"/>
      <c r="G60" s="887" t="s">
        <v>298</v>
      </c>
      <c r="H60" s="888" t="str">
        <f>List!$B$120</f>
        <v>Design dřevo</v>
      </c>
      <c r="J60" s="141"/>
      <c r="K60" s="141"/>
      <c r="L60" s="140"/>
      <c r="N60" s="141"/>
      <c r="O60" s="141"/>
      <c r="P60" s="140"/>
    </row>
    <row r="61" spans="2:17" ht="13.5" customHeight="1" x14ac:dyDescent="0.25">
      <c r="B61" s="142"/>
      <c r="C61" s="164" t="str">
        <f>List!$B$101&amp;":"</f>
        <v>Počet:</v>
      </c>
      <c r="D61" s="465">
        <f>SUM(Acs!E3:E17,Acs!E23:E40)</f>
        <v>0</v>
      </c>
      <c r="G61" s="164" t="str">
        <f>List!$B$101&amp;":"</f>
        <v>Počet:</v>
      </c>
      <c r="H61" s="465">
        <f>SUM(SD!E3:E35)</f>
        <v>0</v>
      </c>
      <c r="L61" s="145"/>
      <c r="P61" s="145"/>
    </row>
    <row r="62" spans="2:17" ht="13.5" customHeight="1" x14ac:dyDescent="0.25">
      <c r="B62" s="142"/>
      <c r="C62" s="164"/>
      <c r="D62" s="145"/>
      <c r="G62" s="143"/>
      <c r="H62" s="145"/>
      <c r="K62" s="143"/>
      <c r="L62" s="145"/>
      <c r="O62" s="143"/>
      <c r="P62" s="145"/>
    </row>
    <row r="63" spans="2:17" ht="13.5" customHeight="1" x14ac:dyDescent="0.25"/>
    <row r="64" spans="2:17" ht="13.5" customHeight="1" x14ac:dyDescent="0.25"/>
    <row r="65" spans="16:16" ht="13.5" customHeight="1" thickBot="1" x14ac:dyDescent="0.3">
      <c r="P65" s="810" t="str">
        <f>" "&amp;List!$B$233</f>
        <v xml:space="preserve"> Nahoru</v>
      </c>
    </row>
    <row r="66" spans="16:16" ht="13.5" customHeight="1" x14ac:dyDescent="0.25"/>
    <row r="67" spans="16:16" ht="13.5" customHeight="1" x14ac:dyDescent="0.25"/>
    <row r="68" spans="16:16" ht="13.5" customHeight="1" x14ac:dyDescent="0.25"/>
    <row r="69" spans="16:16" ht="13.5" customHeight="1" x14ac:dyDescent="0.25"/>
    <row r="70" spans="16:16" ht="13.5" customHeight="1" x14ac:dyDescent="0.25"/>
    <row r="71" spans="16:16" ht="13.5" customHeight="1" x14ac:dyDescent="0.25"/>
    <row r="72" spans="16:16" ht="13.5" customHeight="1" x14ac:dyDescent="0.25"/>
    <row r="89" spans="2:2" ht="13" thickBot="1" x14ac:dyDescent="0.3">
      <c r="B89" s="809"/>
    </row>
    <row r="96" spans="2:2" ht="13.5" customHeight="1" x14ac:dyDescent="0.25"/>
    <row r="103" spans="2:2" ht="13.5" customHeight="1" x14ac:dyDescent="0.25"/>
    <row r="105" spans="2:2" ht="13" thickBot="1" x14ac:dyDescent="0.3">
      <c r="B105" s="809"/>
    </row>
    <row r="110" spans="2:2" ht="13.5" customHeight="1" x14ac:dyDescent="0.25"/>
    <row r="115" spans="1:2" x14ac:dyDescent="0.25">
      <c r="A115" s="175"/>
    </row>
    <row r="118" spans="1:2" ht="21" customHeight="1" x14ac:dyDescent="0.25"/>
    <row r="121" spans="1:2" ht="13" thickBot="1" x14ac:dyDescent="0.3">
      <c r="B121" s="809"/>
    </row>
  </sheetData>
  <sheetProtection algorithmName="SHA-512" hashValue="nujugTg03SXOExiCJk8T/tpp/ziZZEe2fExOaOpM9LRs98BKruP5jzr11nRpd35/zBzIgOUZ56f8UCnJAP8XzQ==" saltValue="Y7zHoF5AItvl7/QQ9D1s/w==" spinCount="100000" sheet="1" objects="1" scenarios="1"/>
  <mergeCells count="9">
    <mergeCell ref="N55:P55"/>
    <mergeCell ref="N50:P50"/>
    <mergeCell ref="C60:D60"/>
    <mergeCell ref="G60:H60"/>
    <mergeCell ref="J55:L55"/>
    <mergeCell ref="C50:D50"/>
    <mergeCell ref="G50:H50"/>
    <mergeCell ref="C55:D55"/>
    <mergeCell ref="G55:H55"/>
  </mergeCells>
  <phoneticPr fontId="52" type="noConversion"/>
  <conditionalFormatting sqref="D5 H5 L5 H10 L10 L16 D46 D40 D51 H51 D56 H56 L56 D61 H61 D16:D17 H16:H17">
    <cfRule type="cellIs" dxfId="22" priority="29" stopIfTrue="1" operator="greaterThan">
      <formula>0</formula>
    </cfRule>
  </conditionalFormatting>
  <conditionalFormatting sqref="P16">
    <cfRule type="cellIs" dxfId="21" priority="27" stopIfTrue="1" operator="greaterThan">
      <formula>0</formula>
    </cfRule>
  </conditionalFormatting>
  <conditionalFormatting sqref="P10">
    <cfRule type="cellIs" dxfId="20" priority="23" stopIfTrue="1" operator="greaterThan">
      <formula>0</formula>
    </cfRule>
  </conditionalFormatting>
  <conditionalFormatting sqref="P5">
    <cfRule type="cellIs" dxfId="19" priority="25" stopIfTrue="1" operator="greaterThan">
      <formula>0</formula>
    </cfRule>
  </conditionalFormatting>
  <conditionalFormatting sqref="D10">
    <cfRule type="cellIs" dxfId="18" priority="24" stopIfTrue="1" operator="greaterThan">
      <formula>0</formula>
    </cfRule>
  </conditionalFormatting>
  <conditionalFormatting sqref="P22">
    <cfRule type="cellIs" dxfId="17" priority="21" stopIfTrue="1" operator="greaterThan">
      <formula>0</formula>
    </cfRule>
  </conditionalFormatting>
  <conditionalFormatting sqref="P46 P40">
    <cfRule type="cellIs" dxfId="16" priority="6" stopIfTrue="1" operator="greaterThan">
      <formula>0</formula>
    </cfRule>
  </conditionalFormatting>
  <conditionalFormatting sqref="L22 D22:D23 H22:H23">
    <cfRule type="cellIs" dxfId="15" priority="22" stopIfTrue="1" operator="greaterThan">
      <formula>0</formula>
    </cfRule>
  </conditionalFormatting>
  <conditionalFormatting sqref="D34 L34">
    <cfRule type="cellIs" dxfId="14" priority="20" stopIfTrue="1" operator="greaterThan">
      <formula>0</formula>
    </cfRule>
  </conditionalFormatting>
  <conditionalFormatting sqref="P34">
    <cfRule type="cellIs" dxfId="13" priority="19" stopIfTrue="1" operator="greaterThan">
      <formula>0</formula>
    </cfRule>
  </conditionalFormatting>
  <conditionalFormatting sqref="H28">
    <cfRule type="cellIs" dxfId="12" priority="12" stopIfTrue="1" operator="greaterThan">
      <formula>0</formula>
    </cfRule>
  </conditionalFormatting>
  <conditionalFormatting sqref="L46 L40">
    <cfRule type="cellIs" dxfId="11" priority="8" stopIfTrue="1" operator="greaterThan">
      <formula>0</formula>
    </cfRule>
  </conditionalFormatting>
  <conditionalFormatting sqref="U34">
    <cfRule type="cellIs" dxfId="10" priority="16" stopIfTrue="1" operator="greaterThan">
      <formula>0</formula>
    </cfRule>
  </conditionalFormatting>
  <conditionalFormatting sqref="Y34">
    <cfRule type="cellIs" dxfId="9" priority="15" stopIfTrue="1" operator="greaterThan">
      <formula>0</formula>
    </cfRule>
  </conditionalFormatting>
  <conditionalFormatting sqref="H34">
    <cfRule type="cellIs" dxfId="8" priority="9" stopIfTrue="1" operator="greaterThan">
      <formula>0</formula>
    </cfRule>
  </conditionalFormatting>
  <conditionalFormatting sqref="D28">
    <cfRule type="cellIs" dxfId="7" priority="13" stopIfTrue="1" operator="greaterThan">
      <formula>0</formula>
    </cfRule>
  </conditionalFormatting>
  <conditionalFormatting sqref="L28">
    <cfRule type="cellIs" dxfId="6" priority="11" stopIfTrue="1" operator="greaterThan">
      <formula>0</formula>
    </cfRule>
  </conditionalFormatting>
  <conditionalFormatting sqref="H40">
    <cfRule type="cellIs" dxfId="5" priority="7" stopIfTrue="1" operator="greaterThan">
      <formula>0</formula>
    </cfRule>
  </conditionalFormatting>
  <conditionalFormatting sqref="P28">
    <cfRule type="cellIs" dxfId="4" priority="5" stopIfTrue="1" operator="greaterThan">
      <formula>0</formula>
    </cfRule>
  </conditionalFormatting>
  <conditionalFormatting sqref="H46">
    <cfRule type="cellIs" dxfId="3" priority="4" stopIfTrue="1" operator="greaterThan">
      <formula>0</formula>
    </cfRule>
  </conditionalFormatting>
  <conditionalFormatting sqref="P56">
    <cfRule type="cellIs" dxfId="2" priority="3" stopIfTrue="1" operator="greaterThan">
      <formula>0</formula>
    </cfRule>
  </conditionalFormatting>
  <conditionalFormatting sqref="P51">
    <cfRule type="cellIs" dxfId="1" priority="2" stopIfTrue="1" operator="greaterThan">
      <formula>0</formula>
    </cfRule>
  </conditionalFormatting>
  <conditionalFormatting sqref="L52">
    <cfRule type="cellIs" dxfId="0" priority="1" stopIfTrue="1" operator="greaterThan">
      <formula>0</formula>
    </cfRule>
  </conditionalFormatting>
  <hyperlinks>
    <hyperlink ref="R3" location="Form!A1" tooltip=" " display="Form!A1" xr:uid="{00000000-0004-0000-2800-000000000000}"/>
    <hyperlink ref="R4" location="Menu!A1" tooltip=" " display="Menu!A1" xr:uid="{00000000-0004-0000-2800-000001000000}"/>
    <hyperlink ref="R5" location="Acs!A1" tooltip=" " display="Acs!A1" xr:uid="{00000000-0004-0000-2800-000002000000}"/>
    <hyperlink ref="R6" location="SD!A1" tooltip=" " display="SD!A1" xr:uid="{00000000-0004-0000-2800-000003000000}"/>
    <hyperlink ref="R10" location="Ord!A1" tooltip=" " display="Ord!A1" xr:uid="{00000000-0004-0000-2800-000004000000}"/>
    <hyperlink ref="H4" location="'7M400P'!A1" tooltip=" " display="7M 400P" xr:uid="{00000000-0004-0000-2800-000005000000}"/>
    <hyperlink ref="D4" location="'7N400P'!A1" tooltip=" " display="7N 400P" xr:uid="{00000000-0004-0000-2800-000006000000}"/>
    <hyperlink ref="H15" location="'7C41NP'!A1" tooltip=" " display="7C 41NP" xr:uid="{00000000-0004-0000-2800-000007000000}"/>
    <hyperlink ref="L15" location="'7C41RP'!A1" tooltip=" " display="7C 31RP" xr:uid="{00000000-0004-0000-2800-000008000000}"/>
    <hyperlink ref="D45" location="'7STCGP'!A1" tooltip=" " display="7ST CGP" xr:uid="{00000000-0004-0000-2800-000009000000}"/>
    <hyperlink ref="D15" location="'7C41VP'!A1" tooltip=" " display="7C 41VP" xr:uid="{00000000-0004-0000-2800-00000A000000}"/>
    <hyperlink ref="D39" location="'7STMGP'!A1" tooltip=" " display="7ST MGP" xr:uid="{00000000-0004-0000-2800-00000B000000}"/>
    <hyperlink ref="L4" location="'7M40VP'!A1" tooltip=" " display="7M 40VP" xr:uid="{00000000-0004-0000-2800-00000C000000}"/>
    <hyperlink ref="L9" location="'7F410P'!A1" tooltip=" " display="7F 410P" xr:uid="{00000000-0004-0000-2800-00000D000000}"/>
    <hyperlink ref="H9" location="'7C410F'!A1" tooltip=" " display="7C 410F" xr:uid="{00000000-0004-0000-2800-00000E000000}"/>
    <hyperlink ref="C50" location="OLRo!A1" tooltip=" " display="OLRo!A1" xr:uid="{00000000-0004-0000-2800-00000F000000}"/>
    <hyperlink ref="C50:D50" location="ALds!A1" tooltip=" " display="ALds!A1" xr:uid="{00000000-0004-0000-2800-000010000000}"/>
    <hyperlink ref="G50" location="OLRo!A1" tooltip=" " display="OLRo!A1" xr:uid="{00000000-0004-0000-2800-000011000000}"/>
    <hyperlink ref="C55" location="OLP1!A1" tooltip=" " display="OLP1!A1" xr:uid="{00000000-0004-0000-2800-000012000000}"/>
    <hyperlink ref="C55:D55" location="ALpos!A1" tooltip=" " display="ALpos!A1" xr:uid="{00000000-0004-0000-2800-000013000000}"/>
    <hyperlink ref="G55" location="OLP2!A1" tooltip=" " display="OLP2!A1" xr:uid="{00000000-0004-0000-2800-000014000000}"/>
    <hyperlink ref="G55:H55" location="ALpow!A1" tooltip=" " display="ALpow!A1" xr:uid="{00000000-0004-0000-2800-000015000000}"/>
    <hyperlink ref="J55" location="ALkh!A1" tooltip=" " display="ALkh!A1" xr:uid="{00000000-0004-0000-2800-000016000000}"/>
    <hyperlink ref="R7" location="AL!A1" tooltip=" " display="AL!A1" xr:uid="{00000000-0004-0000-2800-000017000000}"/>
    <hyperlink ref="P65" location="Sum!A1" tooltip=" " display="Sum!A1" xr:uid="{00000000-0004-0000-2800-000018000000}"/>
    <hyperlink ref="C60" location="OLRo!A1" tooltip=" " display="OLRo!A1" xr:uid="{00000000-0004-0000-2800-000019000000}"/>
    <hyperlink ref="C60:D60" location="Acs!A1" tooltip=" " display="Acs!A1" xr:uid="{00000000-0004-0000-2800-00001A000000}"/>
    <hyperlink ref="G60" location="OLRo!A1" tooltip=" " display="OLRo!A1" xr:uid="{00000000-0004-0000-2800-00001B000000}"/>
    <hyperlink ref="G60:H60" location="SD!A1" tooltip=" " display="SD!A1" xr:uid="{00000000-0004-0000-2800-00001C000000}"/>
    <hyperlink ref="G50:H50" location="ALdw!A1" tooltip=" " display="ALdw!A1" xr:uid="{00000000-0004-0000-2800-00001D000000}"/>
    <hyperlink ref="P4" location="'7K400P'!A1" tooltip=" " display="7K 400P" xr:uid="{00000000-0004-0000-2800-00001E000000}"/>
    <hyperlink ref="D9" location="'7C410P'!A1" tooltip=" " display="7C 410P" xr:uid="{00000000-0004-0000-2800-00001F000000}"/>
    <hyperlink ref="H21" location="'7C41NF'!A1" tooltip=" " display="7C 41NF" xr:uid="{00000000-0004-0000-2800-000020000000}"/>
    <hyperlink ref="L21" location="'7C41RF'!A1" tooltip=" " display="7C 31RF" xr:uid="{00000000-0004-0000-2800-000021000000}"/>
    <hyperlink ref="D21" location="'7C41VF'!A1" tooltip=" " display="7C 41VF" xr:uid="{00000000-0004-0000-2800-000022000000}"/>
    <hyperlink ref="P33" location="'7CM52F'!A1" tooltip=" " display="7C M52F" xr:uid="{00000000-0004-0000-2800-000023000000}"/>
    <hyperlink ref="D33" location="'7M442P'!A1" tooltip=" " display="7M 442P" xr:uid="{00000000-0004-0000-2800-000024000000}"/>
    <hyperlink ref="L33" location="'7CM52P'!A1" tooltip=" " display="7C M52P" xr:uid="{00000000-0004-0000-2800-000025000000}"/>
    <hyperlink ref="D27" location="'7C442P'!A1" tooltip=" " display="7C 442P" xr:uid="{00000000-0004-0000-2800-000026000000}"/>
    <hyperlink ref="H27" location="'7C442F'!A1" tooltip=" " display="7C 442F" xr:uid="{00000000-0004-0000-2800-000027000000}"/>
    <hyperlink ref="L27" location="'7CM42P'!A1" tooltip=" " display="7C M42P" xr:uid="{00000000-0004-0000-2800-000028000000}"/>
    <hyperlink ref="P27" location="'7CM42F'!A1" tooltip=" " display="7C M42F" xr:uid="{00000000-0004-0000-2800-000029000000}"/>
    <hyperlink ref="L45" location="'7STCRP'!A1" tooltip=" " display="7ST CRP" xr:uid="{00000000-0004-0000-2800-00002A000000}"/>
    <hyperlink ref="L39" location="'7STMRP'!A1" tooltip=" " display="7ST MRP" xr:uid="{00000000-0004-0000-2800-00002B000000}"/>
    <hyperlink ref="H45" location="'7STCGF'!A1" tooltip=" " display="7ST CGF" xr:uid="{00000000-0004-0000-2800-00002C000000}"/>
    <hyperlink ref="H39" location="'7STMGF'!A1" tooltip=" " display="7ST MGF" xr:uid="{00000000-0004-0000-2800-00002D000000}"/>
    <hyperlink ref="P45" location="'7STCRF'!A1" tooltip=" " display="7ST CRF" xr:uid="{00000000-0004-0000-2800-00002E000000}"/>
    <hyperlink ref="P39" location="'7STMRF'!A1" tooltip=" " display="7ST MRF" xr:uid="{00000000-0004-0000-2800-00002F000000}"/>
    <hyperlink ref="J55:L55" location="ALbot!A1" tooltip=" " display="ALbot!A1" xr:uid="{00000000-0004-0000-2800-000030000000}"/>
    <hyperlink ref="N55" location="ALkh!A1" tooltip=" " display="ALkh!A1" xr:uid="{00000000-0004-0000-2800-000031000000}"/>
    <hyperlink ref="N55:P55" location="ALrel!A1" tooltip=" " display="ALrel!A1" xr:uid="{00000000-0004-0000-2800-000032000000}"/>
    <hyperlink ref="N50" location="ALkh!A1" tooltip=" " display="ALkh!A1" xr:uid="{00000000-0004-0000-2800-000033000000}"/>
  </hyperlinks>
  <pageMargins left="0.7" right="0.7" top="0.78740157499999996" bottom="0.78740157499999996" header="0.3" footer="0.3"/>
  <pageSetup paperSize="9" scale="95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6"/>
  <dimension ref="F8:O12"/>
  <sheetViews>
    <sheetView workbookViewId="0">
      <selection activeCell="S41" sqref="S41"/>
    </sheetView>
  </sheetViews>
  <sheetFormatPr defaultColWidth="9.1796875" defaultRowHeight="14" x14ac:dyDescent="0.3"/>
  <cols>
    <col min="1" max="5" width="9.1796875" style="1"/>
    <col min="6" max="16" width="8.7265625" style="1" customWidth="1"/>
    <col min="17" max="16384" width="9.1796875" style="1"/>
  </cols>
  <sheetData>
    <row r="8" spans="6:15" ht="20.25" customHeight="1" x14ac:dyDescent="0.3"/>
    <row r="9" spans="6:15" x14ac:dyDescent="0.3">
      <c r="F9" s="891" t="s">
        <v>220</v>
      </c>
      <c r="G9" s="891"/>
      <c r="H9" s="892" t="s">
        <v>223</v>
      </c>
      <c r="I9" s="892"/>
      <c r="J9" s="893" t="s">
        <v>224</v>
      </c>
      <c r="K9" s="893"/>
      <c r="L9" s="894" t="s">
        <v>225</v>
      </c>
      <c r="M9" s="894"/>
      <c r="N9" s="889" t="s">
        <v>226</v>
      </c>
      <c r="O9" s="889"/>
    </row>
    <row r="10" spans="6:15" x14ac:dyDescent="0.3">
      <c r="F10" s="891"/>
      <c r="G10" s="891"/>
      <c r="H10" s="892"/>
      <c r="I10" s="892"/>
      <c r="J10" s="893"/>
      <c r="K10" s="893"/>
      <c r="L10" s="894"/>
      <c r="M10" s="894"/>
      <c r="N10" s="889"/>
      <c r="O10" s="889"/>
    </row>
    <row r="12" spans="6:15" x14ac:dyDescent="0.3">
      <c r="F12" s="890"/>
      <c r="G12" s="890"/>
      <c r="H12" s="890"/>
      <c r="I12" s="890"/>
      <c r="J12" s="890"/>
      <c r="K12" s="890"/>
    </row>
  </sheetData>
  <mergeCells count="6">
    <mergeCell ref="N9:O10"/>
    <mergeCell ref="F12:K12"/>
    <mergeCell ref="F9:G10"/>
    <mergeCell ref="H9:I10"/>
    <mergeCell ref="J9:K10"/>
    <mergeCell ref="L9:M10"/>
  </mergeCells>
  <phoneticPr fontId="52" type="noConversion"/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">
    <tabColor indexed="25"/>
  </sheetPr>
  <dimension ref="A1:DB367"/>
  <sheetViews>
    <sheetView showGridLines="0" showRowColHeaders="0" showZeros="0" workbookViewId="0">
      <pane ySplit="10" topLeftCell="A77" activePane="bottomLeft" state="frozen"/>
      <selection pane="bottomLeft" activeCell="BG2" sqref="BG2"/>
    </sheetView>
  </sheetViews>
  <sheetFormatPr defaultColWidth="9.1796875" defaultRowHeight="12.5" x14ac:dyDescent="0.25"/>
  <cols>
    <col min="1" max="1" width="1.453125" style="233" customWidth="1"/>
    <col min="2" max="2" width="41.453125" style="117" customWidth="1"/>
    <col min="3" max="3" width="14.54296875" style="117" customWidth="1"/>
    <col min="4" max="4" width="6" style="117" customWidth="1"/>
    <col min="5" max="5" width="2.81640625" style="657" customWidth="1"/>
    <col min="6" max="6" width="5" style="117" customWidth="1"/>
    <col min="7" max="8" width="9.1796875" style="117"/>
    <col min="9" max="9" width="4.453125" style="163" customWidth="1"/>
    <col min="10" max="10" width="9.1796875" style="117"/>
    <col min="11" max="11" width="10.1796875" style="117" customWidth="1"/>
    <col min="12" max="12" width="9.1796875" style="199" hidden="1" customWidth="1"/>
    <col min="13" max="13" width="13.7265625" style="786" hidden="1" customWidth="1"/>
    <col min="14" max="44" width="3.1796875" style="199" hidden="1" customWidth="1"/>
    <col min="45" max="45" width="3.1796875" style="457" hidden="1" customWidth="1"/>
    <col min="46" max="52" width="3.1796875" style="199" hidden="1" customWidth="1"/>
    <col min="53" max="53" width="3.1796875" style="457" hidden="1" customWidth="1"/>
    <col min="54" max="56" width="3.1796875" style="199" hidden="1" customWidth="1"/>
    <col min="57" max="57" width="9.1796875" style="199" hidden="1" customWidth="1"/>
    <col min="58" max="58" width="3.54296875" style="199" customWidth="1"/>
    <col min="59" max="59" width="25.81640625" style="199" customWidth="1"/>
    <col min="60" max="106" width="9.1796875" style="199"/>
    <col min="107" max="16384" width="9.1796875" style="117"/>
  </cols>
  <sheetData>
    <row r="1" spans="2:59" ht="29.25" customHeight="1" x14ac:dyDescent="0.45">
      <c r="B1" s="197" t="str">
        <f>List!$B$246</f>
        <v>Odběratel</v>
      </c>
      <c r="K1" s="198" t="str">
        <f>List!$B$20</f>
        <v>Objednávka</v>
      </c>
      <c r="BG1" s="200" t="str">
        <f>List!$B$11&amp;":"</f>
        <v>Zpět na:</v>
      </c>
    </row>
    <row r="2" spans="2:59" ht="13" thickBot="1" x14ac:dyDescent="0.3">
      <c r="B2" s="125">
        <f>Form!C104</f>
        <v>0</v>
      </c>
      <c r="C2" s="129"/>
      <c r="K2" s="164">
        <f>$H$7</f>
        <v>0</v>
      </c>
      <c r="BG2" s="149" t="str">
        <f>" "&amp;List!$B$13</f>
        <v xml:space="preserve"> Úvod</v>
      </c>
    </row>
    <row r="3" spans="2:59" ht="13.5" thickBot="1" x14ac:dyDescent="0.35">
      <c r="B3" s="125">
        <f>Form!C106</f>
        <v>0</v>
      </c>
      <c r="C3" s="542" t="str">
        <f>List!$B$249</f>
        <v>IČO, DIČ</v>
      </c>
      <c r="D3" s="201"/>
      <c r="E3" s="658"/>
      <c r="F3" s="124"/>
      <c r="G3" s="124"/>
      <c r="BG3" s="150" t="str">
        <f>" "&amp;List!$B$4</f>
        <v xml:space="preserve"> Výběr zásuvek a výsuvů</v>
      </c>
    </row>
    <row r="4" spans="2:59" ht="15.75" customHeight="1" thickBot="1" x14ac:dyDescent="0.3">
      <c r="B4" s="125">
        <f>Form!C107</f>
        <v>0</v>
      </c>
      <c r="C4" s="543">
        <f>Form!C114</f>
        <v>0</v>
      </c>
      <c r="D4" s="125"/>
      <c r="E4" s="659"/>
      <c r="F4" s="125"/>
      <c r="G4" s="124"/>
      <c r="H4" s="331"/>
      <c r="I4" s="331"/>
      <c r="J4" s="164" t="s">
        <v>995</v>
      </c>
      <c r="K4" s="710" t="str">
        <f>Form!$J$17&amp;" "</f>
        <v xml:space="preserve">2.2.1 </v>
      </c>
      <c r="BG4" s="150" t="str">
        <f>" "&amp;List!$B$5</f>
        <v xml:space="preserve"> Výběr doplňků</v>
      </c>
    </row>
    <row r="5" spans="2:59" ht="13" thickBot="1" x14ac:dyDescent="0.3">
      <c r="B5" s="125">
        <f>Form!C108</f>
        <v>0</v>
      </c>
      <c r="C5" s="543">
        <f>Form!C115</f>
        <v>0</v>
      </c>
      <c r="D5" s="202"/>
      <c r="E5" s="660"/>
      <c r="F5" s="202"/>
      <c r="G5" s="713"/>
      <c r="H5" s="713"/>
      <c r="I5" s="713"/>
      <c r="J5" s="711" t="str">
        <f>List!$B$255</f>
        <v>Platnost ceníku od</v>
      </c>
      <c r="K5" s="712">
        <f>Price!H8</f>
        <v>43543</v>
      </c>
      <c r="BG5" s="150" t="str">
        <f>" "&amp;List!$B$6</f>
        <v xml:space="preserve"> Výběr SERVO-DRIVE</v>
      </c>
    </row>
    <row r="6" spans="2:59" ht="13.5" thickBot="1" x14ac:dyDescent="0.35">
      <c r="B6" s="203" t="str">
        <f>List!$B$248</f>
        <v>Dodací adresa</v>
      </c>
      <c r="C6" s="544" t="str">
        <f>List!$B$250</f>
        <v>Telefon, fax, e-mail</v>
      </c>
      <c r="D6" s="204"/>
      <c r="E6" s="377"/>
      <c r="F6" s="205"/>
      <c r="G6" s="124"/>
      <c r="H6" s="206" t="str">
        <f>List!$B$251</f>
        <v>Číslo objednávky</v>
      </c>
      <c r="M6" s="787">
        <f>SUM(M11:M290)</f>
        <v>0</v>
      </c>
      <c r="BG6" s="242" t="str">
        <f>" "&amp;List!$B$7</f>
        <v xml:space="preserve"> Výběr AMBIA-LINE</v>
      </c>
    </row>
    <row r="7" spans="2:59" x14ac:dyDescent="0.25">
      <c r="B7" s="125">
        <f>Form!C110</f>
        <v>0</v>
      </c>
      <c r="C7" s="543">
        <f>Form!C117</f>
        <v>0</v>
      </c>
      <c r="D7" s="125"/>
      <c r="E7" s="659"/>
      <c r="F7" s="125"/>
      <c r="G7" s="125"/>
      <c r="H7" s="904"/>
      <c r="I7" s="904"/>
      <c r="J7" s="904"/>
      <c r="K7" s="904"/>
      <c r="BG7" s="150" t="str">
        <f>" "&amp;List!$B$18</f>
        <v xml:space="preserve"> Souhrn</v>
      </c>
    </row>
    <row r="8" spans="2:59" ht="12.75" customHeight="1" x14ac:dyDescent="0.3">
      <c r="B8" s="125">
        <f>Form!C111</f>
        <v>0</v>
      </c>
      <c r="C8" s="543">
        <f>Form!C118</f>
        <v>0</v>
      </c>
      <c r="D8" s="125"/>
      <c r="E8" s="659"/>
      <c r="F8" s="125"/>
      <c r="G8" s="125"/>
      <c r="H8" s="206" t="str">
        <f>List!$B$252</f>
        <v>Zakázka</v>
      </c>
      <c r="N8" s="896" t="s">
        <v>655</v>
      </c>
      <c r="O8" s="896" t="s">
        <v>656</v>
      </c>
      <c r="P8" s="896" t="s">
        <v>658</v>
      </c>
      <c r="Q8" s="896" t="s">
        <v>657</v>
      </c>
      <c r="R8" s="896" t="s">
        <v>660</v>
      </c>
      <c r="S8" s="898" t="s">
        <v>895</v>
      </c>
      <c r="T8" s="896" t="s">
        <v>896</v>
      </c>
      <c r="U8" s="898" t="s">
        <v>899</v>
      </c>
      <c r="V8" s="896" t="s">
        <v>897</v>
      </c>
      <c r="W8" s="898" t="s">
        <v>900</v>
      </c>
      <c r="X8" s="896" t="s">
        <v>898</v>
      </c>
      <c r="Y8" s="898" t="s">
        <v>901</v>
      </c>
      <c r="Z8" s="896" t="s">
        <v>659</v>
      </c>
      <c r="AB8" s="896" t="s">
        <v>737</v>
      </c>
      <c r="AC8" s="896" t="s">
        <v>736</v>
      </c>
      <c r="AD8" s="898" t="s">
        <v>905</v>
      </c>
      <c r="AE8" s="896" t="s">
        <v>910</v>
      </c>
      <c r="AF8" s="898" t="s">
        <v>911</v>
      </c>
      <c r="AH8" s="896" t="s">
        <v>904</v>
      </c>
      <c r="AI8" s="898" t="s">
        <v>912</v>
      </c>
      <c r="AK8" s="896" t="s">
        <v>738</v>
      </c>
      <c r="AL8" s="898" t="s">
        <v>906</v>
      </c>
      <c r="AM8" s="896" t="s">
        <v>739</v>
      </c>
      <c r="AN8" s="898" t="s">
        <v>914</v>
      </c>
      <c r="AO8" s="896" t="s">
        <v>740</v>
      </c>
      <c r="AP8" s="898" t="s">
        <v>915</v>
      </c>
      <c r="AQ8" s="896" t="s">
        <v>741</v>
      </c>
      <c r="AR8" s="898" t="s">
        <v>916</v>
      </c>
      <c r="AT8" s="899" t="s">
        <v>742</v>
      </c>
      <c r="AU8" s="899" t="s">
        <v>743</v>
      </c>
      <c r="AV8" s="716"/>
      <c r="AW8" s="899" t="s">
        <v>744</v>
      </c>
      <c r="AX8" s="899" t="s">
        <v>745</v>
      </c>
      <c r="AY8" s="899" t="s">
        <v>919</v>
      </c>
      <c r="AZ8" s="899" t="s">
        <v>746</v>
      </c>
      <c r="BB8" s="897" t="s">
        <v>747</v>
      </c>
      <c r="BC8" s="459"/>
      <c r="BD8" s="895" t="s">
        <v>758</v>
      </c>
      <c r="BG8" s="117"/>
    </row>
    <row r="9" spans="2:59" x14ac:dyDescent="0.25">
      <c r="B9" s="202">
        <f>Form!C112</f>
        <v>0</v>
      </c>
      <c r="C9" s="545">
        <f>Form!C119</f>
        <v>0</v>
      </c>
      <c r="D9" s="202"/>
      <c r="E9" s="660"/>
      <c r="F9" s="202"/>
      <c r="G9" s="202"/>
      <c r="H9" s="903"/>
      <c r="I9" s="903"/>
      <c r="J9" s="903"/>
      <c r="K9" s="903"/>
      <c r="L9" s="207"/>
      <c r="M9" s="788"/>
      <c r="N9" s="896"/>
      <c r="O9" s="896"/>
      <c r="P9" s="896"/>
      <c r="Q9" s="896"/>
      <c r="R9" s="896"/>
      <c r="S9" s="898"/>
      <c r="T9" s="896"/>
      <c r="U9" s="898"/>
      <c r="V9" s="896"/>
      <c r="W9" s="898"/>
      <c r="X9" s="896"/>
      <c r="Y9" s="898"/>
      <c r="Z9" s="896"/>
      <c r="AB9" s="896"/>
      <c r="AC9" s="896"/>
      <c r="AD9" s="898"/>
      <c r="AE9" s="896"/>
      <c r="AF9" s="898"/>
      <c r="AH9" s="896"/>
      <c r="AI9" s="898"/>
      <c r="AK9" s="896"/>
      <c r="AL9" s="898"/>
      <c r="AM9" s="896"/>
      <c r="AN9" s="898"/>
      <c r="AO9" s="896"/>
      <c r="AP9" s="898"/>
      <c r="AQ9" s="896"/>
      <c r="AR9" s="898"/>
      <c r="AT9" s="899"/>
      <c r="AU9" s="899"/>
      <c r="AV9" s="716"/>
      <c r="AW9" s="899"/>
      <c r="AX9" s="899"/>
      <c r="AY9" s="899"/>
      <c r="AZ9" s="899"/>
      <c r="BB9" s="897"/>
      <c r="BC9" s="459"/>
      <c r="BD9" s="895"/>
      <c r="BG9" s="117"/>
    </row>
    <row r="10" spans="2:59" ht="47.25" customHeight="1" x14ac:dyDescent="0.25">
      <c r="B10" s="208" t="str">
        <f>Cen!A10</f>
        <v>Název</v>
      </c>
      <c r="C10" s="208" t="str">
        <f>Cen!B10</f>
        <v>Číslo artiklu</v>
      </c>
      <c r="D10" s="208" t="str">
        <f>Cen!C10</f>
        <v>Barva</v>
      </c>
      <c r="E10" s="661" t="str">
        <f>Cen!D10</f>
        <v>Dostupnost</v>
      </c>
      <c r="F10" s="714" t="str">
        <f>Cen!E10</f>
        <v>Počet</v>
      </c>
      <c r="G10" s="209" t="str">
        <f>Cen!F10</f>
        <v>Jednotková cena</v>
      </c>
      <c r="H10" s="715" t="str">
        <f>Cen!G10</f>
        <v>Celkem</v>
      </c>
      <c r="I10" s="541" t="str">
        <f>Cen!H10</f>
        <v>Změna</v>
      </c>
      <c r="J10" s="209" t="str">
        <f>Cen!I10</f>
        <v>IDNr.</v>
      </c>
      <c r="K10" s="209">
        <f>Cen!J10</f>
        <v>0</v>
      </c>
      <c r="L10" s="210" t="s">
        <v>125</v>
      </c>
      <c r="M10" s="786" t="s">
        <v>126</v>
      </c>
      <c r="N10" s="896"/>
      <c r="O10" s="896"/>
      <c r="P10" s="896"/>
      <c r="Q10" s="896"/>
      <c r="R10" s="896"/>
      <c r="S10" s="898"/>
      <c r="T10" s="896"/>
      <c r="U10" s="898"/>
      <c r="V10" s="896"/>
      <c r="W10" s="898"/>
      <c r="X10" s="896"/>
      <c r="Y10" s="898"/>
      <c r="Z10" s="896"/>
      <c r="AB10" s="896"/>
      <c r="AC10" s="896"/>
      <c r="AD10" s="898"/>
      <c r="AE10" s="896"/>
      <c r="AF10" s="898"/>
      <c r="AH10" s="896"/>
      <c r="AI10" s="898"/>
      <c r="AK10" s="896"/>
      <c r="AL10" s="898"/>
      <c r="AM10" s="896"/>
      <c r="AN10" s="898"/>
      <c r="AO10" s="896"/>
      <c r="AP10" s="898"/>
      <c r="AQ10" s="896"/>
      <c r="AR10" s="898"/>
      <c r="AT10" s="899"/>
      <c r="AU10" s="899"/>
      <c r="AV10" s="716" t="s">
        <v>1009</v>
      </c>
      <c r="AW10" s="899"/>
      <c r="AX10" s="899"/>
      <c r="AY10" s="899"/>
      <c r="AZ10" s="899"/>
      <c r="BB10" s="897"/>
      <c r="BC10" s="459" t="s">
        <v>748</v>
      </c>
      <c r="BD10" s="895"/>
      <c r="BG10" s="117"/>
    </row>
    <row r="11" spans="2:59" x14ac:dyDescent="0.25">
      <c r="B11" s="211" t="str">
        <f>Cen!A11</f>
        <v>Bočnice N 400mm, Orion šedá</v>
      </c>
      <c r="C11" s="211" t="str">
        <f>Cen!B11</f>
        <v>770N4002S</v>
      </c>
      <c r="D11" s="211" t="str">
        <f>Cen!C11</f>
        <v>OG-M</v>
      </c>
      <c r="E11" s="662" t="str">
        <f>Cen!D11</f>
        <v>!</v>
      </c>
      <c r="F11" s="193">
        <f t="shared" ref="F11" si="0">IF(I11&gt;0,I11,SUM(N11:BC11))</f>
        <v>0</v>
      </c>
      <c r="G11" s="212">
        <f>Cen!F11</f>
        <v>595.32592999999997</v>
      </c>
      <c r="H11" s="764">
        <f t="shared" ref="H11" si="1">M11</f>
        <v>0</v>
      </c>
      <c r="I11" s="237"/>
      <c r="J11" s="213">
        <f>Cen!I11</f>
        <v>1644316</v>
      </c>
      <c r="K11" s="213">
        <f>Cen!J11</f>
        <v>348904</v>
      </c>
      <c r="L11" s="214">
        <f t="shared" ref="L11" si="2">IF(I11="x",0,IF(I11&gt;0,I11,F11))</f>
        <v>0</v>
      </c>
      <c r="M11" s="789">
        <f t="shared" ref="M11" si="3">PRODUCT(L11,G11)</f>
        <v>0</v>
      </c>
      <c r="N11" s="745">
        <f>'7N400P'!S6</f>
        <v>0</v>
      </c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458"/>
      <c r="AT11" s="219"/>
      <c r="AU11" s="219"/>
      <c r="AV11" s="219"/>
      <c r="AW11" s="219"/>
      <c r="AX11" s="219"/>
      <c r="AY11" s="219"/>
      <c r="AZ11" s="219"/>
      <c r="BA11" s="458"/>
      <c r="BB11" s="219"/>
      <c r="BC11" s="219"/>
      <c r="BD11" s="536"/>
      <c r="BE11" s="210"/>
    </row>
    <row r="12" spans="2:59" x14ac:dyDescent="0.25">
      <c r="B12" s="215" t="str">
        <f>Cen!A16</f>
        <v>Bočnice N 450mm, Orion šedá</v>
      </c>
      <c r="C12" s="215" t="str">
        <f>Cen!B16</f>
        <v>770N4502S</v>
      </c>
      <c r="D12" s="215" t="str">
        <f>Cen!C16</f>
        <v>OG-M</v>
      </c>
      <c r="E12" s="593" t="str">
        <f>Cen!D16</f>
        <v>!</v>
      </c>
      <c r="F12" s="194">
        <f t="shared" ref="F12:F52" si="4">IF(I12&gt;0,I12,SUM(N12:BC12))</f>
        <v>0</v>
      </c>
      <c r="G12" s="216">
        <f>Cen!F16</f>
        <v>602.38358000000005</v>
      </c>
      <c r="H12" s="765">
        <f t="shared" ref="H12:H19" si="5">M12</f>
        <v>0</v>
      </c>
      <c r="I12" s="228"/>
      <c r="J12" s="218">
        <f>Cen!I16</f>
        <v>9950830</v>
      </c>
      <c r="K12" s="218">
        <f>Cen!J16</f>
        <v>227434</v>
      </c>
      <c r="L12" s="214">
        <f t="shared" ref="L12:L79" si="6">IF(I12="x",0,IF(I12&gt;0,I12,F12))</f>
        <v>0</v>
      </c>
      <c r="M12" s="789">
        <f t="shared" ref="M12:M79" si="7">PRODUCT(L12,G12)</f>
        <v>0</v>
      </c>
      <c r="N12" s="348">
        <f>'7N400P'!S7</f>
        <v>0</v>
      </c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458"/>
      <c r="AT12" s="219"/>
      <c r="AU12" s="219"/>
      <c r="AV12" s="219"/>
      <c r="AW12" s="219"/>
      <c r="AX12" s="219"/>
      <c r="AY12" s="219"/>
      <c r="AZ12" s="219"/>
      <c r="BA12" s="458"/>
      <c r="BB12" s="219"/>
      <c r="BC12" s="219"/>
      <c r="BD12" s="536">
        <f t="shared" ref="BD12:BD54" si="8">IF(AND(E12&gt;0,F12&gt;0),1,0)</f>
        <v>0</v>
      </c>
      <c r="BE12" s="210"/>
    </row>
    <row r="13" spans="2:59" x14ac:dyDescent="0.25">
      <c r="B13" s="215" t="str">
        <f>Cen!A21</f>
        <v>Bočnice N 500mm, Orion šedá</v>
      </c>
      <c r="C13" s="215" t="str">
        <f>Cen!B21</f>
        <v>770N5002S</v>
      </c>
      <c r="D13" s="215" t="str">
        <f>Cen!C21</f>
        <v>OG-M</v>
      </c>
      <c r="E13" s="593">
        <f>Cen!D21</f>
        <v>0</v>
      </c>
      <c r="F13" s="194">
        <f t="shared" si="4"/>
        <v>0</v>
      </c>
      <c r="G13" s="216">
        <f>Cen!F21</f>
        <v>609.44718999999998</v>
      </c>
      <c r="H13" s="765">
        <f t="shared" si="5"/>
        <v>0</v>
      </c>
      <c r="I13" s="228"/>
      <c r="J13" s="218">
        <f>Cen!I21</f>
        <v>9978373</v>
      </c>
      <c r="K13" s="218">
        <f>Cen!J21</f>
        <v>227438</v>
      </c>
      <c r="L13" s="214">
        <f t="shared" si="6"/>
        <v>0</v>
      </c>
      <c r="M13" s="789">
        <f t="shared" si="7"/>
        <v>0</v>
      </c>
      <c r="N13" s="348">
        <f>'7N400P'!S8</f>
        <v>0</v>
      </c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458"/>
      <c r="AT13" s="219"/>
      <c r="AU13" s="219"/>
      <c r="AV13" s="219"/>
      <c r="AW13" s="219"/>
      <c r="AX13" s="219"/>
      <c r="AY13" s="219"/>
      <c r="AZ13" s="219"/>
      <c r="BA13" s="458"/>
      <c r="BB13" s="219"/>
      <c r="BC13" s="219"/>
      <c r="BD13" s="536">
        <f t="shared" si="8"/>
        <v>0</v>
      </c>
      <c r="BE13" s="210"/>
    </row>
    <row r="14" spans="2:59" x14ac:dyDescent="0.25">
      <c r="B14" s="215" t="str">
        <f>Cen!A26</f>
        <v>Bočnice N 550mm, Orion šedá</v>
      </c>
      <c r="C14" s="215" t="str">
        <f>Cen!B26</f>
        <v>770N5502S</v>
      </c>
      <c r="D14" s="215" t="str">
        <f>Cen!C26</f>
        <v>OG-M</v>
      </c>
      <c r="E14" s="593" t="str">
        <f>Cen!D26</f>
        <v>!</v>
      </c>
      <c r="F14" s="194">
        <f t="shared" ref="F14" si="9">IF(I14&gt;0,I14,SUM(N14:BC14))</f>
        <v>0</v>
      </c>
      <c r="G14" s="216">
        <f>Cen!F26</f>
        <v>665.95</v>
      </c>
      <c r="H14" s="765">
        <f t="shared" ref="H14" si="10">M14</f>
        <v>0</v>
      </c>
      <c r="I14" s="228"/>
      <c r="J14" s="218">
        <f>Cen!I26</f>
        <v>2041244</v>
      </c>
      <c r="K14" s="218">
        <f>Cen!J26</f>
        <v>348913</v>
      </c>
      <c r="L14" s="214">
        <f t="shared" ref="L14" si="11">IF(I14="x",0,IF(I14&gt;0,I14,F14))</f>
        <v>0</v>
      </c>
      <c r="M14" s="789">
        <f t="shared" ref="M14" si="12">PRODUCT(L14,G14)</f>
        <v>0</v>
      </c>
      <c r="N14" s="745">
        <f>'7N400P'!S9</f>
        <v>0</v>
      </c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458"/>
      <c r="AT14" s="219"/>
      <c r="AU14" s="219"/>
      <c r="AV14" s="219"/>
      <c r="AW14" s="219"/>
      <c r="AX14" s="219"/>
      <c r="AY14" s="219"/>
      <c r="AZ14" s="219"/>
      <c r="BA14" s="458"/>
      <c r="BB14" s="219"/>
      <c r="BC14" s="219"/>
      <c r="BD14" s="536"/>
      <c r="BE14" s="210"/>
    </row>
    <row r="15" spans="2:59" x14ac:dyDescent="0.25">
      <c r="B15" s="215" t="str">
        <f>Cen!A31</f>
        <v>Bočnice M 270mm, Orion šedá</v>
      </c>
      <c r="C15" s="215" t="str">
        <f>Cen!B31</f>
        <v>770M2702S</v>
      </c>
      <c r="D15" s="215" t="str">
        <f>Cen!C31</f>
        <v>OG-M</v>
      </c>
      <c r="E15" s="593">
        <f>Cen!D31</f>
        <v>0</v>
      </c>
      <c r="F15" s="194">
        <f t="shared" si="4"/>
        <v>0</v>
      </c>
      <c r="G15" s="216">
        <f>Cen!F31</f>
        <v>588.26232000000005</v>
      </c>
      <c r="H15" s="765">
        <f t="shared" si="5"/>
        <v>0</v>
      </c>
      <c r="I15" s="228"/>
      <c r="J15" s="218">
        <f>Cen!I31</f>
        <v>8145106</v>
      </c>
      <c r="K15" s="218">
        <f>Cen!J31</f>
        <v>227442</v>
      </c>
      <c r="L15" s="214">
        <f t="shared" si="6"/>
        <v>0</v>
      </c>
      <c r="M15" s="789">
        <f t="shared" si="7"/>
        <v>0</v>
      </c>
      <c r="N15" s="219"/>
      <c r="O15" s="348">
        <f>'7M400P'!S3</f>
        <v>0</v>
      </c>
      <c r="P15" s="348">
        <f>'7M40VP'!S3</f>
        <v>0</v>
      </c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458"/>
      <c r="AT15" s="219"/>
      <c r="AU15" s="219"/>
      <c r="AV15" s="219"/>
      <c r="AW15" s="219"/>
      <c r="AX15" s="219"/>
      <c r="AY15" s="219"/>
      <c r="AZ15" s="219"/>
      <c r="BA15" s="458"/>
      <c r="BB15" s="219"/>
      <c r="BC15" s="219"/>
      <c r="BD15" s="536">
        <f t="shared" si="8"/>
        <v>0</v>
      </c>
      <c r="BE15" s="210"/>
    </row>
    <row r="16" spans="2:59" x14ac:dyDescent="0.25">
      <c r="B16" s="215" t="str">
        <f>Cen!A36</f>
        <v>Bočnice M 300mm, Orion šedá</v>
      </c>
      <c r="C16" s="215" t="str">
        <f>Cen!B36</f>
        <v>770M3002S</v>
      </c>
      <c r="D16" s="215" t="str">
        <f>Cen!C36</f>
        <v>OG-M</v>
      </c>
      <c r="E16" s="593">
        <f>Cen!D36</f>
        <v>0</v>
      </c>
      <c r="F16" s="194">
        <f t="shared" si="4"/>
        <v>0</v>
      </c>
      <c r="G16" s="216">
        <f>Cen!F36</f>
        <v>588.26232000000005</v>
      </c>
      <c r="H16" s="765">
        <f t="shared" si="5"/>
        <v>0</v>
      </c>
      <c r="I16" s="228"/>
      <c r="J16" s="218">
        <f>Cen!I36</f>
        <v>8163892</v>
      </c>
      <c r="K16" s="218">
        <f>Cen!J36</f>
        <v>227446</v>
      </c>
      <c r="L16" s="214">
        <f t="shared" si="6"/>
        <v>0</v>
      </c>
      <c r="M16" s="789">
        <f t="shared" si="7"/>
        <v>0</v>
      </c>
      <c r="N16" s="219"/>
      <c r="O16" s="348">
        <f>'7M400P'!S4</f>
        <v>0</v>
      </c>
      <c r="P16" s="348">
        <f>'7M40VP'!S4</f>
        <v>0</v>
      </c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348">
        <f>'7CM42P'!S3</f>
        <v>0</v>
      </c>
      <c r="AF16" s="348">
        <f>'7CM42F'!S3</f>
        <v>0</v>
      </c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458"/>
      <c r="AT16" s="219"/>
      <c r="AU16" s="219"/>
      <c r="AV16" s="219"/>
      <c r="AW16" s="219"/>
      <c r="AX16" s="219"/>
      <c r="AY16" s="219"/>
      <c r="AZ16" s="219"/>
      <c r="BA16" s="458"/>
      <c r="BB16" s="219"/>
      <c r="BC16" s="219"/>
      <c r="BD16" s="536">
        <f t="shared" si="8"/>
        <v>0</v>
      </c>
      <c r="BE16" s="210"/>
    </row>
    <row r="17" spans="2:57" x14ac:dyDescent="0.25">
      <c r="B17" s="215" t="str">
        <f>Cen!A41</f>
        <v>Bočnice M 350mm, Orion šedá</v>
      </c>
      <c r="C17" s="215" t="str">
        <f>Cen!B41</f>
        <v>770M3502S</v>
      </c>
      <c r="D17" s="215" t="str">
        <f>Cen!C41</f>
        <v>OG-M</v>
      </c>
      <c r="E17" s="593">
        <f>Cen!D41</f>
        <v>0</v>
      </c>
      <c r="F17" s="194">
        <f t="shared" si="4"/>
        <v>0</v>
      </c>
      <c r="G17" s="216">
        <f>Cen!F41</f>
        <v>588.26232000000005</v>
      </c>
      <c r="H17" s="765">
        <f t="shared" si="5"/>
        <v>0</v>
      </c>
      <c r="I17" s="228"/>
      <c r="J17" s="218">
        <f>Cen!I41</f>
        <v>8232508</v>
      </c>
      <c r="K17" s="218">
        <f>Cen!J41</f>
        <v>227450</v>
      </c>
      <c r="L17" s="214">
        <f t="shared" si="6"/>
        <v>0</v>
      </c>
      <c r="M17" s="789">
        <f t="shared" si="7"/>
        <v>0</v>
      </c>
      <c r="N17" s="219"/>
      <c r="O17" s="348">
        <f>'7M400P'!S5</f>
        <v>0</v>
      </c>
      <c r="P17" s="348">
        <f>'7M40VP'!S5</f>
        <v>0</v>
      </c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348">
        <f>'7CM42P'!S4</f>
        <v>0</v>
      </c>
      <c r="AF17" s="348">
        <f>'7CM42F'!S4</f>
        <v>0</v>
      </c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458"/>
      <c r="AT17" s="219"/>
      <c r="AU17" s="219"/>
      <c r="AV17" s="219"/>
      <c r="AW17" s="219"/>
      <c r="AX17" s="219"/>
      <c r="AY17" s="219"/>
      <c r="AZ17" s="219"/>
      <c r="BA17" s="458"/>
      <c r="BB17" s="219"/>
      <c r="BC17" s="219"/>
      <c r="BD17" s="536">
        <f t="shared" si="8"/>
        <v>0</v>
      </c>
      <c r="BE17" s="210"/>
    </row>
    <row r="18" spans="2:57" x14ac:dyDescent="0.25">
      <c r="B18" s="215" t="str">
        <f>Cen!A46</f>
        <v>Bočnice M 400mm, Orion šedá</v>
      </c>
      <c r="C18" s="215" t="str">
        <f>Cen!B46</f>
        <v>770M4002S</v>
      </c>
      <c r="D18" s="215" t="str">
        <f>Cen!C46</f>
        <v>OG-M</v>
      </c>
      <c r="E18" s="593">
        <f>Cen!D46</f>
        <v>0</v>
      </c>
      <c r="F18" s="194">
        <f t="shared" si="4"/>
        <v>0</v>
      </c>
      <c r="G18" s="216">
        <f>Cen!F46</f>
        <v>595.32592999999997</v>
      </c>
      <c r="H18" s="765">
        <f t="shared" si="5"/>
        <v>0</v>
      </c>
      <c r="I18" s="228"/>
      <c r="J18" s="218">
        <f>Cen!I46</f>
        <v>8385764</v>
      </c>
      <c r="K18" s="218">
        <f>Cen!J46</f>
        <v>227454</v>
      </c>
      <c r="L18" s="214">
        <f t="shared" si="6"/>
        <v>0</v>
      </c>
      <c r="M18" s="789">
        <f t="shared" si="7"/>
        <v>0</v>
      </c>
      <c r="N18" s="219"/>
      <c r="O18" s="348">
        <f>'7M400P'!S6</f>
        <v>0</v>
      </c>
      <c r="P18" s="348">
        <f>'7M40VP'!S6</f>
        <v>0</v>
      </c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348">
        <f>'7CM42P'!S5</f>
        <v>0</v>
      </c>
      <c r="AF18" s="348">
        <f>'7CM42F'!S5</f>
        <v>0</v>
      </c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458"/>
      <c r="AT18" s="219"/>
      <c r="AU18" s="219"/>
      <c r="AV18" s="219"/>
      <c r="AW18" s="219"/>
      <c r="AX18" s="219"/>
      <c r="AY18" s="219"/>
      <c r="AZ18" s="219"/>
      <c r="BA18" s="458"/>
      <c r="BB18" s="219"/>
      <c r="BC18" s="219"/>
      <c r="BD18" s="536">
        <f t="shared" si="8"/>
        <v>0</v>
      </c>
      <c r="BE18" s="210"/>
    </row>
    <row r="19" spans="2:57" x14ac:dyDescent="0.25">
      <c r="B19" s="215" t="str">
        <f>Cen!A51</f>
        <v>Bočnice M 450mm, Orion šedá</v>
      </c>
      <c r="C19" s="215" t="str">
        <f>Cen!B51</f>
        <v>770M4502S</v>
      </c>
      <c r="D19" s="215" t="str">
        <f>Cen!C51</f>
        <v>OG-M</v>
      </c>
      <c r="E19" s="593">
        <f>Cen!D51</f>
        <v>0</v>
      </c>
      <c r="F19" s="194">
        <f t="shared" si="4"/>
        <v>0</v>
      </c>
      <c r="G19" s="216">
        <f>Cen!F51</f>
        <v>588.37465999999995</v>
      </c>
      <c r="H19" s="765">
        <f t="shared" si="5"/>
        <v>0</v>
      </c>
      <c r="I19" s="228"/>
      <c r="J19" s="218">
        <f>Cen!I51</f>
        <v>8435320</v>
      </c>
      <c r="K19" s="218">
        <f>Cen!J51</f>
        <v>227458</v>
      </c>
      <c r="L19" s="214">
        <f t="shared" si="6"/>
        <v>0</v>
      </c>
      <c r="M19" s="789">
        <f t="shared" si="7"/>
        <v>0</v>
      </c>
      <c r="N19" s="219"/>
      <c r="O19" s="348">
        <f>'7M400P'!S7</f>
        <v>0</v>
      </c>
      <c r="P19" s="348">
        <f>'7M40VP'!S7</f>
        <v>0</v>
      </c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348">
        <f>'7M442P'!S7</f>
        <v>0</v>
      </c>
      <c r="AC19" s="219"/>
      <c r="AD19" s="219"/>
      <c r="AE19" s="348">
        <f>'7CM42P'!S6</f>
        <v>0</v>
      </c>
      <c r="AF19" s="348">
        <f>'7CM42F'!S6</f>
        <v>0</v>
      </c>
      <c r="AG19" s="219"/>
      <c r="AH19" s="348">
        <f>'7CM52P'!S3</f>
        <v>0</v>
      </c>
      <c r="AI19" s="348">
        <f>'7CM52F'!S3</f>
        <v>0</v>
      </c>
      <c r="AJ19" s="219"/>
      <c r="AK19" s="219"/>
      <c r="AL19" s="219"/>
      <c r="AM19" s="219"/>
      <c r="AN19" s="219"/>
      <c r="AO19" s="348">
        <f>'7STMGP'!S3</f>
        <v>0</v>
      </c>
      <c r="AP19" s="348">
        <f>'7STMGF'!S3</f>
        <v>0</v>
      </c>
      <c r="AQ19" s="348">
        <f>'7STMRP'!S3</f>
        <v>0</v>
      </c>
      <c r="AR19" s="348">
        <f>'7STMRF'!S3</f>
        <v>0</v>
      </c>
      <c r="AS19" s="458"/>
      <c r="AT19" s="219"/>
      <c r="AU19" s="219"/>
      <c r="AV19" s="219"/>
      <c r="AW19" s="219"/>
      <c r="AX19" s="219"/>
      <c r="AY19" s="219"/>
      <c r="AZ19" s="219"/>
      <c r="BA19" s="458"/>
      <c r="BB19" s="219"/>
      <c r="BC19" s="219"/>
      <c r="BD19" s="536">
        <f t="shared" si="8"/>
        <v>0</v>
      </c>
      <c r="BE19" s="210"/>
    </row>
    <row r="20" spans="2:57" x14ac:dyDescent="0.25">
      <c r="B20" s="215" t="str">
        <f>Cen!A56</f>
        <v>Bočnice M 500mm, Orion šedá</v>
      </c>
      <c r="C20" s="215" t="str">
        <f>Cen!B56</f>
        <v>770M5002S</v>
      </c>
      <c r="D20" s="215" t="str">
        <f>Cen!C56</f>
        <v>OG-M</v>
      </c>
      <c r="E20" s="593">
        <f>Cen!D56</f>
        <v>0</v>
      </c>
      <c r="F20" s="194">
        <f t="shared" si="4"/>
        <v>0</v>
      </c>
      <c r="G20" s="216">
        <f>Cen!F56</f>
        <v>595.274</v>
      </c>
      <c r="H20" s="765">
        <f t="shared" ref="H20:H51" si="13">M20</f>
        <v>0</v>
      </c>
      <c r="I20" s="228"/>
      <c r="J20" s="218">
        <f>Cen!I56</f>
        <v>8477460</v>
      </c>
      <c r="K20" s="218">
        <f>Cen!J56</f>
        <v>227462</v>
      </c>
      <c r="L20" s="214">
        <f t="shared" si="6"/>
        <v>0</v>
      </c>
      <c r="M20" s="789">
        <f t="shared" si="7"/>
        <v>0</v>
      </c>
      <c r="N20" s="219"/>
      <c r="O20" s="348">
        <f>'7M400P'!S8</f>
        <v>0</v>
      </c>
      <c r="P20" s="348">
        <f>'7M40VP'!S8</f>
        <v>0</v>
      </c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348">
        <f>'7M442P'!S8</f>
        <v>0</v>
      </c>
      <c r="AC20" s="219"/>
      <c r="AD20" s="219"/>
      <c r="AE20" s="348">
        <f>'7CM42P'!S7</f>
        <v>0</v>
      </c>
      <c r="AF20" s="348">
        <f>'7CM42F'!S7</f>
        <v>0</v>
      </c>
      <c r="AG20" s="219"/>
      <c r="AH20" s="348">
        <f>'7CM52P'!S4</f>
        <v>0</v>
      </c>
      <c r="AI20" s="348">
        <f>'7CM52F'!S4</f>
        <v>0</v>
      </c>
      <c r="AJ20" s="219"/>
      <c r="AK20" s="219"/>
      <c r="AL20" s="219"/>
      <c r="AM20" s="219"/>
      <c r="AN20" s="219"/>
      <c r="AO20" s="348">
        <f>'7STMGP'!S4</f>
        <v>0</v>
      </c>
      <c r="AP20" s="348">
        <f>'7STMGF'!S4</f>
        <v>0</v>
      </c>
      <c r="AQ20" s="348">
        <f>'7STMRP'!S4</f>
        <v>0</v>
      </c>
      <c r="AR20" s="348">
        <f>'7STMRF'!S4</f>
        <v>0</v>
      </c>
      <c r="AS20" s="458"/>
      <c r="AT20" s="219"/>
      <c r="AU20" s="219"/>
      <c r="AV20" s="219"/>
      <c r="AW20" s="219"/>
      <c r="AX20" s="219"/>
      <c r="AY20" s="219"/>
      <c r="AZ20" s="219"/>
      <c r="BA20" s="458"/>
      <c r="BB20" s="219"/>
      <c r="BC20" s="219"/>
      <c r="BD20" s="536">
        <f t="shared" si="8"/>
        <v>0</v>
      </c>
      <c r="BE20" s="210"/>
    </row>
    <row r="21" spans="2:57" x14ac:dyDescent="0.25">
      <c r="B21" s="215" t="str">
        <f>Cen!A61</f>
        <v>Bočnice M 550mm, Orion šedá</v>
      </c>
      <c r="C21" s="215" t="str">
        <f>Cen!B61</f>
        <v>770M5502S</v>
      </c>
      <c r="D21" s="215" t="str">
        <f>Cen!C61</f>
        <v>OG-M</v>
      </c>
      <c r="E21" s="593">
        <f>Cen!D61</f>
        <v>0</v>
      </c>
      <c r="F21" s="194">
        <f t="shared" si="4"/>
        <v>0</v>
      </c>
      <c r="G21" s="216">
        <f>Cen!F61</f>
        <v>665.94478000000004</v>
      </c>
      <c r="H21" s="765">
        <f t="shared" si="13"/>
        <v>0</v>
      </c>
      <c r="I21" s="228"/>
      <c r="J21" s="218">
        <f>Cen!I61</f>
        <v>8616258</v>
      </c>
      <c r="K21" s="218">
        <f>Cen!J61</f>
        <v>227466</v>
      </c>
      <c r="L21" s="214">
        <f t="shared" si="6"/>
        <v>0</v>
      </c>
      <c r="M21" s="789">
        <f t="shared" si="7"/>
        <v>0</v>
      </c>
      <c r="N21" s="219"/>
      <c r="O21" s="348">
        <f>'7M400P'!S9</f>
        <v>0</v>
      </c>
      <c r="P21" s="348">
        <f>'7M40VP'!S9</f>
        <v>0</v>
      </c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348">
        <f>'7M442P'!S9</f>
        <v>0</v>
      </c>
      <c r="AC21" s="219"/>
      <c r="AD21" s="219"/>
      <c r="AE21" s="219"/>
      <c r="AF21" s="219"/>
      <c r="AG21" s="219"/>
      <c r="AH21" s="348">
        <f>'7CM52P'!S5</f>
        <v>0</v>
      </c>
      <c r="AI21" s="348">
        <f>'7CM52F'!S5</f>
        <v>0</v>
      </c>
      <c r="AJ21" s="219"/>
      <c r="AK21" s="219"/>
      <c r="AL21" s="219"/>
      <c r="AM21" s="219"/>
      <c r="AN21" s="219"/>
      <c r="AO21" s="348">
        <f>'7STMGP'!S5</f>
        <v>0</v>
      </c>
      <c r="AP21" s="348">
        <f>'7STMGF'!S5</f>
        <v>0</v>
      </c>
      <c r="AQ21" s="348">
        <f>'7STMRP'!S5</f>
        <v>0</v>
      </c>
      <c r="AR21" s="348">
        <f>'7STMRF'!S5</f>
        <v>0</v>
      </c>
      <c r="AS21" s="458"/>
      <c r="AT21" s="219"/>
      <c r="AU21" s="219"/>
      <c r="AV21" s="219"/>
      <c r="AW21" s="219"/>
      <c r="AX21" s="219"/>
      <c r="AY21" s="219"/>
      <c r="AZ21" s="219"/>
      <c r="BA21" s="458"/>
      <c r="BB21" s="219"/>
      <c r="BC21" s="219"/>
      <c r="BD21" s="536">
        <f t="shared" si="8"/>
        <v>0</v>
      </c>
      <c r="BE21" s="210"/>
    </row>
    <row r="22" spans="2:57" x14ac:dyDescent="0.25">
      <c r="B22" s="215" t="str">
        <f>Cen!A66</f>
        <v>Bočnice M 600mm, Orion šedá</v>
      </c>
      <c r="C22" s="215" t="str">
        <f>Cen!B66</f>
        <v>770M6002S</v>
      </c>
      <c r="D22" s="215" t="str">
        <f>Cen!C66</f>
        <v>OG-M</v>
      </c>
      <c r="E22" s="593">
        <f>Cen!D66</f>
        <v>0</v>
      </c>
      <c r="F22" s="194">
        <f t="shared" si="4"/>
        <v>0</v>
      </c>
      <c r="G22" s="216">
        <f>Cen!F66</f>
        <v>754.21731</v>
      </c>
      <c r="H22" s="765">
        <f t="shared" si="13"/>
        <v>0</v>
      </c>
      <c r="I22" s="228"/>
      <c r="J22" s="218">
        <f>Cen!I66</f>
        <v>8684084</v>
      </c>
      <c r="K22" s="218">
        <f>Cen!J66</f>
        <v>227470</v>
      </c>
      <c r="L22" s="214">
        <f t="shared" si="6"/>
        <v>0</v>
      </c>
      <c r="M22" s="789">
        <f t="shared" si="7"/>
        <v>0</v>
      </c>
      <c r="N22" s="219"/>
      <c r="O22" s="348">
        <f>'7M400P'!S10</f>
        <v>0</v>
      </c>
      <c r="P22" s="348">
        <f>'7M40VP'!S10</f>
        <v>0</v>
      </c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348">
        <f>'7M442P'!S10</f>
        <v>0</v>
      </c>
      <c r="AC22" s="219"/>
      <c r="AD22" s="219"/>
      <c r="AE22" s="219"/>
      <c r="AF22" s="219"/>
      <c r="AG22" s="219"/>
      <c r="AH22" s="348">
        <f>'7CM52P'!S6</f>
        <v>0</v>
      </c>
      <c r="AI22" s="348">
        <f>'7CM52F'!S6</f>
        <v>0</v>
      </c>
      <c r="AJ22" s="219"/>
      <c r="AK22" s="219"/>
      <c r="AL22" s="219"/>
      <c r="AM22" s="219"/>
      <c r="AN22" s="219"/>
      <c r="AO22" s="219"/>
      <c r="AP22" s="219"/>
      <c r="AQ22" s="219"/>
      <c r="AR22" s="219"/>
      <c r="AS22" s="458"/>
      <c r="AT22" s="219"/>
      <c r="AU22" s="219"/>
      <c r="AV22" s="219"/>
      <c r="AW22" s="219"/>
      <c r="AX22" s="219"/>
      <c r="AY22" s="219"/>
      <c r="AZ22" s="219"/>
      <c r="BA22" s="458"/>
      <c r="BB22" s="219"/>
      <c r="BC22" s="219"/>
      <c r="BD22" s="536">
        <f t="shared" si="8"/>
        <v>0</v>
      </c>
      <c r="BE22" s="210"/>
    </row>
    <row r="23" spans="2:57" x14ac:dyDescent="0.25">
      <c r="B23" s="215" t="str">
        <f>Cen!A71</f>
        <v>Bočnice M 650mm, Orion šedá</v>
      </c>
      <c r="C23" s="215" t="str">
        <f>Cen!B71</f>
        <v>770M6502S</v>
      </c>
      <c r="D23" s="215" t="str">
        <f>Cen!C71</f>
        <v>OG-M</v>
      </c>
      <c r="E23" s="593">
        <f>Cen!D71</f>
        <v>0</v>
      </c>
      <c r="F23" s="194">
        <f t="shared" si="4"/>
        <v>0</v>
      </c>
      <c r="G23" s="216">
        <f>Cen!F71</f>
        <v>787.42313999999999</v>
      </c>
      <c r="H23" s="765">
        <f>M23</f>
        <v>0</v>
      </c>
      <c r="I23" s="228"/>
      <c r="J23" s="218">
        <f>Cen!I71</f>
        <v>8777716</v>
      </c>
      <c r="K23" s="218">
        <f>Cen!J71</f>
        <v>256454</v>
      </c>
      <c r="L23" s="214">
        <f t="shared" si="6"/>
        <v>0</v>
      </c>
      <c r="M23" s="789">
        <f t="shared" si="7"/>
        <v>0</v>
      </c>
      <c r="N23" s="219"/>
      <c r="O23" s="348">
        <f>'7M400P'!S11</f>
        <v>0</v>
      </c>
      <c r="P23" s="348">
        <f>'7M40VP'!S11</f>
        <v>0</v>
      </c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348">
        <f>'7M442P'!S11</f>
        <v>0</v>
      </c>
      <c r="AC23" s="219"/>
      <c r="AD23" s="219"/>
      <c r="AE23" s="219"/>
      <c r="AF23" s="219"/>
      <c r="AG23" s="219"/>
      <c r="AH23" s="348">
        <f>'7CM52P'!S7</f>
        <v>0</v>
      </c>
      <c r="AI23" s="348">
        <f>'7CM52F'!S7</f>
        <v>0</v>
      </c>
      <c r="AJ23" s="219"/>
      <c r="AK23" s="219"/>
      <c r="AL23" s="219"/>
      <c r="AM23" s="219"/>
      <c r="AN23" s="219"/>
      <c r="AO23" s="219"/>
      <c r="AP23" s="219"/>
      <c r="AQ23" s="219"/>
      <c r="AR23" s="219"/>
      <c r="AS23" s="458"/>
      <c r="AT23" s="219"/>
      <c r="AU23" s="219"/>
      <c r="AV23" s="219"/>
      <c r="AW23" s="219"/>
      <c r="AX23" s="219"/>
      <c r="AY23" s="219"/>
      <c r="AZ23" s="219"/>
      <c r="BA23" s="458"/>
      <c r="BB23" s="219"/>
      <c r="BC23" s="219"/>
      <c r="BD23" s="536">
        <f t="shared" si="8"/>
        <v>0</v>
      </c>
      <c r="BE23" s="210"/>
    </row>
    <row r="24" spans="2:57" x14ac:dyDescent="0.25">
      <c r="B24" s="215" t="str">
        <f>Cen!A76</f>
        <v>Bočnice K 300mm, Orion šedá</v>
      </c>
      <c r="C24" s="215" t="str">
        <f>Cen!B76</f>
        <v>770K3002S</v>
      </c>
      <c r="D24" s="215" t="str">
        <f>Cen!C76</f>
        <v>OG-M</v>
      </c>
      <c r="E24" s="593" t="str">
        <f>Cen!D76</f>
        <v>!</v>
      </c>
      <c r="F24" s="194">
        <f t="shared" ref="F24" si="14">IF(I24&gt;0,I24,SUM(N24:BC24))</f>
        <v>0</v>
      </c>
      <c r="G24" s="216">
        <f>Cen!F76</f>
        <v>731.27220999999997</v>
      </c>
      <c r="H24" s="765">
        <f t="shared" ref="H24" si="15">M24</f>
        <v>0</v>
      </c>
      <c r="I24" s="228"/>
      <c r="J24" s="218">
        <f>Cen!I76</f>
        <v>3942168</v>
      </c>
      <c r="K24" s="218">
        <f>Cen!J76</f>
        <v>348928</v>
      </c>
      <c r="L24" s="214">
        <f t="shared" ref="L24" si="16">IF(I24="x",0,IF(I24&gt;0,I24,F24))</f>
        <v>0</v>
      </c>
      <c r="M24" s="789">
        <f t="shared" ref="M24" si="17">PRODUCT(L24,G24)</f>
        <v>0</v>
      </c>
      <c r="N24" s="219"/>
      <c r="O24" s="219"/>
      <c r="P24" s="219"/>
      <c r="Q24" s="745">
        <f>'7K400P'!S4</f>
        <v>0</v>
      </c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458"/>
      <c r="AT24" s="219"/>
      <c r="AU24" s="219"/>
      <c r="AV24" s="219"/>
      <c r="AW24" s="219"/>
      <c r="AX24" s="219"/>
      <c r="AY24" s="219"/>
      <c r="AZ24" s="219"/>
      <c r="BA24" s="458"/>
      <c r="BB24" s="219"/>
      <c r="BC24" s="219"/>
      <c r="BD24" s="536"/>
      <c r="BE24" s="210"/>
    </row>
    <row r="25" spans="2:57" x14ac:dyDescent="0.25">
      <c r="B25" s="215" t="str">
        <f>Cen!A81</f>
        <v>Bočnice K 350mm, Orion šedá</v>
      </c>
      <c r="C25" s="215" t="str">
        <f>Cen!B81</f>
        <v>770K3502S</v>
      </c>
      <c r="D25" s="215" t="str">
        <f>Cen!C81</f>
        <v>OG-M</v>
      </c>
      <c r="E25" s="593" t="str">
        <f>Cen!D81</f>
        <v>!</v>
      </c>
      <c r="F25" s="194">
        <f t="shared" si="4"/>
        <v>0</v>
      </c>
      <c r="G25" s="216">
        <f>Cen!F81</f>
        <v>731.27220999999997</v>
      </c>
      <c r="H25" s="765">
        <f t="shared" si="13"/>
        <v>0</v>
      </c>
      <c r="I25" s="228"/>
      <c r="J25" s="218">
        <f>Cen!I81</f>
        <v>9340962</v>
      </c>
      <c r="K25" s="218">
        <f>Cen!J81</f>
        <v>227474</v>
      </c>
      <c r="L25" s="214">
        <f t="shared" si="6"/>
        <v>0</v>
      </c>
      <c r="M25" s="789">
        <f t="shared" si="7"/>
        <v>0</v>
      </c>
      <c r="N25" s="219"/>
      <c r="O25" s="219"/>
      <c r="P25" s="219"/>
      <c r="Q25" s="348">
        <f>'7K400P'!S5</f>
        <v>0</v>
      </c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458"/>
      <c r="AT25" s="219"/>
      <c r="AU25" s="219"/>
      <c r="AV25" s="219"/>
      <c r="AW25" s="219"/>
      <c r="AX25" s="219"/>
      <c r="AY25" s="219"/>
      <c r="AZ25" s="219"/>
      <c r="BA25" s="458"/>
      <c r="BB25" s="219"/>
      <c r="BC25" s="219"/>
      <c r="BD25" s="536">
        <f t="shared" si="8"/>
        <v>0</v>
      </c>
      <c r="BE25" s="210"/>
    </row>
    <row r="26" spans="2:57" x14ac:dyDescent="0.25">
      <c r="B26" s="215" t="str">
        <f>Cen!A86</f>
        <v>Bočnice K 400mm, Orion šedá</v>
      </c>
      <c r="C26" s="215" t="str">
        <f>Cen!B86</f>
        <v>770K4002S</v>
      </c>
      <c r="D26" s="215" t="str">
        <f>Cen!C86</f>
        <v>OG-M</v>
      </c>
      <c r="E26" s="593" t="str">
        <f>Cen!D86</f>
        <v>!</v>
      </c>
      <c r="F26" s="194">
        <f t="shared" si="4"/>
        <v>0</v>
      </c>
      <c r="G26" s="216">
        <f>Cen!F86</f>
        <v>741.57773999999995</v>
      </c>
      <c r="H26" s="765">
        <f t="shared" si="13"/>
        <v>0</v>
      </c>
      <c r="I26" s="228"/>
      <c r="J26" s="218">
        <f>Cen!I86</f>
        <v>9409124</v>
      </c>
      <c r="K26" s="218">
        <f>Cen!J86</f>
        <v>227478</v>
      </c>
      <c r="L26" s="214">
        <f t="shared" si="6"/>
        <v>0</v>
      </c>
      <c r="M26" s="789">
        <f t="shared" si="7"/>
        <v>0</v>
      </c>
      <c r="N26" s="219"/>
      <c r="O26" s="219"/>
      <c r="P26" s="219"/>
      <c r="Q26" s="348">
        <f>'7K400P'!S6</f>
        <v>0</v>
      </c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458"/>
      <c r="AT26" s="219"/>
      <c r="AU26" s="219"/>
      <c r="AV26" s="219"/>
      <c r="AW26" s="219"/>
      <c r="AX26" s="219"/>
      <c r="AY26" s="219"/>
      <c r="AZ26" s="219"/>
      <c r="BA26" s="458"/>
      <c r="BB26" s="219"/>
      <c r="BC26" s="219"/>
      <c r="BD26" s="536">
        <f t="shared" si="8"/>
        <v>0</v>
      </c>
      <c r="BE26" s="210"/>
    </row>
    <row r="27" spans="2:57" x14ac:dyDescent="0.25">
      <c r="B27" s="215" t="str">
        <f>Cen!A91</f>
        <v>Bočnice K 450mm, Orion šedá</v>
      </c>
      <c r="C27" s="215" t="str">
        <f>Cen!B91</f>
        <v>770K4502S</v>
      </c>
      <c r="D27" s="215" t="str">
        <f>Cen!C91</f>
        <v>OG-M</v>
      </c>
      <c r="E27" s="593" t="str">
        <f>Cen!D91</f>
        <v>!</v>
      </c>
      <c r="F27" s="194">
        <f t="shared" si="4"/>
        <v>0</v>
      </c>
      <c r="G27" s="216">
        <f>Cen!F91</f>
        <v>751.87792000000002</v>
      </c>
      <c r="H27" s="765">
        <f t="shared" si="13"/>
        <v>0</v>
      </c>
      <c r="I27" s="228"/>
      <c r="J27" s="218">
        <f>Cen!I91</f>
        <v>9485595</v>
      </c>
      <c r="K27" s="218">
        <f>Cen!J91</f>
        <v>227482</v>
      </c>
      <c r="L27" s="214">
        <f t="shared" si="6"/>
        <v>0</v>
      </c>
      <c r="M27" s="789">
        <f t="shared" si="7"/>
        <v>0</v>
      </c>
      <c r="N27" s="219"/>
      <c r="O27" s="219"/>
      <c r="P27" s="219"/>
      <c r="Q27" s="348">
        <f>'7K400P'!S7</f>
        <v>0</v>
      </c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458"/>
      <c r="AT27" s="219"/>
      <c r="AU27" s="219"/>
      <c r="AV27" s="219"/>
      <c r="AW27" s="219"/>
      <c r="AX27" s="219"/>
      <c r="AY27" s="219"/>
      <c r="AZ27" s="219"/>
      <c r="BA27" s="458"/>
      <c r="BB27" s="219"/>
      <c r="BC27" s="219"/>
      <c r="BD27" s="536">
        <f t="shared" si="8"/>
        <v>0</v>
      </c>
      <c r="BE27" s="210"/>
    </row>
    <row r="28" spans="2:57" ht="13.5" x14ac:dyDescent="0.3">
      <c r="B28" s="215" t="str">
        <f>Cen!A96</f>
        <v>Bočnice K 500mm, Orion šedá</v>
      </c>
      <c r="C28" s="215" t="str">
        <f>Cen!B96</f>
        <v>770K5002S</v>
      </c>
      <c r="D28" s="215" t="str">
        <f>Cen!C96</f>
        <v>OG-M</v>
      </c>
      <c r="E28" s="663" t="str">
        <f>Cen!D96</f>
        <v>!</v>
      </c>
      <c r="F28" s="194">
        <f t="shared" si="4"/>
        <v>0</v>
      </c>
      <c r="G28" s="216">
        <f>Cen!F96</f>
        <v>762.18404999999996</v>
      </c>
      <c r="H28" s="765">
        <f t="shared" si="13"/>
        <v>0</v>
      </c>
      <c r="I28" s="228"/>
      <c r="J28" s="218">
        <f>Cen!I96</f>
        <v>9545678</v>
      </c>
      <c r="K28" s="218">
        <f>Cen!J96</f>
        <v>227486</v>
      </c>
      <c r="L28" s="214">
        <f t="shared" si="6"/>
        <v>0</v>
      </c>
      <c r="M28" s="789">
        <f t="shared" si="7"/>
        <v>0</v>
      </c>
      <c r="N28" s="219"/>
      <c r="O28" s="219"/>
      <c r="P28" s="219"/>
      <c r="Q28" s="348">
        <f>'7K400P'!S8</f>
        <v>0</v>
      </c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458"/>
      <c r="AT28" s="219"/>
      <c r="AU28" s="219"/>
      <c r="AV28" s="219"/>
      <c r="AW28" s="219"/>
      <c r="AX28" s="219"/>
      <c r="AY28" s="219"/>
      <c r="AZ28" s="219"/>
      <c r="BA28" s="458"/>
      <c r="BB28" s="219"/>
      <c r="BC28" s="219"/>
      <c r="BD28" s="536">
        <f t="shared" si="8"/>
        <v>0</v>
      </c>
      <c r="BE28" s="210"/>
    </row>
    <row r="29" spans="2:57" x14ac:dyDescent="0.25">
      <c r="B29" s="215" t="str">
        <f>Cen!A101</f>
        <v>Bočnice K 550mm, Orion šedá</v>
      </c>
      <c r="C29" s="215" t="str">
        <f>Cen!B101</f>
        <v>770K5502S</v>
      </c>
      <c r="D29" s="215" t="str">
        <f>Cen!C101</f>
        <v>OG-M</v>
      </c>
      <c r="E29" s="593" t="str">
        <f>Cen!D101</f>
        <v>!</v>
      </c>
      <c r="F29" s="194">
        <f t="shared" si="4"/>
        <v>0</v>
      </c>
      <c r="G29" s="216">
        <f>Cen!F101</f>
        <v>844.68757000000005</v>
      </c>
      <c r="H29" s="765">
        <f t="shared" si="13"/>
        <v>0</v>
      </c>
      <c r="I29" s="228"/>
      <c r="J29" s="218">
        <f>Cen!I101</f>
        <v>9562948</v>
      </c>
      <c r="K29" s="218">
        <f>Cen!J101</f>
        <v>227490</v>
      </c>
      <c r="L29" s="214">
        <f t="shared" si="6"/>
        <v>0</v>
      </c>
      <c r="M29" s="789">
        <f t="shared" si="7"/>
        <v>0</v>
      </c>
      <c r="N29" s="219"/>
      <c r="O29" s="219"/>
      <c r="P29" s="219"/>
      <c r="Q29" s="348">
        <f>'7K400P'!S9</f>
        <v>0</v>
      </c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458"/>
      <c r="AT29" s="219"/>
      <c r="AU29" s="219"/>
      <c r="AV29" s="219"/>
      <c r="AW29" s="219"/>
      <c r="AX29" s="219"/>
      <c r="AY29" s="219"/>
      <c r="AZ29" s="219"/>
      <c r="BA29" s="458"/>
      <c r="BB29" s="219"/>
      <c r="BC29" s="219"/>
      <c r="BD29" s="536">
        <f t="shared" si="8"/>
        <v>0</v>
      </c>
      <c r="BE29" s="210"/>
    </row>
    <row r="30" spans="2:57" x14ac:dyDescent="0.25">
      <c r="B30" s="215" t="str">
        <f>Cen!A106</f>
        <v>Bočnice K 600mm, Orion šedá</v>
      </c>
      <c r="C30" s="215" t="str">
        <f>Cen!B106</f>
        <v>770K6002S</v>
      </c>
      <c r="D30" s="215" t="str">
        <f>Cen!C106</f>
        <v>OG-M</v>
      </c>
      <c r="E30" s="593" t="str">
        <f>Cen!D106</f>
        <v>!</v>
      </c>
      <c r="F30" s="194">
        <f t="shared" ref="F30" si="18">IF(I30&gt;0,I30,SUM(N30:BC30))</f>
        <v>0</v>
      </c>
      <c r="G30" s="216">
        <f>Cen!F106</f>
        <v>920.18425999999999</v>
      </c>
      <c r="H30" s="765">
        <f t="shared" ref="H30" si="19">M30</f>
        <v>0</v>
      </c>
      <c r="I30" s="228"/>
      <c r="J30" s="218">
        <f>Cen!I106</f>
        <v>3190913</v>
      </c>
      <c r="K30" s="218">
        <f>Cen!J106</f>
        <v>348934</v>
      </c>
      <c r="L30" s="214">
        <f t="shared" ref="L30" si="20">IF(I30="x",0,IF(I30&gt;0,I30,F30))</f>
        <v>0</v>
      </c>
      <c r="M30" s="789">
        <f t="shared" ref="M30" si="21">PRODUCT(L30,G30)</f>
        <v>0</v>
      </c>
      <c r="N30" s="219"/>
      <c r="O30" s="219"/>
      <c r="P30" s="219"/>
      <c r="Q30" s="745">
        <f>'7K400P'!S10</f>
        <v>0</v>
      </c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458"/>
      <c r="AT30" s="219"/>
      <c r="AU30" s="219"/>
      <c r="AV30" s="219"/>
      <c r="AW30" s="219"/>
      <c r="AX30" s="219"/>
      <c r="AY30" s="219"/>
      <c r="AZ30" s="219"/>
      <c r="BA30" s="458"/>
      <c r="BB30" s="219"/>
      <c r="BC30" s="219"/>
      <c r="BD30" s="536"/>
      <c r="BE30" s="210"/>
    </row>
    <row r="31" spans="2:57" ht="13.5" x14ac:dyDescent="0.3">
      <c r="B31" s="215" t="str">
        <f>Cen!A111</f>
        <v>Bočnice C pure, 270mm, Orion šedá</v>
      </c>
      <c r="C31" s="215" t="str">
        <f>Cen!B111</f>
        <v>770C2702S</v>
      </c>
      <c r="D31" s="215" t="str">
        <f>Cen!C111</f>
        <v>OG-M</v>
      </c>
      <c r="E31" s="663">
        <f>Cen!D111</f>
        <v>0</v>
      </c>
      <c r="F31" s="194">
        <f t="shared" si="4"/>
        <v>0</v>
      </c>
      <c r="G31" s="216">
        <f>Cen!F111</f>
        <v>920.62116000000003</v>
      </c>
      <c r="H31" s="765">
        <f t="shared" si="13"/>
        <v>0</v>
      </c>
      <c r="I31" s="228"/>
      <c r="J31" s="218">
        <f>Cen!I111</f>
        <v>8762565</v>
      </c>
      <c r="K31" s="218">
        <f>Cen!J111</f>
        <v>227494</v>
      </c>
      <c r="L31" s="214">
        <f t="shared" si="6"/>
        <v>0</v>
      </c>
      <c r="M31" s="789">
        <f t="shared" si="7"/>
        <v>0</v>
      </c>
      <c r="N31" s="219"/>
      <c r="O31" s="219"/>
      <c r="P31" s="117"/>
      <c r="Q31" s="219"/>
      <c r="R31" s="348">
        <f>'7C410P'!S3</f>
        <v>0</v>
      </c>
      <c r="S31" s="219"/>
      <c r="T31" s="348">
        <f>'7C41VP'!S3</f>
        <v>0</v>
      </c>
      <c r="U31" s="219"/>
      <c r="V31" s="348">
        <f>'7C41NP'!S3</f>
        <v>0</v>
      </c>
      <c r="W31" s="219"/>
      <c r="X31" s="348">
        <f>'7C41RP'!S3</f>
        <v>0</v>
      </c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458"/>
      <c r="AT31" s="219"/>
      <c r="AU31" s="219"/>
      <c r="AV31" s="219"/>
      <c r="AW31" s="219"/>
      <c r="AX31" s="219"/>
      <c r="AY31" s="219"/>
      <c r="AZ31" s="219"/>
      <c r="BA31" s="458"/>
      <c r="BB31" s="219"/>
      <c r="BC31" s="219"/>
      <c r="BD31" s="536">
        <f t="shared" si="8"/>
        <v>0</v>
      </c>
      <c r="BE31" s="210"/>
    </row>
    <row r="32" spans="2:57" ht="13.5" x14ac:dyDescent="0.3">
      <c r="B32" s="215" t="str">
        <f>Cen!A116</f>
        <v>Bočnice C pure, 300mm, Orion šedá</v>
      </c>
      <c r="C32" s="215" t="str">
        <f>Cen!B116</f>
        <v>770C3002S</v>
      </c>
      <c r="D32" s="215" t="str">
        <f>Cen!C116</f>
        <v>OG-M</v>
      </c>
      <c r="E32" s="663">
        <f>Cen!D116</f>
        <v>0</v>
      </c>
      <c r="F32" s="194">
        <f t="shared" si="4"/>
        <v>0</v>
      </c>
      <c r="G32" s="216">
        <f>Cen!F116</f>
        <v>920.62116000000003</v>
      </c>
      <c r="H32" s="765">
        <f t="shared" si="13"/>
        <v>0</v>
      </c>
      <c r="I32" s="228"/>
      <c r="J32" s="218">
        <f>Cen!I116</f>
        <v>8769064</v>
      </c>
      <c r="K32" s="218">
        <f>Cen!J116</f>
        <v>227498</v>
      </c>
      <c r="L32" s="214">
        <f t="shared" si="6"/>
        <v>0</v>
      </c>
      <c r="M32" s="789">
        <f t="shared" si="7"/>
        <v>0</v>
      </c>
      <c r="N32" s="219"/>
      <c r="O32" s="219"/>
      <c r="P32" s="117"/>
      <c r="Q32" s="219"/>
      <c r="R32" s="348">
        <f>'7C410P'!S4</f>
        <v>0</v>
      </c>
      <c r="S32" s="219"/>
      <c r="T32" s="348">
        <f>'7C41VP'!S4</f>
        <v>0</v>
      </c>
      <c r="U32" s="219"/>
      <c r="V32" s="348">
        <f>'7C41NP'!S4</f>
        <v>0</v>
      </c>
      <c r="W32" s="219"/>
      <c r="X32" s="348">
        <f>'7C41RP'!S4</f>
        <v>0</v>
      </c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458"/>
      <c r="AT32" s="219"/>
      <c r="AU32" s="219"/>
      <c r="AV32" s="219"/>
      <c r="AW32" s="219"/>
      <c r="AX32" s="219"/>
      <c r="AY32" s="219"/>
      <c r="AZ32" s="219"/>
      <c r="BA32" s="458"/>
      <c r="BB32" s="219"/>
      <c r="BC32" s="219"/>
      <c r="BD32" s="536">
        <f t="shared" si="8"/>
        <v>0</v>
      </c>
      <c r="BE32" s="210"/>
    </row>
    <row r="33" spans="2:57" x14ac:dyDescent="0.25">
      <c r="B33" s="215" t="str">
        <f>Cen!A121</f>
        <v>Bočnice C pure, 350mm, Orion šedá</v>
      </c>
      <c r="C33" s="215" t="str">
        <f>Cen!B121</f>
        <v>770C3502S</v>
      </c>
      <c r="D33" s="215" t="str">
        <f>Cen!C121</f>
        <v>OG-M</v>
      </c>
      <c r="E33" s="593">
        <f>Cen!D121</f>
        <v>0</v>
      </c>
      <c r="F33" s="194">
        <f t="shared" si="4"/>
        <v>0</v>
      </c>
      <c r="G33" s="216">
        <f>Cen!F121</f>
        <v>920.62116000000003</v>
      </c>
      <c r="H33" s="765">
        <f t="shared" si="13"/>
        <v>0</v>
      </c>
      <c r="I33" s="228"/>
      <c r="J33" s="218">
        <f>Cen!I121</f>
        <v>8799519</v>
      </c>
      <c r="K33" s="218">
        <f>Cen!J121</f>
        <v>227502</v>
      </c>
      <c r="L33" s="214">
        <f t="shared" si="6"/>
        <v>0</v>
      </c>
      <c r="M33" s="789">
        <f t="shared" si="7"/>
        <v>0</v>
      </c>
      <c r="N33" s="219"/>
      <c r="O33" s="219"/>
      <c r="P33" s="117"/>
      <c r="Q33" s="219"/>
      <c r="R33" s="348">
        <f>'7C410P'!S5</f>
        <v>0</v>
      </c>
      <c r="S33" s="219"/>
      <c r="T33" s="348">
        <f>'7C41VP'!S5</f>
        <v>0</v>
      </c>
      <c r="U33" s="219"/>
      <c r="V33" s="348">
        <f>'7C41NP'!S5</f>
        <v>0</v>
      </c>
      <c r="W33" s="219"/>
      <c r="X33" s="348">
        <f>'7C41RP'!S5</f>
        <v>0</v>
      </c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458"/>
      <c r="AT33" s="219"/>
      <c r="AU33" s="219"/>
      <c r="AV33" s="219"/>
      <c r="AW33" s="219"/>
      <c r="AX33" s="219"/>
      <c r="AY33" s="219"/>
      <c r="AZ33" s="219"/>
      <c r="BA33" s="458"/>
      <c r="BB33" s="219"/>
      <c r="BC33" s="219"/>
      <c r="BD33" s="536">
        <f t="shared" si="8"/>
        <v>0</v>
      </c>
      <c r="BE33" s="210"/>
    </row>
    <row r="34" spans="2:57" x14ac:dyDescent="0.25">
      <c r="B34" s="215" t="str">
        <f>Cen!A126</f>
        <v>Bočnice C pure, 400mm, Orion šedá</v>
      </c>
      <c r="C34" s="215" t="str">
        <f>Cen!B126</f>
        <v>770C4002S</v>
      </c>
      <c r="D34" s="215" t="str">
        <f>Cen!C126</f>
        <v>OG-M</v>
      </c>
      <c r="E34" s="593">
        <f>Cen!D126</f>
        <v>0</v>
      </c>
      <c r="F34" s="194">
        <f t="shared" si="4"/>
        <v>0</v>
      </c>
      <c r="G34" s="216">
        <f>Cen!F126</f>
        <v>931.92665999999997</v>
      </c>
      <c r="H34" s="765">
        <f t="shared" si="13"/>
        <v>0</v>
      </c>
      <c r="I34" s="228"/>
      <c r="J34" s="218">
        <f>Cen!I126</f>
        <v>8858929</v>
      </c>
      <c r="K34" s="218">
        <f>Cen!J126</f>
        <v>227506</v>
      </c>
      <c r="L34" s="214">
        <f t="shared" si="6"/>
        <v>0</v>
      </c>
      <c r="M34" s="789">
        <f t="shared" si="7"/>
        <v>0</v>
      </c>
      <c r="N34" s="219"/>
      <c r="O34" s="219"/>
      <c r="P34" s="117"/>
      <c r="Q34" s="219"/>
      <c r="R34" s="348">
        <f>'7C410P'!S6</f>
        <v>0</v>
      </c>
      <c r="S34" s="219"/>
      <c r="T34" s="348">
        <f>'7C41VP'!S6</f>
        <v>0</v>
      </c>
      <c r="U34" s="219"/>
      <c r="V34" s="348">
        <f>'7C41NP'!S6</f>
        <v>0</v>
      </c>
      <c r="W34" s="219"/>
      <c r="X34" s="348">
        <f>'7C41RP'!S6</f>
        <v>0</v>
      </c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458"/>
      <c r="AT34" s="219"/>
      <c r="AU34" s="219"/>
      <c r="AV34" s="219"/>
      <c r="AW34" s="219"/>
      <c r="AX34" s="219"/>
      <c r="AY34" s="219"/>
      <c r="AZ34" s="219"/>
      <c r="BA34" s="458"/>
      <c r="BB34" s="219"/>
      <c r="BC34" s="219"/>
      <c r="BD34" s="536">
        <f t="shared" si="8"/>
        <v>0</v>
      </c>
      <c r="BE34" s="210"/>
    </row>
    <row r="35" spans="2:57" ht="13.5" x14ac:dyDescent="0.3">
      <c r="B35" s="215" t="str">
        <f>Cen!A131</f>
        <v>Bočnice C pure, 450mm, Orion šedá</v>
      </c>
      <c r="C35" s="215" t="str">
        <f>Cen!B131</f>
        <v>770C4502S</v>
      </c>
      <c r="D35" s="215" t="str">
        <f>Cen!C131</f>
        <v>OG-M</v>
      </c>
      <c r="E35" s="663">
        <f>Cen!D131</f>
        <v>0</v>
      </c>
      <c r="F35" s="194">
        <f t="shared" si="4"/>
        <v>0</v>
      </c>
      <c r="G35" s="216">
        <f>Cen!F131</f>
        <v>921.30178999999998</v>
      </c>
      <c r="H35" s="765">
        <f t="shared" si="13"/>
        <v>0</v>
      </c>
      <c r="I35" s="228"/>
      <c r="J35" s="218">
        <f>Cen!I131</f>
        <v>8936515</v>
      </c>
      <c r="K35" s="218">
        <f>Cen!J131</f>
        <v>227510</v>
      </c>
      <c r="L35" s="214">
        <f t="shared" si="6"/>
        <v>0</v>
      </c>
      <c r="M35" s="789">
        <f t="shared" si="7"/>
        <v>0</v>
      </c>
      <c r="N35" s="219"/>
      <c r="O35" s="219"/>
      <c r="P35" s="117"/>
      <c r="Q35" s="219"/>
      <c r="R35" s="348">
        <f>'7C410P'!S7</f>
        <v>0</v>
      </c>
      <c r="S35" s="219"/>
      <c r="T35" s="348">
        <f>'7C41VP'!S7</f>
        <v>0</v>
      </c>
      <c r="U35" s="219"/>
      <c r="V35" s="348">
        <f>'7C41NP'!S7</f>
        <v>0</v>
      </c>
      <c r="W35" s="219"/>
      <c r="X35" s="348">
        <f>'7C41RP'!S7</f>
        <v>0</v>
      </c>
      <c r="Y35" s="219"/>
      <c r="Z35" s="219"/>
      <c r="AA35" s="219"/>
      <c r="AB35" s="219"/>
      <c r="AC35" s="348">
        <f>'7C442P'!S7</f>
        <v>0</v>
      </c>
      <c r="AE35" s="348">
        <f>'7CM42P'!S9</f>
        <v>0</v>
      </c>
      <c r="AG35" s="219"/>
      <c r="AH35" s="348">
        <f>'7CM52P'!S12</f>
        <v>0</v>
      </c>
      <c r="AJ35" s="219"/>
      <c r="AK35" s="456">
        <f>'7STCGP'!S7</f>
        <v>0</v>
      </c>
      <c r="AM35" s="456">
        <f>'7STCRP'!S7</f>
        <v>0</v>
      </c>
      <c r="AO35" s="456">
        <f>'7STMGP'!S7</f>
        <v>0</v>
      </c>
      <c r="AQ35" s="456">
        <f>'7STMRP'!S7</f>
        <v>0</v>
      </c>
      <c r="AS35" s="458"/>
      <c r="AT35" s="219"/>
      <c r="AU35" s="219"/>
      <c r="AV35" s="219"/>
      <c r="AW35" s="219"/>
      <c r="AX35" s="219"/>
      <c r="AY35" s="219"/>
      <c r="AZ35" s="219"/>
      <c r="BA35" s="458"/>
      <c r="BB35" s="219"/>
      <c r="BC35" s="219"/>
      <c r="BD35" s="536">
        <f t="shared" si="8"/>
        <v>0</v>
      </c>
      <c r="BE35" s="210"/>
    </row>
    <row r="36" spans="2:57" x14ac:dyDescent="0.25">
      <c r="B36" s="215" t="str">
        <f>Cen!A136</f>
        <v>Bočnice C pure, 500mm, Orion šedá</v>
      </c>
      <c r="C36" s="215" t="str">
        <f>Cen!B136</f>
        <v>770C5002S</v>
      </c>
      <c r="D36" s="215" t="str">
        <f>Cen!C136</f>
        <v>OG-M</v>
      </c>
      <c r="E36" s="593">
        <f>Cen!D136</f>
        <v>0</v>
      </c>
      <c r="F36" s="194">
        <f t="shared" si="4"/>
        <v>0</v>
      </c>
      <c r="G36" s="216">
        <f>Cen!F136</f>
        <v>932.34378000000004</v>
      </c>
      <c r="H36" s="765">
        <f t="shared" si="13"/>
        <v>0</v>
      </c>
      <c r="I36" s="228"/>
      <c r="J36" s="218">
        <f>Cen!I136</f>
        <v>8962303</v>
      </c>
      <c r="K36" s="218">
        <f>Cen!J136</f>
        <v>227514</v>
      </c>
      <c r="L36" s="214">
        <f t="shared" si="6"/>
        <v>0</v>
      </c>
      <c r="M36" s="789">
        <f t="shared" si="7"/>
        <v>0</v>
      </c>
      <c r="N36" s="219"/>
      <c r="O36" s="219"/>
      <c r="P36" s="117"/>
      <c r="Q36" s="219"/>
      <c r="R36" s="348">
        <f>'7C410P'!S8</f>
        <v>0</v>
      </c>
      <c r="S36" s="219"/>
      <c r="T36" s="348">
        <f>'7C41VP'!S8</f>
        <v>0</v>
      </c>
      <c r="U36" s="219"/>
      <c r="V36" s="348">
        <f>'7C41NP'!S8</f>
        <v>0</v>
      </c>
      <c r="W36" s="219"/>
      <c r="X36" s="348">
        <f>'7C41RP'!S8</f>
        <v>0</v>
      </c>
      <c r="Y36" s="219"/>
      <c r="Z36" s="219"/>
      <c r="AA36" s="219"/>
      <c r="AB36" s="219"/>
      <c r="AC36" s="348">
        <f>'7C442P'!S8</f>
        <v>0</v>
      </c>
      <c r="AE36" s="348">
        <f>'7CM42P'!S10</f>
        <v>0</v>
      </c>
      <c r="AG36" s="219"/>
      <c r="AH36" s="348">
        <f>'7CM52P'!S13</f>
        <v>0</v>
      </c>
      <c r="AJ36" s="219"/>
      <c r="AK36" s="456">
        <f>'7STCGP'!S8</f>
        <v>0</v>
      </c>
      <c r="AM36" s="456">
        <f>'7STCRP'!S8</f>
        <v>0</v>
      </c>
      <c r="AO36" s="456">
        <f>'7STMGP'!S8</f>
        <v>0</v>
      </c>
      <c r="AQ36" s="456">
        <f>'7STMRP'!S8</f>
        <v>0</v>
      </c>
      <c r="AS36" s="458"/>
      <c r="AT36" s="219"/>
      <c r="AU36" s="219"/>
      <c r="AV36" s="219"/>
      <c r="AW36" s="219"/>
      <c r="AX36" s="219"/>
      <c r="AY36" s="219"/>
      <c r="AZ36" s="219"/>
      <c r="BA36" s="458"/>
      <c r="BB36" s="219"/>
      <c r="BC36" s="219"/>
      <c r="BD36" s="536">
        <f t="shared" si="8"/>
        <v>0</v>
      </c>
      <c r="BE36" s="210"/>
    </row>
    <row r="37" spans="2:57" x14ac:dyDescent="0.25">
      <c r="B37" s="215" t="str">
        <f>Cen!A141</f>
        <v>Bočnice C pure, 550mm, Orion šedá</v>
      </c>
      <c r="C37" s="215" t="str">
        <f>Cen!B141</f>
        <v>770C5502S</v>
      </c>
      <c r="D37" s="215" t="str">
        <f>Cen!C141</f>
        <v>OG-M</v>
      </c>
      <c r="E37" s="593">
        <f>Cen!D141</f>
        <v>0</v>
      </c>
      <c r="F37" s="194">
        <f t="shared" si="4"/>
        <v>0</v>
      </c>
      <c r="G37" s="216">
        <f>Cen!F141</f>
        <v>1011.04004</v>
      </c>
      <c r="H37" s="765">
        <f t="shared" si="13"/>
        <v>0</v>
      </c>
      <c r="I37" s="228"/>
      <c r="J37" s="218">
        <f>Cen!I141</f>
        <v>8987845</v>
      </c>
      <c r="K37" s="218">
        <f>Cen!J141</f>
        <v>227518</v>
      </c>
      <c r="L37" s="214">
        <f t="shared" si="6"/>
        <v>0</v>
      </c>
      <c r="M37" s="789">
        <f t="shared" si="7"/>
        <v>0</v>
      </c>
      <c r="N37" s="219"/>
      <c r="O37" s="219"/>
      <c r="P37" s="117"/>
      <c r="Q37" s="219"/>
      <c r="R37" s="348">
        <f>'7C410P'!S9</f>
        <v>0</v>
      </c>
      <c r="S37" s="219"/>
      <c r="T37" s="348">
        <f>'7C41VP'!S9</f>
        <v>0</v>
      </c>
      <c r="U37" s="219"/>
      <c r="V37" s="348">
        <f>'7C41NP'!S9</f>
        <v>0</v>
      </c>
      <c r="W37" s="219"/>
      <c r="X37" s="348">
        <f>'7C41RP'!S9</f>
        <v>0</v>
      </c>
      <c r="Y37" s="219"/>
      <c r="Z37" s="219"/>
      <c r="AA37" s="219"/>
      <c r="AB37" s="219"/>
      <c r="AC37" s="348">
        <f>'7C442P'!S9</f>
        <v>0</v>
      </c>
      <c r="AE37" s="348">
        <f>'7CM42P'!S11</f>
        <v>0</v>
      </c>
      <c r="AG37" s="219"/>
      <c r="AH37" s="348">
        <f>'7CM52P'!S14</f>
        <v>0</v>
      </c>
      <c r="AJ37" s="219"/>
      <c r="AK37" s="456">
        <f>'7STCGP'!S9</f>
        <v>0</v>
      </c>
      <c r="AM37" s="456">
        <f>'7STCRP'!S9</f>
        <v>0</v>
      </c>
      <c r="AO37" s="456">
        <f>'7STMGP'!S9</f>
        <v>0</v>
      </c>
      <c r="AQ37" s="456">
        <f>'7STMRP'!S9</f>
        <v>0</v>
      </c>
      <c r="AS37" s="458"/>
      <c r="AT37" s="219"/>
      <c r="AU37" s="219"/>
      <c r="AV37" s="219"/>
      <c r="AW37" s="219"/>
      <c r="AX37" s="219"/>
      <c r="AY37" s="219"/>
      <c r="AZ37" s="219"/>
      <c r="BA37" s="458"/>
      <c r="BB37" s="219"/>
      <c r="BC37" s="219"/>
      <c r="BD37" s="536">
        <f t="shared" si="8"/>
        <v>0</v>
      </c>
      <c r="BE37" s="210"/>
    </row>
    <row r="38" spans="2:57" x14ac:dyDescent="0.25">
      <c r="B38" s="215" t="str">
        <f>Cen!A146</f>
        <v>Bočnice C pure, 600mm, Orion šedá</v>
      </c>
      <c r="C38" s="215" t="str">
        <f>Cen!B146</f>
        <v>770C6002S</v>
      </c>
      <c r="D38" s="215" t="str">
        <f>Cen!C146</f>
        <v>OG-M</v>
      </c>
      <c r="E38" s="593">
        <f>Cen!D146</f>
        <v>0</v>
      </c>
      <c r="F38" s="194">
        <f t="shared" si="4"/>
        <v>0</v>
      </c>
      <c r="G38" s="216">
        <f>Cen!F146</f>
        <v>1127.97047</v>
      </c>
      <c r="H38" s="765">
        <f t="shared" si="13"/>
        <v>0</v>
      </c>
      <c r="I38" s="228"/>
      <c r="J38" s="218">
        <f>Cen!I146</f>
        <v>9069622</v>
      </c>
      <c r="K38" s="218">
        <f>Cen!J146</f>
        <v>227522</v>
      </c>
      <c r="L38" s="214">
        <f t="shared" si="6"/>
        <v>0</v>
      </c>
      <c r="M38" s="789">
        <f t="shared" si="7"/>
        <v>0</v>
      </c>
      <c r="N38" s="219"/>
      <c r="O38" s="219"/>
      <c r="P38" s="117"/>
      <c r="Q38" s="219"/>
      <c r="R38" s="348">
        <f>'7C410P'!S10</f>
        <v>0</v>
      </c>
      <c r="S38" s="219"/>
      <c r="T38" s="348">
        <f>'7C41VP'!S10</f>
        <v>0</v>
      </c>
      <c r="U38" s="219"/>
      <c r="V38" s="348">
        <f>'7C41NP'!S10</f>
        <v>0</v>
      </c>
      <c r="W38" s="219"/>
      <c r="X38" s="348">
        <f>'7C41RP'!S10</f>
        <v>0</v>
      </c>
      <c r="Y38" s="219"/>
      <c r="Z38" s="219"/>
      <c r="AA38" s="219"/>
      <c r="AB38" s="219"/>
      <c r="AC38" s="348">
        <f>'7C442P'!S10</f>
        <v>0</v>
      </c>
      <c r="AE38" s="348">
        <f>'7CM42P'!S12</f>
        <v>0</v>
      </c>
      <c r="AG38" s="219"/>
      <c r="AH38" s="348">
        <f>'7CM52P'!S15</f>
        <v>0</v>
      </c>
      <c r="AJ38" s="219"/>
      <c r="AK38" s="219"/>
      <c r="AL38" s="219"/>
      <c r="AM38" s="219"/>
      <c r="AN38" s="219"/>
      <c r="AO38" s="219"/>
      <c r="AP38" s="219"/>
      <c r="AQ38" s="219"/>
      <c r="AR38" s="219"/>
      <c r="AS38" s="458"/>
      <c r="AT38" s="219"/>
      <c r="AU38" s="219"/>
      <c r="AV38" s="219"/>
      <c r="AW38" s="219"/>
      <c r="AX38" s="219"/>
      <c r="AY38" s="219"/>
      <c r="AZ38" s="219"/>
      <c r="BA38" s="458"/>
      <c r="BB38" s="219"/>
      <c r="BC38" s="219"/>
      <c r="BD38" s="536">
        <f t="shared" si="8"/>
        <v>0</v>
      </c>
      <c r="BE38" s="210"/>
    </row>
    <row r="39" spans="2:57" x14ac:dyDescent="0.25">
      <c r="B39" s="215" t="str">
        <f>Cen!A151</f>
        <v>Bočnice C pure, 650mm, Orion šedá</v>
      </c>
      <c r="C39" s="215" t="str">
        <f>Cen!B151</f>
        <v>770C6502S</v>
      </c>
      <c r="D39" s="215" t="str">
        <f>Cen!C151</f>
        <v>OG-M</v>
      </c>
      <c r="E39" s="593">
        <f>Cen!D151</f>
        <v>0</v>
      </c>
      <c r="F39" s="194">
        <f t="shared" si="4"/>
        <v>0</v>
      </c>
      <c r="G39" s="216">
        <f>Cen!F151</f>
        <v>1167.5130999999999</v>
      </c>
      <c r="H39" s="765">
        <f t="shared" ref="H39:H47" si="22">M39</f>
        <v>0</v>
      </c>
      <c r="I39" s="228"/>
      <c r="J39" s="218">
        <f>Cen!I151</f>
        <v>7790076</v>
      </c>
      <c r="K39" s="218">
        <f>Cen!J151</f>
        <v>256458</v>
      </c>
      <c r="L39" s="214">
        <f t="shared" si="6"/>
        <v>0</v>
      </c>
      <c r="M39" s="789">
        <f t="shared" si="7"/>
        <v>0</v>
      </c>
      <c r="N39" s="219"/>
      <c r="O39" s="219"/>
      <c r="P39" s="117"/>
      <c r="Q39" s="219"/>
      <c r="R39" s="348">
        <f>'7C410P'!S11</f>
        <v>0</v>
      </c>
      <c r="T39" s="348">
        <f>'7C41VP'!S11</f>
        <v>0</v>
      </c>
      <c r="V39" s="348">
        <f>'7C41NP'!S11</f>
        <v>0</v>
      </c>
      <c r="X39" s="348">
        <f>'7C41RP'!S11</f>
        <v>0</v>
      </c>
      <c r="Z39" s="219"/>
      <c r="AA39" s="219"/>
      <c r="AB39" s="219"/>
      <c r="AC39" s="348">
        <f>'7C442P'!S11</f>
        <v>0</v>
      </c>
      <c r="AE39" s="348">
        <f>'7CM42P'!S13</f>
        <v>0</v>
      </c>
      <c r="AG39" s="219"/>
      <c r="AH39" s="348">
        <f>'7CM52P'!S16</f>
        <v>0</v>
      </c>
      <c r="AJ39" s="219"/>
      <c r="AK39" s="219"/>
      <c r="AL39" s="219"/>
      <c r="AM39" s="219"/>
      <c r="AN39" s="219"/>
      <c r="AO39" s="219"/>
      <c r="AP39" s="219"/>
      <c r="AQ39" s="219"/>
      <c r="AR39" s="219"/>
      <c r="AS39" s="458"/>
      <c r="AT39" s="219"/>
      <c r="AU39" s="219"/>
      <c r="AV39" s="219"/>
      <c r="AW39" s="219"/>
      <c r="AX39" s="219"/>
      <c r="AY39" s="219"/>
      <c r="AZ39" s="219"/>
      <c r="BA39" s="458"/>
      <c r="BB39" s="219"/>
      <c r="BC39" s="219"/>
      <c r="BD39" s="536">
        <f t="shared" si="8"/>
        <v>0</v>
      </c>
      <c r="BE39" s="210"/>
    </row>
    <row r="40" spans="2:57" x14ac:dyDescent="0.25">
      <c r="B40" s="215" t="str">
        <f>Cen!A166</f>
        <v>Bočnice C free, 350mm, Orion šedá</v>
      </c>
      <c r="C40" s="215" t="str">
        <f>Cen!B166</f>
        <v>780C3502S</v>
      </c>
      <c r="D40" s="215" t="str">
        <f>Cen!C166</f>
        <v>OG-M</v>
      </c>
      <c r="E40" s="593">
        <f>Cen!D166</f>
        <v>0</v>
      </c>
      <c r="F40" s="194">
        <f t="shared" si="4"/>
        <v>0</v>
      </c>
      <c r="G40" s="216">
        <f>Cen!F166</f>
        <v>957.21118000000001</v>
      </c>
      <c r="H40" s="765">
        <f t="shared" si="22"/>
        <v>0</v>
      </c>
      <c r="I40" s="228"/>
      <c r="J40" s="218">
        <f>Cen!I166</f>
        <v>3099055</v>
      </c>
      <c r="K40" s="218">
        <f>Cen!J166</f>
        <v>256471</v>
      </c>
      <c r="L40" s="214">
        <f t="shared" si="6"/>
        <v>0</v>
      </c>
      <c r="M40" s="789">
        <f t="shared" si="7"/>
        <v>0</v>
      </c>
      <c r="N40" s="219"/>
      <c r="O40" s="219"/>
      <c r="P40" s="117"/>
      <c r="Q40" s="219"/>
      <c r="R40" s="219"/>
      <c r="S40" s="348">
        <f>'7C410F'!S5</f>
        <v>0</v>
      </c>
      <c r="T40" s="219"/>
      <c r="U40" s="348">
        <f>'7C41VF'!S5</f>
        <v>0</v>
      </c>
      <c r="V40" s="219"/>
      <c r="W40" s="348">
        <f>'7C41NF'!S5</f>
        <v>0</v>
      </c>
      <c r="X40" s="219"/>
      <c r="Y40" s="348">
        <f>'7C41RF'!S5</f>
        <v>0</v>
      </c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458"/>
      <c r="AT40" s="219"/>
      <c r="AU40" s="219"/>
      <c r="AV40" s="219"/>
      <c r="AW40" s="219"/>
      <c r="AX40" s="219"/>
      <c r="AY40" s="219"/>
      <c r="AZ40" s="219"/>
      <c r="BA40" s="458"/>
      <c r="BB40" s="219"/>
      <c r="BC40" s="219"/>
      <c r="BD40" s="536">
        <f t="shared" si="8"/>
        <v>0</v>
      </c>
      <c r="BE40" s="210"/>
    </row>
    <row r="41" spans="2:57" x14ac:dyDescent="0.25">
      <c r="B41" s="215" t="str">
        <f>Cen!A171</f>
        <v>Bočnice C free, 400mm, Orion šedá</v>
      </c>
      <c r="C41" s="215" t="str">
        <f>Cen!B171</f>
        <v>780C4002S</v>
      </c>
      <c r="D41" s="215" t="str">
        <f>Cen!C171</f>
        <v>OG-M</v>
      </c>
      <c r="E41" s="593">
        <f>Cen!D171</f>
        <v>0</v>
      </c>
      <c r="F41" s="194">
        <f t="shared" si="4"/>
        <v>0</v>
      </c>
      <c r="G41" s="216">
        <f>Cen!F171</f>
        <v>964.26940999999999</v>
      </c>
      <c r="H41" s="765">
        <f t="shared" si="22"/>
        <v>0</v>
      </c>
      <c r="I41" s="228"/>
      <c r="J41" s="218">
        <f>Cen!I171</f>
        <v>4025444</v>
      </c>
      <c r="K41" s="218">
        <f>Cen!J171</f>
        <v>256475</v>
      </c>
      <c r="L41" s="214">
        <f t="shared" si="6"/>
        <v>0</v>
      </c>
      <c r="M41" s="789">
        <f t="shared" si="7"/>
        <v>0</v>
      </c>
      <c r="N41" s="219"/>
      <c r="O41" s="219"/>
      <c r="P41" s="117"/>
      <c r="Q41" s="219"/>
      <c r="R41" s="219"/>
      <c r="S41" s="348">
        <f>'7C410F'!S6</f>
        <v>0</v>
      </c>
      <c r="T41" s="219"/>
      <c r="U41" s="348">
        <f>'7C41VF'!S6</f>
        <v>0</v>
      </c>
      <c r="V41" s="219"/>
      <c r="W41" s="348">
        <f>'7C41NF'!S6</f>
        <v>0</v>
      </c>
      <c r="X41" s="219"/>
      <c r="Y41" s="348">
        <f>'7C41RF'!S6</f>
        <v>0</v>
      </c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458"/>
      <c r="AT41" s="219"/>
      <c r="AU41" s="219"/>
      <c r="AV41" s="219"/>
      <c r="AW41" s="219"/>
      <c r="AX41" s="219"/>
      <c r="AY41" s="219"/>
      <c r="AZ41" s="219"/>
      <c r="BA41" s="458"/>
      <c r="BB41" s="219"/>
      <c r="BC41" s="219"/>
      <c r="BD41" s="536">
        <f t="shared" si="8"/>
        <v>0</v>
      </c>
      <c r="BE41" s="210"/>
    </row>
    <row r="42" spans="2:57" x14ac:dyDescent="0.25">
      <c r="B42" s="215" t="str">
        <f>Cen!A176</f>
        <v>Bočnice C free, 450mm, Orion šedá</v>
      </c>
      <c r="C42" s="215" t="str">
        <f>Cen!B176</f>
        <v>780C4502S</v>
      </c>
      <c r="D42" s="215" t="str">
        <f>Cen!C176</f>
        <v>OG-M</v>
      </c>
      <c r="E42" s="593">
        <f>Cen!D176</f>
        <v>0</v>
      </c>
      <c r="F42" s="194">
        <f t="shared" si="4"/>
        <v>0</v>
      </c>
      <c r="G42" s="216">
        <f>Cen!F176</f>
        <v>971.33302000000003</v>
      </c>
      <c r="H42" s="765">
        <f t="shared" si="22"/>
        <v>0</v>
      </c>
      <c r="I42" s="228"/>
      <c r="J42" s="218">
        <f>Cen!I176</f>
        <v>4205596</v>
      </c>
      <c r="K42" s="218">
        <f>Cen!J176</f>
        <v>256479</v>
      </c>
      <c r="L42" s="214">
        <f t="shared" si="6"/>
        <v>0</v>
      </c>
      <c r="M42" s="789">
        <f t="shared" si="7"/>
        <v>0</v>
      </c>
      <c r="N42" s="219"/>
      <c r="O42" s="219"/>
      <c r="P42" s="117"/>
      <c r="Q42" s="219"/>
      <c r="R42" s="219"/>
      <c r="S42" s="348">
        <f>'7C410F'!S7</f>
        <v>0</v>
      </c>
      <c r="T42" s="219"/>
      <c r="U42" s="348">
        <f>'7C41VF'!S7</f>
        <v>0</v>
      </c>
      <c r="V42" s="219"/>
      <c r="W42" s="348">
        <f>'7C41NF'!S7</f>
        <v>0</v>
      </c>
      <c r="X42" s="219"/>
      <c r="Y42" s="348">
        <f>'7C41RF'!S7</f>
        <v>0</v>
      </c>
      <c r="Z42" s="219"/>
      <c r="AA42" s="219"/>
      <c r="AB42" s="219"/>
      <c r="AC42" s="219"/>
      <c r="AD42" s="348">
        <f>'7C442F'!S7</f>
        <v>0</v>
      </c>
      <c r="AE42" s="219"/>
      <c r="AF42" s="348">
        <f>'7CM42F'!S9</f>
        <v>0</v>
      </c>
      <c r="AG42" s="219"/>
      <c r="AH42" s="219"/>
      <c r="AI42" s="348">
        <f>'7CM52F'!S12</f>
        <v>0</v>
      </c>
      <c r="AJ42" s="219"/>
      <c r="AK42" s="219"/>
      <c r="AL42" s="456">
        <f>'7STCGF'!S7</f>
        <v>0</v>
      </c>
      <c r="AM42" s="219"/>
      <c r="AN42" s="456">
        <f>'7STCRF'!S7</f>
        <v>0</v>
      </c>
      <c r="AO42" s="219"/>
      <c r="AP42" s="456">
        <f>'7STMGF'!S7</f>
        <v>0</v>
      </c>
      <c r="AQ42" s="219"/>
      <c r="AR42" s="456">
        <f>'7STMRF'!S7</f>
        <v>0</v>
      </c>
      <c r="AS42" s="458"/>
      <c r="AT42" s="219"/>
      <c r="AU42" s="219"/>
      <c r="AV42" s="219"/>
      <c r="AW42" s="219"/>
      <c r="AX42" s="219"/>
      <c r="AY42" s="219"/>
      <c r="AZ42" s="219"/>
      <c r="BA42" s="458"/>
      <c r="BB42" s="219"/>
      <c r="BC42" s="219"/>
      <c r="BD42" s="536">
        <f t="shared" si="8"/>
        <v>0</v>
      </c>
      <c r="BE42" s="210"/>
    </row>
    <row r="43" spans="2:57" x14ac:dyDescent="0.25">
      <c r="B43" s="215" t="str">
        <f>Cen!A181</f>
        <v>Bočnice C free, 500mm, Orion šedá</v>
      </c>
      <c r="C43" s="215" t="str">
        <f>Cen!B181</f>
        <v>780C5002S</v>
      </c>
      <c r="D43" s="215" t="str">
        <f>Cen!C181</f>
        <v>OG-M</v>
      </c>
      <c r="E43" s="593">
        <f>Cen!D181</f>
        <v>0</v>
      </c>
      <c r="F43" s="194">
        <f t="shared" si="4"/>
        <v>0</v>
      </c>
      <c r="G43" s="216">
        <f>Cen!F181</f>
        <v>978.39665000000002</v>
      </c>
      <c r="H43" s="765">
        <f t="shared" si="22"/>
        <v>0</v>
      </c>
      <c r="I43" s="228"/>
      <c r="J43" s="218">
        <f>Cen!I181</f>
        <v>5095220</v>
      </c>
      <c r="K43" s="218">
        <f>Cen!J181</f>
        <v>256483</v>
      </c>
      <c r="L43" s="214">
        <f t="shared" si="6"/>
        <v>0</v>
      </c>
      <c r="M43" s="789">
        <f t="shared" si="7"/>
        <v>0</v>
      </c>
      <c r="N43" s="219"/>
      <c r="O43" s="219"/>
      <c r="P43" s="117"/>
      <c r="Q43" s="219"/>
      <c r="R43" s="219"/>
      <c r="S43" s="348">
        <f>'7C410F'!S8</f>
        <v>0</v>
      </c>
      <c r="T43" s="219"/>
      <c r="U43" s="348">
        <f>'7C41VF'!S8</f>
        <v>0</v>
      </c>
      <c r="V43" s="219"/>
      <c r="W43" s="348">
        <f>'7C41NF'!S8</f>
        <v>0</v>
      </c>
      <c r="X43" s="219"/>
      <c r="Y43" s="348">
        <f>'7C41RF'!S8</f>
        <v>0</v>
      </c>
      <c r="Z43" s="219"/>
      <c r="AA43" s="219"/>
      <c r="AB43" s="219"/>
      <c r="AC43" s="219"/>
      <c r="AD43" s="348">
        <f>'7C442F'!S8</f>
        <v>0</v>
      </c>
      <c r="AE43" s="219"/>
      <c r="AF43" s="348">
        <f>'7CM42F'!S10</f>
        <v>0</v>
      </c>
      <c r="AG43" s="219"/>
      <c r="AH43" s="219"/>
      <c r="AI43" s="348">
        <f>'7CM52F'!S13</f>
        <v>0</v>
      </c>
      <c r="AJ43" s="219"/>
      <c r="AK43" s="219"/>
      <c r="AL43" s="456">
        <f>'7STCGF'!S8</f>
        <v>0</v>
      </c>
      <c r="AM43" s="219"/>
      <c r="AN43" s="456">
        <f>'7STCRF'!S8</f>
        <v>0</v>
      </c>
      <c r="AO43" s="219"/>
      <c r="AP43" s="456">
        <f>'7STMGF'!S8</f>
        <v>0</v>
      </c>
      <c r="AQ43" s="219"/>
      <c r="AR43" s="456">
        <f>'7STMRF'!S8</f>
        <v>0</v>
      </c>
      <c r="AS43" s="458"/>
      <c r="AT43" s="219"/>
      <c r="AU43" s="219"/>
      <c r="AV43" s="219"/>
      <c r="AW43" s="219"/>
      <c r="AX43" s="219"/>
      <c r="AY43" s="219"/>
      <c r="AZ43" s="219"/>
      <c r="BA43" s="458"/>
      <c r="BB43" s="219"/>
      <c r="BC43" s="219"/>
      <c r="BD43" s="536">
        <f t="shared" si="8"/>
        <v>0</v>
      </c>
      <c r="BE43" s="210"/>
    </row>
    <row r="44" spans="2:57" x14ac:dyDescent="0.25">
      <c r="B44" s="215" t="str">
        <f>Cen!A186</f>
        <v>Bočnice C free, 550mm, Orion šedá</v>
      </c>
      <c r="C44" s="215" t="str">
        <f>Cen!B186</f>
        <v>780C5502S</v>
      </c>
      <c r="D44" s="215" t="str">
        <f>Cen!C186</f>
        <v>OG-M</v>
      </c>
      <c r="E44" s="593">
        <f>Cen!D186</f>
        <v>0</v>
      </c>
      <c r="F44" s="194">
        <f t="shared" si="4"/>
        <v>0</v>
      </c>
      <c r="G44" s="216">
        <f>Cen!F186</f>
        <v>1034.8882699999999</v>
      </c>
      <c r="H44" s="765">
        <f t="shared" si="22"/>
        <v>0</v>
      </c>
      <c r="I44" s="228"/>
      <c r="J44" s="218">
        <f>Cen!I186</f>
        <v>7038294</v>
      </c>
      <c r="K44" s="218">
        <f>Cen!J186</f>
        <v>256486</v>
      </c>
      <c r="L44" s="214">
        <f t="shared" si="6"/>
        <v>0</v>
      </c>
      <c r="M44" s="789">
        <f t="shared" si="7"/>
        <v>0</v>
      </c>
      <c r="N44" s="219"/>
      <c r="O44" s="219"/>
      <c r="P44" s="117"/>
      <c r="Q44" s="219"/>
      <c r="R44" s="219"/>
      <c r="S44" s="348">
        <f>'7C410F'!S9</f>
        <v>0</v>
      </c>
      <c r="T44" s="219"/>
      <c r="U44" s="348">
        <f>'7C41VF'!S9</f>
        <v>0</v>
      </c>
      <c r="V44" s="219"/>
      <c r="W44" s="348">
        <f>'7C41NF'!S9</f>
        <v>0</v>
      </c>
      <c r="X44" s="219"/>
      <c r="Y44" s="348">
        <f>'7C41RF'!S9</f>
        <v>0</v>
      </c>
      <c r="Z44" s="219"/>
      <c r="AA44" s="219"/>
      <c r="AB44" s="219"/>
      <c r="AC44" s="219"/>
      <c r="AD44" s="348">
        <f>'7C442F'!S9</f>
        <v>0</v>
      </c>
      <c r="AE44" s="219"/>
      <c r="AF44" s="348">
        <f>'7CM42F'!S11</f>
        <v>0</v>
      </c>
      <c r="AG44" s="219"/>
      <c r="AH44" s="219"/>
      <c r="AI44" s="348">
        <f>'7CM52F'!S14</f>
        <v>0</v>
      </c>
      <c r="AJ44" s="219"/>
      <c r="AK44" s="219"/>
      <c r="AL44" s="456">
        <f>'7STCGF'!S9</f>
        <v>0</v>
      </c>
      <c r="AM44" s="219"/>
      <c r="AN44" s="456">
        <f>'7STCRF'!S9</f>
        <v>0</v>
      </c>
      <c r="AO44" s="219"/>
      <c r="AP44" s="456">
        <f>'7STMGF'!S9</f>
        <v>0</v>
      </c>
      <c r="AQ44" s="219"/>
      <c r="AR44" s="456">
        <f>'7STMRF'!S9</f>
        <v>0</v>
      </c>
      <c r="AS44" s="458"/>
      <c r="AT44" s="219"/>
      <c r="AU44" s="219"/>
      <c r="AV44" s="219"/>
      <c r="AW44" s="219"/>
      <c r="AX44" s="219"/>
      <c r="AY44" s="219"/>
      <c r="AZ44" s="219"/>
      <c r="BA44" s="458"/>
      <c r="BB44" s="219"/>
      <c r="BC44" s="219"/>
      <c r="BD44" s="536">
        <f t="shared" si="8"/>
        <v>0</v>
      </c>
      <c r="BE44" s="210"/>
    </row>
    <row r="45" spans="2:57" x14ac:dyDescent="0.25">
      <c r="B45" s="215" t="str">
        <f>Cen!A191</f>
        <v>Bočnice C free, 600mm, Orion šedá</v>
      </c>
      <c r="C45" s="215" t="str">
        <f>Cen!B191</f>
        <v>780C6002S</v>
      </c>
      <c r="D45" s="215" t="str">
        <f>Cen!C191</f>
        <v>OG-M</v>
      </c>
      <c r="E45" s="593">
        <f>Cen!D191</f>
        <v>0</v>
      </c>
      <c r="F45" s="194">
        <f t="shared" si="4"/>
        <v>0</v>
      </c>
      <c r="G45" s="216">
        <f>Cen!F191</f>
        <v>1123.16077</v>
      </c>
      <c r="H45" s="765">
        <f t="shared" si="22"/>
        <v>0</v>
      </c>
      <c r="I45" s="228"/>
      <c r="J45" s="218">
        <f>Cen!I191</f>
        <v>8044415</v>
      </c>
      <c r="K45" s="218">
        <f>Cen!J191</f>
        <v>256491</v>
      </c>
      <c r="L45" s="214">
        <f t="shared" si="6"/>
        <v>0</v>
      </c>
      <c r="M45" s="789">
        <f t="shared" si="7"/>
        <v>0</v>
      </c>
      <c r="N45" s="219"/>
      <c r="O45" s="219"/>
      <c r="P45" s="117"/>
      <c r="Q45" s="219"/>
      <c r="R45" s="219"/>
      <c r="S45" s="348">
        <f>'7C410F'!S10</f>
        <v>0</v>
      </c>
      <c r="T45" s="219"/>
      <c r="U45" s="348">
        <f>'7C41VF'!S10</f>
        <v>0</v>
      </c>
      <c r="V45" s="219"/>
      <c r="W45" s="348">
        <f>'7C41NF'!S10</f>
        <v>0</v>
      </c>
      <c r="X45" s="219"/>
      <c r="Y45" s="348">
        <f>'7C41RF'!S10</f>
        <v>0</v>
      </c>
      <c r="Z45" s="219"/>
      <c r="AA45" s="219"/>
      <c r="AB45" s="219"/>
      <c r="AC45" s="219"/>
      <c r="AD45" s="348">
        <f>'7C442F'!S10</f>
        <v>0</v>
      </c>
      <c r="AE45" s="219"/>
      <c r="AF45" s="348">
        <f>'7CM42F'!S12</f>
        <v>0</v>
      </c>
      <c r="AG45" s="219"/>
      <c r="AH45" s="219"/>
      <c r="AI45" s="348">
        <f>'7CM52F'!S15</f>
        <v>0</v>
      </c>
      <c r="AJ45" s="219"/>
      <c r="AK45" s="219"/>
      <c r="AL45" s="219"/>
      <c r="AM45" s="219"/>
      <c r="AN45" s="219"/>
      <c r="AO45" s="219"/>
      <c r="AP45" s="219"/>
      <c r="AQ45" s="219"/>
      <c r="AR45" s="219"/>
      <c r="AS45" s="458"/>
      <c r="AT45" s="219"/>
      <c r="AU45" s="219"/>
      <c r="AV45" s="219"/>
      <c r="AW45" s="219"/>
      <c r="AX45" s="219"/>
      <c r="AY45" s="219"/>
      <c r="AZ45" s="219"/>
      <c r="BA45" s="458"/>
      <c r="BB45" s="219"/>
      <c r="BC45" s="219"/>
      <c r="BD45" s="536">
        <f t="shared" si="8"/>
        <v>0</v>
      </c>
      <c r="BE45" s="210"/>
    </row>
    <row r="46" spans="2:57" x14ac:dyDescent="0.25">
      <c r="B46" s="215" t="str">
        <f>Cen!A196</f>
        <v>Bočnice C free, 650mm, Orion šedá</v>
      </c>
      <c r="C46" s="215" t="str">
        <f>Cen!B196</f>
        <v>780C6502S</v>
      </c>
      <c r="D46" s="215" t="str">
        <f>Cen!C196</f>
        <v>OG-M</v>
      </c>
      <c r="E46" s="593">
        <f>Cen!D196</f>
        <v>0</v>
      </c>
      <c r="F46" s="194">
        <f t="shared" si="4"/>
        <v>0</v>
      </c>
      <c r="G46" s="216">
        <f>Cen!F196</f>
        <v>1156.3666000000001</v>
      </c>
      <c r="H46" s="765">
        <f t="shared" si="22"/>
        <v>0</v>
      </c>
      <c r="I46" s="228"/>
      <c r="J46" s="218">
        <f>Cen!I196</f>
        <v>9037386</v>
      </c>
      <c r="K46" s="218">
        <f>Cen!J192</f>
        <v>0</v>
      </c>
      <c r="L46" s="214">
        <f t="shared" si="6"/>
        <v>0</v>
      </c>
      <c r="M46" s="789">
        <f t="shared" si="7"/>
        <v>0</v>
      </c>
      <c r="N46" s="219"/>
      <c r="O46" s="219"/>
      <c r="P46" s="117"/>
      <c r="Q46" s="219"/>
      <c r="R46" s="219"/>
      <c r="S46" s="348">
        <f>'7C410F'!S11</f>
        <v>0</v>
      </c>
      <c r="T46" s="219"/>
      <c r="U46" s="348">
        <f>'7C41VF'!S11</f>
        <v>0</v>
      </c>
      <c r="V46" s="219"/>
      <c r="W46" s="348">
        <f>'7C41NF'!S11</f>
        <v>0</v>
      </c>
      <c r="X46" s="219"/>
      <c r="Y46" s="348">
        <f>'7C41RF'!S11</f>
        <v>0</v>
      </c>
      <c r="Z46" s="219"/>
      <c r="AA46" s="219"/>
      <c r="AB46" s="219"/>
      <c r="AC46" s="219"/>
      <c r="AD46" s="348">
        <f>'7C442F'!S11</f>
        <v>0</v>
      </c>
      <c r="AE46" s="219"/>
      <c r="AF46" s="348">
        <f>'7CM42F'!S13</f>
        <v>0</v>
      </c>
      <c r="AG46" s="219"/>
      <c r="AH46" s="219"/>
      <c r="AI46" s="348">
        <f>'7CM52F'!S16</f>
        <v>0</v>
      </c>
      <c r="AJ46" s="219"/>
      <c r="AK46" s="219"/>
      <c r="AL46" s="219"/>
      <c r="AM46" s="219"/>
      <c r="AN46" s="219"/>
      <c r="AO46" s="219"/>
      <c r="AP46" s="219"/>
      <c r="AQ46" s="219"/>
      <c r="AR46" s="219"/>
      <c r="AS46" s="458"/>
      <c r="AT46" s="219"/>
      <c r="AU46" s="219"/>
      <c r="AV46" s="219"/>
      <c r="AW46" s="219"/>
      <c r="AX46" s="219"/>
      <c r="AY46" s="219"/>
      <c r="AZ46" s="219"/>
      <c r="BA46" s="458"/>
      <c r="BB46" s="219"/>
      <c r="BC46" s="219"/>
      <c r="BD46" s="536">
        <f t="shared" si="8"/>
        <v>0</v>
      </c>
      <c r="BE46" s="210"/>
    </row>
    <row r="47" spans="2:57" x14ac:dyDescent="0.25">
      <c r="B47" s="215" t="str">
        <f>Cen!A201</f>
        <v>Bočnice F 400mm, Orion šedá</v>
      </c>
      <c r="C47" s="215" t="str">
        <f>Cen!B201</f>
        <v>770F4002S</v>
      </c>
      <c r="D47" s="215" t="str">
        <f>Cen!C201</f>
        <v>OG-M</v>
      </c>
      <c r="E47" s="593">
        <f>Cen!D201</f>
        <v>0</v>
      </c>
      <c r="F47" s="194">
        <f t="shared" ref="F47" si="23">IF(I47&gt;0,I47,SUM(N47:BC47))</f>
        <v>0</v>
      </c>
      <c r="G47" s="216">
        <f>Cen!F201</f>
        <v>1559.0609999999999</v>
      </c>
      <c r="H47" s="765">
        <f t="shared" si="22"/>
        <v>0</v>
      </c>
      <c r="I47" s="228"/>
      <c r="J47" s="218">
        <f>Cen!I201</f>
        <v>8372952</v>
      </c>
      <c r="K47" s="218">
        <f>Cen!J201</f>
        <v>336685</v>
      </c>
      <c r="L47" s="214">
        <f t="shared" ref="L47" si="24">IF(I47="x",0,IF(I47&gt;0,I47,F47))</f>
        <v>0</v>
      </c>
      <c r="M47" s="789">
        <f t="shared" ref="M47" si="25">PRODUCT(L47,G47)</f>
        <v>0</v>
      </c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745">
        <f>'7F410P'!S6</f>
        <v>0</v>
      </c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458"/>
      <c r="AT47" s="219"/>
      <c r="AU47" s="219"/>
      <c r="AV47" s="219"/>
      <c r="AW47" s="219"/>
      <c r="AX47" s="219"/>
      <c r="AY47" s="219"/>
      <c r="AZ47" s="219"/>
      <c r="BA47" s="458"/>
      <c r="BB47" s="219"/>
      <c r="BC47" s="219"/>
      <c r="BD47" s="536"/>
      <c r="BE47" s="210"/>
    </row>
    <row r="48" spans="2:57" x14ac:dyDescent="0.25">
      <c r="B48" s="215" t="str">
        <f>Cen!A206</f>
        <v>Bočnice F 450mm, Orion šedá</v>
      </c>
      <c r="C48" s="215" t="str">
        <f>Cen!B206</f>
        <v>770F4502S</v>
      </c>
      <c r="D48" s="215" t="str">
        <f>Cen!C206</f>
        <v>OG-M</v>
      </c>
      <c r="E48" s="593">
        <f>Cen!D206</f>
        <v>0</v>
      </c>
      <c r="F48" s="194">
        <f t="shared" si="4"/>
        <v>0</v>
      </c>
      <c r="G48" s="216">
        <f>Cen!F206</f>
        <v>1572.79675</v>
      </c>
      <c r="H48" s="765">
        <f t="shared" si="13"/>
        <v>0</v>
      </c>
      <c r="I48" s="228"/>
      <c r="J48" s="218">
        <f>Cen!I206</f>
        <v>9096837</v>
      </c>
      <c r="K48" s="218">
        <f>Cen!J206</f>
        <v>227526</v>
      </c>
      <c r="L48" s="214">
        <f t="shared" si="6"/>
        <v>0</v>
      </c>
      <c r="M48" s="789">
        <f t="shared" si="7"/>
        <v>0</v>
      </c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348">
        <f>'7F410P'!S7</f>
        <v>0</v>
      </c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458"/>
      <c r="AT48" s="219"/>
      <c r="AU48" s="219"/>
      <c r="AV48" s="219"/>
      <c r="AW48" s="219"/>
      <c r="AX48" s="219"/>
      <c r="AY48" s="219"/>
      <c r="AZ48" s="219"/>
      <c r="BA48" s="458"/>
      <c r="BB48" s="219"/>
      <c r="BC48" s="219"/>
      <c r="BD48" s="536">
        <f t="shared" si="8"/>
        <v>0</v>
      </c>
      <c r="BE48" s="210"/>
    </row>
    <row r="49" spans="1:57" x14ac:dyDescent="0.25">
      <c r="B49" s="215" t="str">
        <f>Cen!A211</f>
        <v>Bočnice F 500mm, Orion šedá</v>
      </c>
      <c r="C49" s="215" t="str">
        <f>Cen!B211</f>
        <v>770F5002S</v>
      </c>
      <c r="D49" s="215" t="str">
        <f>Cen!C211</f>
        <v>OG-M</v>
      </c>
      <c r="E49" s="593">
        <f>Cen!D211</f>
        <v>0</v>
      </c>
      <c r="F49" s="194">
        <f t="shared" si="4"/>
        <v>0</v>
      </c>
      <c r="G49" s="216">
        <f>Cen!F211</f>
        <v>1586.5378700000001</v>
      </c>
      <c r="H49" s="765">
        <f t="shared" si="13"/>
        <v>0</v>
      </c>
      <c r="I49" s="228"/>
      <c r="J49" s="218">
        <f>Cen!I211</f>
        <v>9153879</v>
      </c>
      <c r="K49" s="218">
        <f>Cen!J211</f>
        <v>227530</v>
      </c>
      <c r="L49" s="214">
        <f t="shared" si="6"/>
        <v>0</v>
      </c>
      <c r="M49" s="789">
        <f t="shared" si="7"/>
        <v>0</v>
      </c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348">
        <f>'7F410P'!S8</f>
        <v>0</v>
      </c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458"/>
      <c r="AT49" s="219"/>
      <c r="AU49" s="219"/>
      <c r="AV49" s="219"/>
      <c r="AW49" s="219"/>
      <c r="AX49" s="219"/>
      <c r="AY49" s="219"/>
      <c r="AZ49" s="219"/>
      <c r="BA49" s="458"/>
      <c r="BB49" s="219"/>
      <c r="BC49" s="219"/>
      <c r="BD49" s="536">
        <f t="shared" si="8"/>
        <v>0</v>
      </c>
      <c r="BE49" s="210"/>
    </row>
    <row r="50" spans="1:57" x14ac:dyDescent="0.25">
      <c r="B50" s="215" t="str">
        <f>Cen!A216</f>
        <v>Bočnice F 550mm, Orion šedá</v>
      </c>
      <c r="C50" s="215" t="str">
        <f>Cen!B216</f>
        <v>770F5502S</v>
      </c>
      <c r="D50" s="215" t="str">
        <f>Cen!C216</f>
        <v>OG-M</v>
      </c>
      <c r="E50" s="593">
        <f>Cen!D216</f>
        <v>0</v>
      </c>
      <c r="F50" s="194">
        <f t="shared" si="4"/>
        <v>0</v>
      </c>
      <c r="G50" s="216">
        <f>Cen!F216</f>
        <v>1648.36157</v>
      </c>
      <c r="H50" s="765">
        <f t="shared" si="13"/>
        <v>0</v>
      </c>
      <c r="I50" s="228"/>
      <c r="J50" s="218">
        <f>Cen!I216</f>
        <v>9249100</v>
      </c>
      <c r="K50" s="218">
        <f>Cen!J216</f>
        <v>227534</v>
      </c>
      <c r="L50" s="214">
        <f t="shared" si="6"/>
        <v>0</v>
      </c>
      <c r="M50" s="789">
        <f t="shared" si="7"/>
        <v>0</v>
      </c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348">
        <f>'7F410P'!S9</f>
        <v>0</v>
      </c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458"/>
      <c r="AT50" s="219"/>
      <c r="AU50" s="219"/>
      <c r="AV50" s="219"/>
      <c r="AW50" s="219"/>
      <c r="AX50" s="219"/>
      <c r="AY50" s="219"/>
      <c r="AZ50" s="219"/>
      <c r="BA50" s="458"/>
      <c r="BB50" s="219"/>
      <c r="BC50" s="219"/>
      <c r="BD50" s="536">
        <f t="shared" si="8"/>
        <v>0</v>
      </c>
      <c r="BE50" s="210"/>
    </row>
    <row r="51" spans="1:57" x14ac:dyDescent="0.25">
      <c r="B51" s="215" t="str">
        <f>Cen!A221</f>
        <v>Bočnice F 600mm, Orion šedá</v>
      </c>
      <c r="C51" s="215" t="str">
        <f>Cen!B221</f>
        <v>770F6002S</v>
      </c>
      <c r="D51" s="215" t="str">
        <f>Cen!C221</f>
        <v>OG-M</v>
      </c>
      <c r="E51" s="593">
        <f>Cen!D221</f>
        <v>0</v>
      </c>
      <c r="F51" s="194">
        <f t="shared" si="4"/>
        <v>0</v>
      </c>
      <c r="G51" s="216">
        <f>Cen!F221</f>
        <v>1792.6206400000001</v>
      </c>
      <c r="H51" s="765">
        <f t="shared" si="13"/>
        <v>0</v>
      </c>
      <c r="I51" s="228"/>
      <c r="J51" s="218">
        <f>Cen!I221</f>
        <v>9299751</v>
      </c>
      <c r="K51" s="218">
        <f>Cen!J221</f>
        <v>227538</v>
      </c>
      <c r="L51" s="214">
        <f t="shared" si="6"/>
        <v>0</v>
      </c>
      <c r="M51" s="789">
        <f t="shared" si="7"/>
        <v>0</v>
      </c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348">
        <f>'7F410P'!S10</f>
        <v>0</v>
      </c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458"/>
      <c r="AT51" s="219"/>
      <c r="AU51" s="219"/>
      <c r="AV51" s="219"/>
      <c r="AW51" s="219"/>
      <c r="AX51" s="219"/>
      <c r="AY51" s="219"/>
      <c r="AZ51" s="219"/>
      <c r="BA51" s="458"/>
      <c r="BB51" s="219"/>
      <c r="BC51" s="219"/>
      <c r="BD51" s="536">
        <f t="shared" si="8"/>
        <v>0</v>
      </c>
      <c r="BE51" s="210"/>
    </row>
    <row r="52" spans="1:57" x14ac:dyDescent="0.25">
      <c r="B52" s="215" t="str">
        <f>Cen!A226</f>
        <v>Bočnice F 650mm, Orion šedá</v>
      </c>
      <c r="C52" s="215" t="str">
        <f>Cen!B226</f>
        <v>770F6502S</v>
      </c>
      <c r="D52" s="215" t="str">
        <f>Cen!C226</f>
        <v>OG-M</v>
      </c>
      <c r="E52" s="593">
        <f>Cen!D226</f>
        <v>0</v>
      </c>
      <c r="F52" s="194">
        <f t="shared" si="4"/>
        <v>0</v>
      </c>
      <c r="G52" s="216">
        <f>Cen!F226</f>
        <v>1842.0827200000001</v>
      </c>
      <c r="H52" s="765">
        <f>M52</f>
        <v>0</v>
      </c>
      <c r="I52" s="228"/>
      <c r="J52" s="218">
        <f>Cen!I226</f>
        <v>1876579</v>
      </c>
      <c r="K52" s="218">
        <f>Cen!J226</f>
        <v>256462</v>
      </c>
      <c r="L52" s="214">
        <f t="shared" si="6"/>
        <v>0</v>
      </c>
      <c r="M52" s="789">
        <f t="shared" si="7"/>
        <v>0</v>
      </c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348">
        <f>'7F410P'!S11</f>
        <v>0</v>
      </c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458"/>
      <c r="AT52" s="219"/>
      <c r="AU52" s="219"/>
      <c r="AV52" s="219"/>
      <c r="AW52" s="219"/>
      <c r="AX52" s="219"/>
      <c r="AY52" s="219"/>
      <c r="AZ52" s="219"/>
      <c r="BA52" s="458"/>
      <c r="BB52" s="219"/>
      <c r="BC52" s="219"/>
      <c r="BD52" s="536">
        <f t="shared" si="8"/>
        <v>0</v>
      </c>
      <c r="BE52" s="210"/>
    </row>
    <row r="53" spans="1:57" customFormat="1" ht="12.75" customHeight="1" x14ac:dyDescent="0.35">
      <c r="A53" s="549"/>
      <c r="E53" s="664"/>
      <c r="H53" s="763"/>
      <c r="L53" s="214">
        <f t="shared" si="6"/>
        <v>0</v>
      </c>
      <c r="M53" s="789">
        <f t="shared" si="7"/>
        <v>0</v>
      </c>
      <c r="BD53" s="536">
        <f t="shared" si="8"/>
        <v>0</v>
      </c>
    </row>
    <row r="54" spans="1:57" customFormat="1" ht="12.75" customHeight="1" x14ac:dyDescent="0.35">
      <c r="A54" s="549"/>
      <c r="B54" s="215" t="str">
        <f>Cen!A232</f>
        <v>Boční zásuvné prvky, sklo, pro 350 mm</v>
      </c>
      <c r="C54" s="215" t="str">
        <f>Cen!B232</f>
        <v>ZE7S238G</v>
      </c>
      <c r="D54" s="215" t="str">
        <f>Cen!C232</f>
        <v>KLA</v>
      </c>
      <c r="E54" s="593">
        <f>Cen!D232</f>
        <v>0</v>
      </c>
      <c r="F54" s="194">
        <f t="shared" ref="F54:F60" si="26">IF(I54&gt;0,I54,SUM(N54:BC54))</f>
        <v>0</v>
      </c>
      <c r="G54" s="216">
        <f>Cen!F232</f>
        <v>625.33465999999999</v>
      </c>
      <c r="H54" s="765">
        <f>M54</f>
        <v>0</v>
      </c>
      <c r="I54" s="228"/>
      <c r="J54" s="218">
        <f>Cen!I232</f>
        <v>6061082</v>
      </c>
      <c r="K54" s="218">
        <f>Cen!J232</f>
        <v>256611</v>
      </c>
      <c r="L54" s="214">
        <f t="shared" si="6"/>
        <v>0</v>
      </c>
      <c r="M54" s="789">
        <f t="shared" si="7"/>
        <v>0</v>
      </c>
      <c r="S54" s="348">
        <f>'7C410F'!S67</f>
        <v>0</v>
      </c>
      <c r="U54" s="348">
        <f>'7C41VF'!S74</f>
        <v>0</v>
      </c>
      <c r="W54" s="348">
        <f>'7C41NF'!S74</f>
        <v>0</v>
      </c>
      <c r="Y54" s="348">
        <f>'7C41RF'!S74</f>
        <v>0</v>
      </c>
      <c r="AD54" s="219"/>
      <c r="AK54" s="549"/>
      <c r="AL54" s="219"/>
      <c r="AM54" s="549"/>
      <c r="AN54" s="219"/>
      <c r="AO54" s="549"/>
      <c r="AP54" s="219"/>
      <c r="AQ54" s="549"/>
      <c r="AR54" s="219"/>
      <c r="BD54" s="536">
        <f t="shared" si="8"/>
        <v>0</v>
      </c>
    </row>
    <row r="55" spans="1:57" customFormat="1" ht="12.75" customHeight="1" x14ac:dyDescent="0.35">
      <c r="A55" s="549"/>
      <c r="B55" s="215" t="str">
        <f>Cen!A233</f>
        <v>Boční zásuvné prvky, sklo, pro 400 mm</v>
      </c>
      <c r="C55" s="215" t="str">
        <f>Cen!B233</f>
        <v>ZE7S288G</v>
      </c>
      <c r="D55" s="215" t="str">
        <f>Cen!C233</f>
        <v>KLA</v>
      </c>
      <c r="E55" s="593">
        <f>Cen!D233</f>
        <v>0</v>
      </c>
      <c r="F55" s="194">
        <f t="shared" si="26"/>
        <v>0</v>
      </c>
      <c r="G55" s="216">
        <f>Cen!F233</f>
        <v>660.74360999999999</v>
      </c>
      <c r="H55" s="765">
        <f t="shared" ref="H55:H60" si="27">M55</f>
        <v>0</v>
      </c>
      <c r="I55" s="228"/>
      <c r="J55" s="218">
        <f>Cen!I233</f>
        <v>3508415</v>
      </c>
      <c r="K55" s="218">
        <f>Cen!J233</f>
        <v>257252</v>
      </c>
      <c r="L55" s="214">
        <f t="shared" si="6"/>
        <v>0</v>
      </c>
      <c r="M55" s="789">
        <f t="shared" si="7"/>
        <v>0</v>
      </c>
      <c r="S55" s="348">
        <f>'7C410F'!S68</f>
        <v>0</v>
      </c>
      <c r="U55" s="348">
        <f>'7C41VF'!S75</f>
        <v>0</v>
      </c>
      <c r="W55" s="348">
        <f>'7C41NF'!S75</f>
        <v>0</v>
      </c>
      <c r="Y55" s="348">
        <f>'7C41RF'!S75</f>
        <v>0</v>
      </c>
      <c r="AD55" s="219"/>
      <c r="AK55" s="549"/>
      <c r="AL55" s="219"/>
      <c r="AM55" s="549"/>
      <c r="AN55" s="219"/>
      <c r="AO55" s="549"/>
      <c r="AP55" s="219"/>
      <c r="AQ55" s="549"/>
      <c r="AR55" s="219"/>
      <c r="BD55" s="536">
        <f t="shared" ref="BD55:BD61" si="28">IF(AND(E55&gt;0,F55&gt;0),1,0)</f>
        <v>0</v>
      </c>
    </row>
    <row r="56" spans="1:57" customFormat="1" ht="12.75" customHeight="1" x14ac:dyDescent="0.35">
      <c r="A56" s="549"/>
      <c r="B56" s="215" t="str">
        <f>Cen!A234</f>
        <v>Boční zásuvné prvky, sklo, pro 450 mm</v>
      </c>
      <c r="C56" s="215" t="str">
        <f>Cen!B234</f>
        <v>ZE7S338G</v>
      </c>
      <c r="D56" s="215" t="str">
        <f>Cen!C234</f>
        <v>KLA</v>
      </c>
      <c r="E56" s="593">
        <f>Cen!D234</f>
        <v>0</v>
      </c>
      <c r="F56" s="194">
        <f t="shared" si="26"/>
        <v>0</v>
      </c>
      <c r="G56" s="216">
        <f>Cen!F234</f>
        <v>696.15254000000004</v>
      </c>
      <c r="H56" s="765">
        <f t="shared" si="27"/>
        <v>0</v>
      </c>
      <c r="I56" s="228"/>
      <c r="J56" s="218">
        <f>Cen!I234</f>
        <v>1507620</v>
      </c>
      <c r="K56" s="218">
        <f>Cen!J234</f>
        <v>257253</v>
      </c>
      <c r="L56" s="214">
        <f t="shared" si="6"/>
        <v>0</v>
      </c>
      <c r="M56" s="789">
        <f t="shared" si="7"/>
        <v>0</v>
      </c>
      <c r="S56" s="348">
        <f>'7C410F'!S69</f>
        <v>0</v>
      </c>
      <c r="U56" s="348">
        <f>'7C41VF'!S76</f>
        <v>0</v>
      </c>
      <c r="W56" s="348">
        <f>'7C41NF'!S76</f>
        <v>0</v>
      </c>
      <c r="Y56" s="348">
        <f>'7C41RF'!S76</f>
        <v>0</v>
      </c>
      <c r="AD56" s="348">
        <f>'7C442F'!S49</f>
        <v>0</v>
      </c>
      <c r="AF56" s="348">
        <f>'7CM42F'!S81</f>
        <v>0</v>
      </c>
      <c r="AI56" s="348">
        <f>'7CM52F'!S49</f>
        <v>0</v>
      </c>
      <c r="AL56" s="348">
        <f>'7STCGF'!S82</f>
        <v>0</v>
      </c>
      <c r="AN56" s="348">
        <f>'7STCRF'!S82</f>
        <v>0</v>
      </c>
      <c r="AP56" s="348">
        <f>'7STMGF'!S82</f>
        <v>0</v>
      </c>
      <c r="AR56" s="348">
        <f>'7STMRF'!S82</f>
        <v>0</v>
      </c>
      <c r="BD56" s="536">
        <f t="shared" si="28"/>
        <v>0</v>
      </c>
    </row>
    <row r="57" spans="1:57" customFormat="1" ht="12.75" customHeight="1" x14ac:dyDescent="0.35">
      <c r="A57" s="549"/>
      <c r="B57" s="215" t="str">
        <f>Cen!A235</f>
        <v>Boční zásuvné prvky, sklo, pro 500 mm</v>
      </c>
      <c r="C57" s="215" t="str">
        <f>Cen!B235</f>
        <v>ZE7S388G</v>
      </c>
      <c r="D57" s="215" t="str">
        <f>Cen!C235</f>
        <v>KLA</v>
      </c>
      <c r="E57" s="593">
        <f>Cen!D235</f>
        <v>0</v>
      </c>
      <c r="F57" s="194">
        <f t="shared" si="26"/>
        <v>0</v>
      </c>
      <c r="G57" s="216">
        <f>Cen!F235</f>
        <v>731.56149000000005</v>
      </c>
      <c r="H57" s="765">
        <f t="shared" si="27"/>
        <v>0</v>
      </c>
      <c r="I57" s="228"/>
      <c r="J57" s="218">
        <f>Cen!I235</f>
        <v>3863908</v>
      </c>
      <c r="K57" s="218">
        <f>Cen!J235</f>
        <v>257254</v>
      </c>
      <c r="L57" s="214">
        <f t="shared" si="6"/>
        <v>0</v>
      </c>
      <c r="M57" s="789">
        <f t="shared" si="7"/>
        <v>0</v>
      </c>
      <c r="S57" s="348">
        <f>'7C410F'!S70</f>
        <v>0</v>
      </c>
      <c r="U57" s="348">
        <f>'7C41VF'!S77</f>
        <v>0</v>
      </c>
      <c r="W57" s="348">
        <f>'7C41NF'!S77</f>
        <v>0</v>
      </c>
      <c r="Y57" s="348">
        <f>'7C41RF'!S77</f>
        <v>0</v>
      </c>
      <c r="AD57" s="348">
        <f>'7C442F'!S50</f>
        <v>0</v>
      </c>
      <c r="AF57" s="348">
        <f>'7CM42F'!S82</f>
        <v>0</v>
      </c>
      <c r="AI57" s="348">
        <f>'7CM52F'!S50</f>
        <v>0</v>
      </c>
      <c r="AL57" s="348">
        <f>'7STCGF'!S83</f>
        <v>0</v>
      </c>
      <c r="AN57" s="348">
        <f>'7STCRF'!S83</f>
        <v>0</v>
      </c>
      <c r="AP57" s="348">
        <f>'7STMGF'!S83</f>
        <v>0</v>
      </c>
      <c r="AR57" s="348">
        <f>'7STMRF'!S83</f>
        <v>0</v>
      </c>
      <c r="BD57" s="536">
        <f t="shared" si="28"/>
        <v>0</v>
      </c>
    </row>
    <row r="58" spans="1:57" customFormat="1" ht="12.75" customHeight="1" x14ac:dyDescent="0.35">
      <c r="A58" s="549"/>
      <c r="B58" s="215" t="str">
        <f>Cen!A236</f>
        <v>Boční zásuvné prvky, sklo, pro 550 mm</v>
      </c>
      <c r="C58" s="215" t="str">
        <f>Cen!B236</f>
        <v>ZE7S438G</v>
      </c>
      <c r="D58" s="215" t="str">
        <f>Cen!C236</f>
        <v>KLA</v>
      </c>
      <c r="E58" s="593">
        <f>Cen!D236</f>
        <v>0</v>
      </c>
      <c r="F58" s="194">
        <f t="shared" si="26"/>
        <v>0</v>
      </c>
      <c r="G58" s="216">
        <f>Cen!F236</f>
        <v>802.35667000000001</v>
      </c>
      <c r="H58" s="765">
        <f t="shared" si="27"/>
        <v>0</v>
      </c>
      <c r="I58" s="228"/>
      <c r="J58" s="218">
        <f>Cen!I236</f>
        <v>3232216</v>
      </c>
      <c r="K58" s="218">
        <f>Cen!J236</f>
        <v>257255</v>
      </c>
      <c r="L58" s="214">
        <f t="shared" si="6"/>
        <v>0</v>
      </c>
      <c r="M58" s="789">
        <f t="shared" si="7"/>
        <v>0</v>
      </c>
      <c r="S58" s="348">
        <f>'7C410F'!S71</f>
        <v>0</v>
      </c>
      <c r="U58" s="348">
        <f>'7C41VF'!S78</f>
        <v>0</v>
      </c>
      <c r="W58" s="348">
        <f>'7C41NF'!S78</f>
        <v>0</v>
      </c>
      <c r="Y58" s="348">
        <f>'7C41RF'!S78</f>
        <v>0</v>
      </c>
      <c r="AD58" s="348">
        <f>'7C442F'!S51</f>
        <v>0</v>
      </c>
      <c r="AF58" s="348">
        <f>'7CM42F'!S83</f>
        <v>0</v>
      </c>
      <c r="AI58" s="348">
        <f>'7CM52F'!S51</f>
        <v>0</v>
      </c>
      <c r="AL58" s="348">
        <f>'7STCGF'!S84</f>
        <v>0</v>
      </c>
      <c r="AN58" s="348">
        <f>'7STCRF'!S84</f>
        <v>0</v>
      </c>
      <c r="AP58" s="348">
        <f>'7STMGF'!S84</f>
        <v>0</v>
      </c>
      <c r="AR58" s="348">
        <f>'7STMRF'!S84</f>
        <v>0</v>
      </c>
      <c r="BD58" s="536">
        <f t="shared" si="28"/>
        <v>0</v>
      </c>
    </row>
    <row r="59" spans="1:57" customFormat="1" ht="12.75" customHeight="1" x14ac:dyDescent="0.35">
      <c r="A59" s="549"/>
      <c r="B59" s="215" t="str">
        <f>Cen!A237</f>
        <v>Boční zásuvné prvky, sklo, pro 600 mm</v>
      </c>
      <c r="C59" s="215" t="str">
        <f>Cen!B237</f>
        <v>ZE7S488G</v>
      </c>
      <c r="D59" s="215" t="str">
        <f>Cen!C237</f>
        <v>KLA</v>
      </c>
      <c r="E59" s="593">
        <f>Cen!D237</f>
        <v>0</v>
      </c>
      <c r="F59" s="194">
        <f t="shared" si="26"/>
        <v>0</v>
      </c>
      <c r="G59" s="216">
        <f>Cen!F237</f>
        <v>873.15183000000002</v>
      </c>
      <c r="H59" s="765">
        <f t="shared" si="27"/>
        <v>0</v>
      </c>
      <c r="I59" s="228"/>
      <c r="J59" s="218">
        <f>Cen!I237</f>
        <v>4637982</v>
      </c>
      <c r="K59" s="218">
        <f>Cen!J237</f>
        <v>257256</v>
      </c>
      <c r="L59" s="214">
        <f t="shared" si="6"/>
        <v>0</v>
      </c>
      <c r="M59" s="789">
        <f t="shared" si="7"/>
        <v>0</v>
      </c>
      <c r="S59" s="348">
        <f>'7C410F'!S72</f>
        <v>0</v>
      </c>
      <c r="U59" s="348">
        <f>'7C41VF'!S79</f>
        <v>0</v>
      </c>
      <c r="W59" s="348">
        <f>'7C41NF'!S79</f>
        <v>0</v>
      </c>
      <c r="Y59" s="348">
        <f>'7C41RF'!S79</f>
        <v>0</v>
      </c>
      <c r="AD59" s="348">
        <f>'7C442F'!S52</f>
        <v>0</v>
      </c>
      <c r="AF59" s="348">
        <f>'7CM42F'!S84</f>
        <v>0</v>
      </c>
      <c r="AI59" s="348">
        <f>'7CM52F'!S52</f>
        <v>0</v>
      </c>
      <c r="AL59" s="348">
        <f>'7STCGF'!S85</f>
        <v>0</v>
      </c>
      <c r="AN59" s="348">
        <f>'7STCRF'!S85</f>
        <v>0</v>
      </c>
      <c r="AP59" s="348">
        <f>'7STMGF'!S85</f>
        <v>0</v>
      </c>
      <c r="AR59" s="348">
        <f>'7STMRF'!S85</f>
        <v>0</v>
      </c>
      <c r="BD59" s="536">
        <f t="shared" si="28"/>
        <v>0</v>
      </c>
    </row>
    <row r="60" spans="1:57" customFormat="1" ht="12.75" customHeight="1" x14ac:dyDescent="0.35">
      <c r="A60" s="549"/>
      <c r="B60" s="215" t="str">
        <f>Cen!A238</f>
        <v>Boční zásuvné prvky, sklo, pro 650 mm</v>
      </c>
      <c r="C60" s="215" t="str">
        <f>Cen!B238</f>
        <v>ZE7S538G</v>
      </c>
      <c r="D60" s="215" t="str">
        <f>Cen!C238</f>
        <v>KLA</v>
      </c>
      <c r="E60" s="593">
        <f>Cen!D238</f>
        <v>0</v>
      </c>
      <c r="F60" s="194">
        <f t="shared" si="26"/>
        <v>0</v>
      </c>
      <c r="G60" s="216">
        <f>Cen!F238</f>
        <v>943.94700999999998</v>
      </c>
      <c r="H60" s="765">
        <f t="shared" si="27"/>
        <v>0</v>
      </c>
      <c r="I60" s="228"/>
      <c r="J60" s="218">
        <f>Cen!I238</f>
        <v>5250952</v>
      </c>
      <c r="K60" s="218">
        <f>Cen!J238</f>
        <v>257258</v>
      </c>
      <c r="L60" s="214">
        <f t="shared" si="6"/>
        <v>0</v>
      </c>
      <c r="M60" s="789">
        <f t="shared" si="7"/>
        <v>0</v>
      </c>
      <c r="S60" s="348">
        <f>'7C410F'!S73</f>
        <v>0</v>
      </c>
      <c r="U60" s="348">
        <f>'7C41VF'!S80</f>
        <v>0</v>
      </c>
      <c r="W60" s="348">
        <f>'7C41NF'!S80</f>
        <v>0</v>
      </c>
      <c r="Y60" s="348">
        <f>'7C41RF'!S80</f>
        <v>0</v>
      </c>
      <c r="AD60" s="348">
        <f>'7C442F'!S53</f>
        <v>0</v>
      </c>
      <c r="AF60" s="348">
        <f>'7CM42F'!S85</f>
        <v>0</v>
      </c>
      <c r="AI60" s="348">
        <f>'7CM52F'!S53</f>
        <v>0</v>
      </c>
      <c r="AL60" s="348">
        <f>'7STCGF'!S86</f>
        <v>0</v>
      </c>
      <c r="AN60" s="348">
        <f>'7STCRF'!S86</f>
        <v>0</v>
      </c>
      <c r="AP60" s="348">
        <f>'7STMGF'!S86</f>
        <v>0</v>
      </c>
      <c r="AR60" s="348">
        <f>'7STMRF'!S86</f>
        <v>0</v>
      </c>
      <c r="BD60" s="536">
        <f t="shared" si="28"/>
        <v>0</v>
      </c>
    </row>
    <row r="61" spans="1:57" customFormat="1" ht="12.75" customHeight="1" x14ac:dyDescent="0.35">
      <c r="A61" s="549"/>
      <c r="B61" s="215"/>
      <c r="C61" s="215"/>
      <c r="D61" s="215"/>
      <c r="E61" s="593"/>
      <c r="F61" s="194"/>
      <c r="G61" s="216"/>
      <c r="H61" s="765"/>
      <c r="I61" s="228"/>
      <c r="J61" s="218"/>
      <c r="K61" s="218"/>
      <c r="L61" s="214">
        <f t="shared" si="6"/>
        <v>0</v>
      </c>
      <c r="M61" s="789">
        <f t="shared" si="7"/>
        <v>0</v>
      </c>
      <c r="BD61" s="536">
        <f t="shared" si="28"/>
        <v>0</v>
      </c>
    </row>
    <row r="62" spans="1:57" x14ac:dyDescent="0.25">
      <c r="B62" s="220" t="str">
        <f>Cen!A241</f>
        <v>Korpusové lišty BLUMOTION S, 270mm, 40kg</v>
      </c>
      <c r="C62" s="220" t="str">
        <f>Cen!B241</f>
        <v>750.2701S</v>
      </c>
      <c r="D62" s="220" t="str">
        <f>Cen!C241</f>
        <v>ZN</v>
      </c>
      <c r="E62" s="593">
        <f>Cen!D241</f>
        <v>0</v>
      </c>
      <c r="F62" s="194">
        <f t="shared" ref="F62:F101" si="29">IF(I62&gt;0,I62,SUM(N62:BC62))</f>
        <v>0</v>
      </c>
      <c r="G62" s="216">
        <f>Cen!F241</f>
        <v>695.93676999999991</v>
      </c>
      <c r="H62" s="765">
        <f>M62</f>
        <v>0</v>
      </c>
      <c r="I62" s="228"/>
      <c r="J62" s="218">
        <f>Cen!I241</f>
        <v>2375622</v>
      </c>
      <c r="K62" s="218">
        <f>Cen!J241</f>
        <v>349902</v>
      </c>
      <c r="L62" s="214">
        <f t="shared" si="6"/>
        <v>0</v>
      </c>
      <c r="M62" s="789">
        <f t="shared" si="7"/>
        <v>0</v>
      </c>
      <c r="N62" s="219"/>
      <c r="O62" s="709">
        <f>'7M400P'!S13</f>
        <v>0</v>
      </c>
      <c r="P62" s="348">
        <f>'7M40VP'!S13</f>
        <v>0</v>
      </c>
      <c r="Q62" s="219"/>
      <c r="R62" s="348">
        <f>'7C410P'!S13</f>
        <v>0</v>
      </c>
      <c r="S62" s="348">
        <f>'7C410F'!S13</f>
        <v>0</v>
      </c>
      <c r="T62" s="348">
        <f>'7C41VP'!S13</f>
        <v>0</v>
      </c>
      <c r="U62" s="348">
        <f>'7C41VF'!S13</f>
        <v>0</v>
      </c>
      <c r="V62" s="348">
        <f>'7C41NP'!S13</f>
        <v>0</v>
      </c>
      <c r="W62" s="348">
        <f>'7C41NF'!S13</f>
        <v>0</v>
      </c>
      <c r="X62" s="348">
        <f>'7C41RP'!S13</f>
        <v>0</v>
      </c>
      <c r="Y62" s="348">
        <f>'7C41RF'!S13</f>
        <v>0</v>
      </c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458"/>
      <c r="AT62" s="219"/>
      <c r="AU62" s="219"/>
      <c r="AV62" s="219"/>
      <c r="AW62" s="219"/>
      <c r="AX62" s="219"/>
      <c r="AY62" s="219"/>
      <c r="AZ62" s="219"/>
      <c r="BA62" s="458"/>
      <c r="BB62" s="219"/>
      <c r="BC62" s="219"/>
      <c r="BD62" s="536">
        <f t="shared" ref="BD62:BD98" si="30">IF(AND(E62&gt;0,F62&gt;0),1,0)</f>
        <v>0</v>
      </c>
      <c r="BE62" s="210"/>
    </row>
    <row r="63" spans="1:57" x14ac:dyDescent="0.25">
      <c r="B63" s="220" t="str">
        <f>Cen!A242</f>
        <v>Korpusové lišty BLUMOTION S, 300mm, 40kg</v>
      </c>
      <c r="C63" s="220" t="str">
        <f>Cen!B242</f>
        <v>750.3001S</v>
      </c>
      <c r="D63" s="220" t="str">
        <f>Cen!C242</f>
        <v>ZN</v>
      </c>
      <c r="E63" s="593">
        <f>Cen!D242</f>
        <v>0</v>
      </c>
      <c r="F63" s="194">
        <f t="shared" si="29"/>
        <v>0</v>
      </c>
      <c r="G63" s="216">
        <f>Cen!F242</f>
        <v>695.93676999999991</v>
      </c>
      <c r="H63" s="765">
        <f t="shared" ref="H63:H76" si="31">M63</f>
        <v>0</v>
      </c>
      <c r="I63" s="228"/>
      <c r="J63" s="218">
        <f>Cen!I242</f>
        <v>3551699</v>
      </c>
      <c r="K63" s="218">
        <f>Cen!J242</f>
        <v>349903</v>
      </c>
      <c r="L63" s="214">
        <f t="shared" si="6"/>
        <v>0</v>
      </c>
      <c r="M63" s="789">
        <f t="shared" si="7"/>
        <v>0</v>
      </c>
      <c r="N63" s="219"/>
      <c r="O63" s="348">
        <f>'7M400P'!S14</f>
        <v>0</v>
      </c>
      <c r="P63" s="348">
        <f>'7M40VP'!S14</f>
        <v>0</v>
      </c>
      <c r="Q63" s="745">
        <f>'7K400P'!S13</f>
        <v>0</v>
      </c>
      <c r="R63" s="348">
        <f>'7C410P'!S14</f>
        <v>0</v>
      </c>
      <c r="S63" s="348">
        <f>'7C410F'!S14</f>
        <v>0</v>
      </c>
      <c r="T63" s="348">
        <f>'7C41VP'!S14</f>
        <v>0</v>
      </c>
      <c r="U63" s="348">
        <f>'7C41VF'!S14</f>
        <v>0</v>
      </c>
      <c r="V63" s="348">
        <f>'7C41NP'!S14</f>
        <v>0</v>
      </c>
      <c r="W63" s="348">
        <f>'7C41NF'!S14</f>
        <v>0</v>
      </c>
      <c r="X63" s="348">
        <f>'7C41RP'!S14</f>
        <v>0</v>
      </c>
      <c r="Y63" s="348">
        <f>'7C41RF'!S14</f>
        <v>0</v>
      </c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458"/>
      <c r="AT63" s="219"/>
      <c r="AU63" s="219"/>
      <c r="AV63" s="219"/>
      <c r="AW63" s="219"/>
      <c r="AX63" s="219"/>
      <c r="AY63" s="219"/>
      <c r="AZ63" s="219"/>
      <c r="BA63" s="458"/>
      <c r="BB63" s="219"/>
      <c r="BC63" s="219"/>
      <c r="BD63" s="536">
        <f t="shared" si="30"/>
        <v>0</v>
      </c>
      <c r="BE63" s="210"/>
    </row>
    <row r="64" spans="1:57" x14ac:dyDescent="0.25">
      <c r="B64" s="220" t="str">
        <f>Cen!A243</f>
        <v>Korpusové lišty BLUMOTION S, 350mm, 40kg</v>
      </c>
      <c r="C64" s="220" t="str">
        <f>Cen!B243</f>
        <v>750.3501S</v>
      </c>
      <c r="D64" s="220" t="str">
        <f>Cen!C243</f>
        <v>ZN</v>
      </c>
      <c r="E64" s="593">
        <f>Cen!D243</f>
        <v>0</v>
      </c>
      <c r="F64" s="194">
        <f t="shared" si="29"/>
        <v>0</v>
      </c>
      <c r="G64" s="216">
        <f>Cen!F243</f>
        <v>695.93676999999991</v>
      </c>
      <c r="H64" s="765">
        <f t="shared" si="31"/>
        <v>0</v>
      </c>
      <c r="I64" s="228"/>
      <c r="J64" s="218">
        <f>Cen!I243</f>
        <v>3572710</v>
      </c>
      <c r="K64" s="218">
        <f>Cen!J243</f>
        <v>349904</v>
      </c>
      <c r="L64" s="214">
        <f t="shared" si="6"/>
        <v>0</v>
      </c>
      <c r="M64" s="789">
        <f t="shared" si="7"/>
        <v>0</v>
      </c>
      <c r="N64" s="219"/>
      <c r="O64" s="348">
        <f>'7M400P'!S15</f>
        <v>0</v>
      </c>
      <c r="P64" s="348">
        <f>'7M40VP'!S15</f>
        <v>0</v>
      </c>
      <c r="Q64" s="348">
        <f>'7K400P'!S14</f>
        <v>0</v>
      </c>
      <c r="R64" s="348">
        <f>'7C410P'!S15</f>
        <v>0</v>
      </c>
      <c r="S64" s="348">
        <f>'7C410F'!S15</f>
        <v>0</v>
      </c>
      <c r="T64" s="348">
        <f>'7C41VP'!S15</f>
        <v>0</v>
      </c>
      <c r="U64" s="348">
        <f>'7C41VF'!S15</f>
        <v>0</v>
      </c>
      <c r="V64" s="348">
        <f>'7C41NP'!S15</f>
        <v>0</v>
      </c>
      <c r="W64" s="348">
        <f>'7C41NF'!S15</f>
        <v>0</v>
      </c>
      <c r="X64" s="348">
        <f>'7C41RP'!S15</f>
        <v>0</v>
      </c>
      <c r="Y64" s="348">
        <f>'7C41RF'!S15</f>
        <v>0</v>
      </c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458"/>
      <c r="AT64" s="219"/>
      <c r="AU64" s="219"/>
      <c r="AV64" s="219"/>
      <c r="AW64" s="219"/>
      <c r="AX64" s="219"/>
      <c r="AY64" s="219"/>
      <c r="AZ64" s="219"/>
      <c r="BA64" s="458"/>
      <c r="BB64" s="219"/>
      <c r="BC64" s="219"/>
      <c r="BD64" s="536">
        <f t="shared" si="30"/>
        <v>0</v>
      </c>
      <c r="BE64" s="210"/>
    </row>
    <row r="65" spans="1:57" x14ac:dyDescent="0.25">
      <c r="B65" s="220" t="str">
        <f>Cen!A244</f>
        <v>Korpusové lišty BLUMOTION S, 400mm, 40kg</v>
      </c>
      <c r="C65" s="220" t="str">
        <f>Cen!B244</f>
        <v>750.4001S</v>
      </c>
      <c r="D65" s="220" t="str">
        <f>Cen!C244</f>
        <v>ZN</v>
      </c>
      <c r="E65" s="593">
        <f>Cen!D244</f>
        <v>0</v>
      </c>
      <c r="F65" s="194">
        <f t="shared" si="29"/>
        <v>0</v>
      </c>
      <c r="G65" s="216">
        <f>Cen!F244</f>
        <v>704.8</v>
      </c>
      <c r="H65" s="765">
        <f t="shared" si="31"/>
        <v>0</v>
      </c>
      <c r="I65" s="228"/>
      <c r="J65" s="218">
        <f>Cen!I244</f>
        <v>4584771</v>
      </c>
      <c r="K65" s="218">
        <f>Cen!J244</f>
        <v>349905</v>
      </c>
      <c r="L65" s="214">
        <f t="shared" si="6"/>
        <v>0</v>
      </c>
      <c r="M65" s="789">
        <f t="shared" si="7"/>
        <v>0</v>
      </c>
      <c r="N65" s="745">
        <f>'7N400P'!S15</f>
        <v>0</v>
      </c>
      <c r="O65" s="348">
        <f>'7M400P'!S16</f>
        <v>0</v>
      </c>
      <c r="P65" s="348">
        <f>'7M40VP'!S16</f>
        <v>0</v>
      </c>
      <c r="Q65" s="348">
        <f>'7K400P'!S15</f>
        <v>0</v>
      </c>
      <c r="R65" s="348">
        <f>'7C410P'!S16</f>
        <v>0</v>
      </c>
      <c r="S65" s="348">
        <f>'7C410F'!S16</f>
        <v>0</v>
      </c>
      <c r="T65" s="348">
        <f>'7C41VP'!S16</f>
        <v>0</v>
      </c>
      <c r="U65" s="348">
        <f>'7C41VF'!S16</f>
        <v>0</v>
      </c>
      <c r="V65" s="348">
        <f>'7C41NP'!S16</f>
        <v>0</v>
      </c>
      <c r="W65" s="348">
        <f>'7C41NF'!S16</f>
        <v>0</v>
      </c>
      <c r="X65" s="348">
        <f>'7C41RP'!S16</f>
        <v>0</v>
      </c>
      <c r="Y65" s="348">
        <f>'7C41RF'!S16</f>
        <v>0</v>
      </c>
      <c r="Z65" s="745">
        <f>'7F410P'!S16</f>
        <v>0</v>
      </c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458"/>
      <c r="AT65" s="219"/>
      <c r="AU65" s="219"/>
      <c r="AV65" s="219"/>
      <c r="AW65" s="219"/>
      <c r="AX65" s="219"/>
      <c r="AY65" s="219"/>
      <c r="AZ65" s="219"/>
      <c r="BA65" s="458"/>
      <c r="BB65" s="219"/>
      <c r="BC65" s="219"/>
      <c r="BD65" s="536">
        <f t="shared" si="30"/>
        <v>0</v>
      </c>
      <c r="BE65" s="210"/>
    </row>
    <row r="66" spans="1:57" x14ac:dyDescent="0.25">
      <c r="B66" s="220" t="str">
        <f>Cen!A245</f>
        <v>Korpusové lišty BLUMOTION S, 450mm, 40kg</v>
      </c>
      <c r="C66" s="220" t="str">
        <f>Cen!B245</f>
        <v>750.4501S</v>
      </c>
      <c r="D66" s="220" t="str">
        <f>Cen!C245</f>
        <v>ZN</v>
      </c>
      <c r="E66" s="593">
        <f>Cen!D245</f>
        <v>0</v>
      </c>
      <c r="F66" s="194">
        <f t="shared" si="29"/>
        <v>0</v>
      </c>
      <c r="G66" s="216">
        <f>Cen!F245</f>
        <v>697.06186000000002</v>
      </c>
      <c r="H66" s="765">
        <f t="shared" si="31"/>
        <v>0</v>
      </c>
      <c r="I66" s="228"/>
      <c r="J66" s="218">
        <f>Cen!I245</f>
        <v>4610802</v>
      </c>
      <c r="K66" s="218">
        <f>Cen!J245</f>
        <v>349906</v>
      </c>
      <c r="L66" s="214">
        <f t="shared" si="6"/>
        <v>0</v>
      </c>
      <c r="M66" s="789">
        <f t="shared" si="7"/>
        <v>0</v>
      </c>
      <c r="N66" s="791">
        <f>'7N400P'!S16</f>
        <v>0</v>
      </c>
      <c r="O66" s="348">
        <f>'7M400P'!S17</f>
        <v>0</v>
      </c>
      <c r="P66" s="348">
        <f>'7M40VP'!S17</f>
        <v>0</v>
      </c>
      <c r="Q66" s="348">
        <f>'7K400P'!S16</f>
        <v>0</v>
      </c>
      <c r="R66" s="348">
        <f>'7C410P'!S17</f>
        <v>0</v>
      </c>
      <c r="S66" s="348">
        <f>'7C410F'!S17</f>
        <v>0</v>
      </c>
      <c r="T66" s="348">
        <f>'7C41VP'!S17</f>
        <v>0</v>
      </c>
      <c r="U66" s="348">
        <f>'7C41VF'!S17</f>
        <v>0</v>
      </c>
      <c r="V66" s="348">
        <f>'7C41NP'!S17</f>
        <v>0</v>
      </c>
      <c r="W66" s="348">
        <f>'7C41NF'!S17</f>
        <v>0</v>
      </c>
      <c r="X66" s="348">
        <f>'7C41RP'!S17</f>
        <v>0</v>
      </c>
      <c r="Y66" s="348">
        <f>'7C41RF'!S17</f>
        <v>0</v>
      </c>
      <c r="Z66" s="348">
        <f>'7F410P'!S17</f>
        <v>0</v>
      </c>
      <c r="AA66" s="219"/>
      <c r="AB66" s="348">
        <f>'7M442P'!S17</f>
        <v>0</v>
      </c>
      <c r="AC66" s="348">
        <f>'7C442P'!S17</f>
        <v>0</v>
      </c>
      <c r="AD66" s="348">
        <f>'7C442F'!S17</f>
        <v>0</v>
      </c>
      <c r="AE66" s="348">
        <f>'7CM42P'!S17</f>
        <v>0</v>
      </c>
      <c r="AF66" s="348">
        <f>'7CM42F'!S17</f>
        <v>0</v>
      </c>
      <c r="AG66" s="219"/>
      <c r="AH66" s="348">
        <f>'7CM52P'!S26</f>
        <v>0</v>
      </c>
      <c r="AI66" s="348">
        <f>'7CM52F'!S26</f>
        <v>0</v>
      </c>
      <c r="AJ66" s="219"/>
      <c r="AK66" s="348">
        <f>'7STCGP'!S16</f>
        <v>0</v>
      </c>
      <c r="AL66" s="348">
        <f>'7STCGF'!S16</f>
        <v>0</v>
      </c>
      <c r="AM66" s="348">
        <f>'7STCRP'!S16</f>
        <v>0</v>
      </c>
      <c r="AN66" s="348">
        <f>'7STCRF'!S16</f>
        <v>0</v>
      </c>
      <c r="AO66" s="348">
        <f>'7STMGP'!S16</f>
        <v>0</v>
      </c>
      <c r="AP66" s="348">
        <f>'7STMGF'!S16</f>
        <v>0</v>
      </c>
      <c r="AQ66" s="348">
        <f>'7STMRP'!S16</f>
        <v>0</v>
      </c>
      <c r="AR66" s="348">
        <f>'7STMRF'!S16</f>
        <v>0</v>
      </c>
      <c r="AS66" s="458"/>
      <c r="AT66" s="219"/>
      <c r="AU66" s="219"/>
      <c r="AV66" s="219"/>
      <c r="AW66" s="219"/>
      <c r="AX66" s="219"/>
      <c r="AY66" s="219"/>
      <c r="AZ66" s="219"/>
      <c r="BA66" s="458"/>
      <c r="BB66" s="219"/>
      <c r="BC66" s="219"/>
      <c r="BD66" s="536">
        <f t="shared" si="30"/>
        <v>0</v>
      </c>
      <c r="BE66" s="210"/>
    </row>
    <row r="67" spans="1:57" x14ac:dyDescent="0.25">
      <c r="B67" s="220" t="str">
        <f>Cen!A246</f>
        <v>Korpusové lišty BLUMOTION S, 450mm, 70kg</v>
      </c>
      <c r="C67" s="220" t="str">
        <f>Cen!B246</f>
        <v>753.4501S</v>
      </c>
      <c r="D67" s="220" t="str">
        <f>Cen!C246</f>
        <v>ZN</v>
      </c>
      <c r="E67" s="593">
        <f>Cen!D246</f>
        <v>0</v>
      </c>
      <c r="F67" s="194">
        <f t="shared" si="29"/>
        <v>0</v>
      </c>
      <c r="G67" s="216">
        <f>Cen!F246</f>
        <v>881.76589000000013</v>
      </c>
      <c r="H67" s="765">
        <f t="shared" si="31"/>
        <v>0</v>
      </c>
      <c r="I67" s="228"/>
      <c r="J67" s="218">
        <f>Cen!I246</f>
        <v>1696966</v>
      </c>
      <c r="K67" s="218">
        <f>Cen!J246</f>
        <v>349911</v>
      </c>
      <c r="L67" s="214">
        <f t="shared" si="6"/>
        <v>0</v>
      </c>
      <c r="M67" s="789">
        <f t="shared" si="7"/>
        <v>0</v>
      </c>
      <c r="N67" s="219"/>
      <c r="O67" s="348">
        <f>'7M400P'!S18</f>
        <v>0</v>
      </c>
      <c r="P67" s="348">
        <f>'7M40VP'!S18</f>
        <v>0</v>
      </c>
      <c r="Q67" s="348">
        <f>'7K400P'!S17</f>
        <v>0</v>
      </c>
      <c r="R67" s="348">
        <f>'7C410P'!S18</f>
        <v>0</v>
      </c>
      <c r="S67" s="348">
        <f>'7C410F'!S18</f>
        <v>0</v>
      </c>
      <c r="T67" s="348">
        <f>'7C41VP'!S18</f>
        <v>0</v>
      </c>
      <c r="U67" s="348">
        <f>'7C41VF'!S18</f>
        <v>0</v>
      </c>
      <c r="V67" s="348">
        <f>'7C41NP'!S18</f>
        <v>0</v>
      </c>
      <c r="W67" s="348">
        <f>'7C41NF'!S18</f>
        <v>0</v>
      </c>
      <c r="X67" s="348">
        <f>'7C41RP'!S18</f>
        <v>0</v>
      </c>
      <c r="Y67" s="348">
        <f>'7C41RF'!S18</f>
        <v>0</v>
      </c>
      <c r="Z67" s="348">
        <f>'7F410P'!S18</f>
        <v>0</v>
      </c>
      <c r="AA67" s="219"/>
      <c r="AB67" s="348">
        <f>'7M442P'!S18</f>
        <v>0</v>
      </c>
      <c r="AC67" s="348">
        <f>'7C442P'!S18</f>
        <v>0</v>
      </c>
      <c r="AD67" s="348">
        <f>'7C442F'!S18</f>
        <v>0</v>
      </c>
      <c r="AE67" s="348">
        <f>'7CM42P'!S18</f>
        <v>0</v>
      </c>
      <c r="AF67" s="348">
        <f>'7CM42F'!S18</f>
        <v>0</v>
      </c>
      <c r="AG67" s="219"/>
      <c r="AH67" s="219"/>
      <c r="AI67" s="219"/>
      <c r="AJ67" s="219"/>
      <c r="AK67" s="348">
        <f>'7STCGP'!S17</f>
        <v>0</v>
      </c>
      <c r="AL67" s="348">
        <f>'7STCGF'!S17</f>
        <v>0</v>
      </c>
      <c r="AM67" s="348">
        <f>'7STCRP'!S17</f>
        <v>0</v>
      </c>
      <c r="AN67" s="348">
        <f>'7STCRF'!S17</f>
        <v>0</v>
      </c>
      <c r="AO67" s="348">
        <f>'7STMGP'!S17</f>
        <v>0</v>
      </c>
      <c r="AP67" s="348">
        <f>'7STMGF'!S17</f>
        <v>0</v>
      </c>
      <c r="AQ67" s="348">
        <f>'7STMRP'!S17</f>
        <v>0</v>
      </c>
      <c r="AR67" s="348">
        <f>'7STMRF'!S17</f>
        <v>0</v>
      </c>
      <c r="AS67" s="458"/>
      <c r="AT67" s="219"/>
      <c r="AU67" s="219"/>
      <c r="AV67" s="219"/>
      <c r="AW67" s="219"/>
      <c r="AX67" s="219"/>
      <c r="AY67" s="219"/>
      <c r="AZ67" s="219"/>
      <c r="BA67" s="458"/>
      <c r="BB67" s="219"/>
      <c r="BC67" s="219"/>
      <c r="BD67" s="536">
        <f t="shared" si="30"/>
        <v>0</v>
      </c>
      <c r="BE67" s="210"/>
    </row>
    <row r="68" spans="1:57" x14ac:dyDescent="0.25">
      <c r="B68" s="220" t="str">
        <f>Cen!A247</f>
        <v>Korpusové lišty BLUMOTION S, 500mm, 40kg</v>
      </c>
      <c r="C68" s="220" t="str">
        <f>Cen!B247</f>
        <v>750.5001S</v>
      </c>
      <c r="D68" s="220" t="str">
        <f>Cen!C247</f>
        <v>ZN</v>
      </c>
      <c r="E68" s="593">
        <f>Cen!D247</f>
        <v>0</v>
      </c>
      <c r="F68" s="194">
        <f t="shared" si="29"/>
        <v>0</v>
      </c>
      <c r="G68" s="216">
        <f>Cen!F247</f>
        <v>705.71905000000004</v>
      </c>
      <c r="H68" s="765">
        <f t="shared" si="31"/>
        <v>0</v>
      </c>
      <c r="I68" s="228"/>
      <c r="J68" s="218">
        <f>Cen!I247</f>
        <v>5722072</v>
      </c>
      <c r="K68" s="218">
        <f>Cen!J247</f>
        <v>349907</v>
      </c>
      <c r="L68" s="214">
        <f t="shared" si="6"/>
        <v>0</v>
      </c>
      <c r="M68" s="789">
        <f t="shared" si="7"/>
        <v>0</v>
      </c>
      <c r="N68" s="791">
        <f>'7N400P'!S18</f>
        <v>0</v>
      </c>
      <c r="O68" s="348">
        <f>'7M400P'!S19</f>
        <v>0</v>
      </c>
      <c r="P68" s="348">
        <f>'7M40VP'!S19</f>
        <v>0</v>
      </c>
      <c r="Q68" s="348">
        <f>'7K400P'!S18</f>
        <v>0</v>
      </c>
      <c r="R68" s="348">
        <f>'7C410P'!S19</f>
        <v>0</v>
      </c>
      <c r="S68" s="348">
        <f>'7C410F'!S19</f>
        <v>0</v>
      </c>
      <c r="T68" s="348">
        <f>'7C41VP'!S19</f>
        <v>0</v>
      </c>
      <c r="U68" s="348">
        <f>'7C41VF'!S19</f>
        <v>0</v>
      </c>
      <c r="V68" s="348">
        <f>'7C41NP'!S19</f>
        <v>0</v>
      </c>
      <c r="W68" s="348">
        <f>'7C41NF'!S19</f>
        <v>0</v>
      </c>
      <c r="X68" s="348">
        <f>'7C41RP'!S19</f>
        <v>0</v>
      </c>
      <c r="Y68" s="348">
        <f>'7C41RF'!S19</f>
        <v>0</v>
      </c>
      <c r="Z68" s="348">
        <f>'7F410P'!S19</f>
        <v>0</v>
      </c>
      <c r="AA68" s="219"/>
      <c r="AB68" s="348">
        <f>'7M442P'!S19</f>
        <v>0</v>
      </c>
      <c r="AC68" s="348">
        <f>'7C442P'!S19</f>
        <v>0</v>
      </c>
      <c r="AD68" s="348">
        <f>'7C442F'!S19</f>
        <v>0</v>
      </c>
      <c r="AE68" s="348">
        <f>'7CM42P'!S19</f>
        <v>0</v>
      </c>
      <c r="AF68" s="348">
        <f>'7CM42F'!S19</f>
        <v>0</v>
      </c>
      <c r="AG68" s="219"/>
      <c r="AH68" s="348">
        <f>'7CM52P'!S28</f>
        <v>0</v>
      </c>
      <c r="AI68" s="348">
        <f>'7CM52F'!S28</f>
        <v>0</v>
      </c>
      <c r="AJ68" s="219"/>
      <c r="AK68" s="348">
        <f>'7STCGP'!S18</f>
        <v>0</v>
      </c>
      <c r="AL68" s="348">
        <f>'7STCGF'!S18</f>
        <v>0</v>
      </c>
      <c r="AM68" s="348">
        <f>'7STCRP'!S18</f>
        <v>0</v>
      </c>
      <c r="AN68" s="348">
        <f>'7STCRF'!S18</f>
        <v>0</v>
      </c>
      <c r="AO68" s="348">
        <f>'7STMGP'!S18</f>
        <v>0</v>
      </c>
      <c r="AP68" s="348">
        <f>'7STMGF'!S18</f>
        <v>0</v>
      </c>
      <c r="AQ68" s="348">
        <f>'7STMRP'!S18</f>
        <v>0</v>
      </c>
      <c r="AR68" s="348">
        <f>'7STMRF'!S18</f>
        <v>0</v>
      </c>
      <c r="AS68" s="458"/>
      <c r="AT68" s="219"/>
      <c r="AU68" s="219"/>
      <c r="AV68" s="219"/>
      <c r="AW68" s="219"/>
      <c r="AX68" s="219"/>
      <c r="AY68" s="219"/>
      <c r="AZ68" s="219"/>
      <c r="BA68" s="458"/>
      <c r="BB68" s="219"/>
      <c r="BC68" s="219"/>
      <c r="BD68" s="536">
        <f t="shared" si="30"/>
        <v>0</v>
      </c>
      <c r="BE68" s="210"/>
    </row>
    <row r="69" spans="1:57" x14ac:dyDescent="0.25">
      <c r="B69" s="220" t="str">
        <f>Cen!A248</f>
        <v>Korpusové lišty BLUMOTION S, 500mm, 70kg</v>
      </c>
      <c r="C69" s="220" t="str">
        <f>Cen!B248</f>
        <v>753.5001S</v>
      </c>
      <c r="D69" s="220" t="str">
        <f>Cen!C248</f>
        <v>ZN</v>
      </c>
      <c r="E69" s="593">
        <f>Cen!D248</f>
        <v>0</v>
      </c>
      <c r="F69" s="194">
        <f t="shared" si="29"/>
        <v>0</v>
      </c>
      <c r="G69" s="216">
        <f>Cen!F248</f>
        <v>890.62918000000002</v>
      </c>
      <c r="H69" s="765">
        <f t="shared" si="31"/>
        <v>0</v>
      </c>
      <c r="I69" s="228"/>
      <c r="J69" s="218">
        <f>Cen!I248</f>
        <v>9209571</v>
      </c>
      <c r="K69" s="218">
        <f>Cen!J248</f>
        <v>349912</v>
      </c>
      <c r="L69" s="214">
        <f t="shared" si="6"/>
        <v>0</v>
      </c>
      <c r="M69" s="789">
        <f t="shared" si="7"/>
        <v>0</v>
      </c>
      <c r="N69" s="219"/>
      <c r="O69" s="348">
        <f>'7M400P'!S20</f>
        <v>0</v>
      </c>
      <c r="P69" s="348">
        <f>'7M40VP'!S20</f>
        <v>0</v>
      </c>
      <c r="Q69" s="348">
        <f>'7K400P'!S19</f>
        <v>0</v>
      </c>
      <c r="R69" s="348">
        <f>'7C410P'!S20</f>
        <v>0</v>
      </c>
      <c r="S69" s="348">
        <f>'7C410F'!S20</f>
        <v>0</v>
      </c>
      <c r="T69" s="348">
        <f>'7C41VP'!S20</f>
        <v>0</v>
      </c>
      <c r="U69" s="348">
        <f>'7C41VF'!S20</f>
        <v>0</v>
      </c>
      <c r="V69" s="348">
        <f>'7C41NP'!S20</f>
        <v>0</v>
      </c>
      <c r="W69" s="348">
        <f>'7C41NF'!S20</f>
        <v>0</v>
      </c>
      <c r="X69" s="348">
        <f>'7C41RP'!S20</f>
        <v>0</v>
      </c>
      <c r="Y69" s="348">
        <f>'7C41RF'!S20</f>
        <v>0</v>
      </c>
      <c r="Z69" s="348">
        <f>'7F410P'!S20</f>
        <v>0</v>
      </c>
      <c r="AA69" s="219"/>
      <c r="AB69" s="348">
        <f>'7M442P'!S20</f>
        <v>0</v>
      </c>
      <c r="AC69" s="348">
        <f>'7C442P'!S20</f>
        <v>0</v>
      </c>
      <c r="AD69" s="348">
        <f>'7C442F'!S20</f>
        <v>0</v>
      </c>
      <c r="AE69" s="348">
        <f>'7CM42P'!S20</f>
        <v>0</v>
      </c>
      <c r="AF69" s="348">
        <f>'7CM42F'!S20</f>
        <v>0</v>
      </c>
      <c r="AG69" s="219"/>
      <c r="AH69" s="219"/>
      <c r="AI69" s="219"/>
      <c r="AJ69" s="219"/>
      <c r="AK69" s="348">
        <f>'7STCGP'!S19</f>
        <v>0</v>
      </c>
      <c r="AL69" s="348">
        <f>'7STCGF'!S19</f>
        <v>0</v>
      </c>
      <c r="AM69" s="348">
        <f>'7STCRP'!S19</f>
        <v>0</v>
      </c>
      <c r="AN69" s="348">
        <f>'7STCRF'!S19</f>
        <v>0</v>
      </c>
      <c r="AO69" s="348">
        <f>'7STMGP'!S19</f>
        <v>0</v>
      </c>
      <c r="AP69" s="348">
        <f>'7STMGF'!S19</f>
        <v>0</v>
      </c>
      <c r="AQ69" s="348">
        <f>'7STMRP'!S19</f>
        <v>0</v>
      </c>
      <c r="AR69" s="348">
        <f>'7STMRF'!S19</f>
        <v>0</v>
      </c>
      <c r="AS69" s="458"/>
      <c r="AT69" s="219"/>
      <c r="AU69" s="219"/>
      <c r="AV69" s="219"/>
      <c r="AW69" s="219"/>
      <c r="AX69" s="219"/>
      <c r="AY69" s="219"/>
      <c r="AZ69" s="219"/>
      <c r="BA69" s="458"/>
      <c r="BB69" s="219"/>
      <c r="BC69" s="219"/>
      <c r="BD69" s="536">
        <f t="shared" si="30"/>
        <v>0</v>
      </c>
      <c r="BE69" s="210"/>
    </row>
    <row r="70" spans="1:57" x14ac:dyDescent="0.25">
      <c r="B70" s="220" t="str">
        <f>Cen!A249</f>
        <v>Korpusové lišty BLUMOTION S, 550mm, 40kg</v>
      </c>
      <c r="C70" s="220" t="str">
        <f>Cen!B249</f>
        <v>750.5501S</v>
      </c>
      <c r="D70" s="220" t="str">
        <f>Cen!C249</f>
        <v>ZN</v>
      </c>
      <c r="E70" s="593">
        <f>Cen!D249</f>
        <v>0</v>
      </c>
      <c r="F70" s="194">
        <f t="shared" si="29"/>
        <v>0</v>
      </c>
      <c r="G70" s="216">
        <f>Cen!F249</f>
        <v>769.83820000000003</v>
      </c>
      <c r="H70" s="765">
        <f t="shared" si="31"/>
        <v>0</v>
      </c>
      <c r="I70" s="228"/>
      <c r="J70" s="218">
        <f>Cen!I249</f>
        <v>5799990</v>
      </c>
      <c r="K70" s="218">
        <f>Cen!J249</f>
        <v>349908</v>
      </c>
      <c r="L70" s="214">
        <f t="shared" si="6"/>
        <v>0</v>
      </c>
      <c r="M70" s="789">
        <f t="shared" si="7"/>
        <v>0</v>
      </c>
      <c r="N70" s="791">
        <f>'7N400P'!S20</f>
        <v>0</v>
      </c>
      <c r="O70" s="348">
        <f>'7M400P'!S21</f>
        <v>0</v>
      </c>
      <c r="P70" s="348">
        <f>'7M40VP'!S21</f>
        <v>0</v>
      </c>
      <c r="Q70" s="348">
        <f>'7K400P'!S20</f>
        <v>0</v>
      </c>
      <c r="R70" s="348">
        <f>'7C410P'!S21</f>
        <v>0</v>
      </c>
      <c r="S70" s="348">
        <f>'7C410F'!S21</f>
        <v>0</v>
      </c>
      <c r="T70" s="348">
        <f>'7C41VP'!S21</f>
        <v>0</v>
      </c>
      <c r="U70" s="348">
        <f>'7C41VF'!S21</f>
        <v>0</v>
      </c>
      <c r="V70" s="348">
        <f>'7C41NP'!S21</f>
        <v>0</v>
      </c>
      <c r="W70" s="348">
        <f>'7C41NF'!S21</f>
        <v>0</v>
      </c>
      <c r="X70" s="348">
        <f>'7C41RP'!S21</f>
        <v>0</v>
      </c>
      <c r="Y70" s="348">
        <f>'7C41RF'!S21</f>
        <v>0</v>
      </c>
      <c r="Z70" s="348">
        <f>'7F410P'!S21</f>
        <v>0</v>
      </c>
      <c r="AA70" s="219"/>
      <c r="AB70" s="348">
        <f>'7M442P'!S21</f>
        <v>0</v>
      </c>
      <c r="AC70" s="348">
        <f>'7C442P'!S21</f>
        <v>0</v>
      </c>
      <c r="AD70" s="348">
        <f>'7C442F'!S21</f>
        <v>0</v>
      </c>
      <c r="AE70" s="348">
        <f>'7CM42P'!S21</f>
        <v>0</v>
      </c>
      <c r="AF70" s="348">
        <f>'7CM42F'!S21</f>
        <v>0</v>
      </c>
      <c r="AG70" s="219"/>
      <c r="AH70" s="348">
        <f>'7CM52P'!S30</f>
        <v>0</v>
      </c>
      <c r="AI70" s="348">
        <f>'7CM52F'!S30</f>
        <v>0</v>
      </c>
      <c r="AJ70" s="219"/>
      <c r="AK70" s="348">
        <f>'7STCGP'!S20</f>
        <v>0</v>
      </c>
      <c r="AL70" s="348">
        <f>'7STCGF'!S20</f>
        <v>0</v>
      </c>
      <c r="AM70" s="348">
        <f>'7STCRP'!S20</f>
        <v>0</v>
      </c>
      <c r="AN70" s="348">
        <f>'7STCRF'!S20</f>
        <v>0</v>
      </c>
      <c r="AO70" s="348">
        <f>'7STMGP'!S20</f>
        <v>0</v>
      </c>
      <c r="AP70" s="348">
        <f>'7STMGF'!S20</f>
        <v>0</v>
      </c>
      <c r="AQ70" s="348">
        <f>'7STMRP'!S20</f>
        <v>0</v>
      </c>
      <c r="AR70" s="348">
        <f>'7STMRF'!S20</f>
        <v>0</v>
      </c>
      <c r="AS70" s="458"/>
      <c r="AT70" s="219"/>
      <c r="AU70" s="219"/>
      <c r="AV70" s="219"/>
      <c r="AW70" s="219"/>
      <c r="AX70" s="219"/>
      <c r="AY70" s="219"/>
      <c r="AZ70" s="219"/>
      <c r="BA70" s="458"/>
      <c r="BB70" s="219"/>
      <c r="BC70" s="219"/>
      <c r="BD70" s="536">
        <f t="shared" si="30"/>
        <v>0</v>
      </c>
      <c r="BE70" s="210"/>
    </row>
    <row r="71" spans="1:57" x14ac:dyDescent="0.25">
      <c r="B71" s="220" t="str">
        <f>Cen!A250</f>
        <v>Korpusové lišty BLUMOTION S, 550mm, 70kg</v>
      </c>
      <c r="C71" s="220" t="str">
        <f>Cen!B250</f>
        <v>753.5501S</v>
      </c>
      <c r="D71" s="220" t="str">
        <f>Cen!C250</f>
        <v>ZN</v>
      </c>
      <c r="E71" s="593">
        <f>Cen!D250</f>
        <v>0</v>
      </c>
      <c r="F71" s="194">
        <f t="shared" si="29"/>
        <v>0</v>
      </c>
      <c r="G71" s="216">
        <f>Cen!F250</f>
        <v>937.94550000000004</v>
      </c>
      <c r="H71" s="765">
        <f t="shared" si="31"/>
        <v>0</v>
      </c>
      <c r="I71" s="228"/>
      <c r="J71" s="218">
        <f>Cen!I250</f>
        <v>7396964</v>
      </c>
      <c r="K71" s="218">
        <f>Cen!J250</f>
        <v>349913</v>
      </c>
      <c r="L71" s="214">
        <f t="shared" si="6"/>
        <v>0</v>
      </c>
      <c r="M71" s="789">
        <f t="shared" si="7"/>
        <v>0</v>
      </c>
      <c r="N71" s="219"/>
      <c r="O71" s="348">
        <f>'7M400P'!S22</f>
        <v>0</v>
      </c>
      <c r="P71" s="348">
        <f>'7M40VP'!S22</f>
        <v>0</v>
      </c>
      <c r="Q71" s="348">
        <f>'7K400P'!S21</f>
        <v>0</v>
      </c>
      <c r="R71" s="348">
        <f>'7C410P'!S22</f>
        <v>0</v>
      </c>
      <c r="S71" s="348">
        <f>'7C410F'!S22</f>
        <v>0</v>
      </c>
      <c r="T71" s="348">
        <f>'7C41VP'!S22</f>
        <v>0</v>
      </c>
      <c r="U71" s="348">
        <f>'7C41VF'!S22</f>
        <v>0</v>
      </c>
      <c r="V71" s="348">
        <f>'7C41NP'!S22</f>
        <v>0</v>
      </c>
      <c r="W71" s="348">
        <f>'7C41NF'!S22</f>
        <v>0</v>
      </c>
      <c r="X71" s="348">
        <f>'7C41RP'!S22</f>
        <v>0</v>
      </c>
      <c r="Y71" s="348">
        <f>'7C41RF'!S22</f>
        <v>0</v>
      </c>
      <c r="Z71" s="348">
        <f>'7F410P'!S22</f>
        <v>0</v>
      </c>
      <c r="AA71" s="219"/>
      <c r="AB71" s="348">
        <f>'7M442P'!S22</f>
        <v>0</v>
      </c>
      <c r="AC71" s="348">
        <f>'7C442P'!S22</f>
        <v>0</v>
      </c>
      <c r="AD71" s="348">
        <f>'7C442F'!S22</f>
        <v>0</v>
      </c>
      <c r="AE71" s="348">
        <f>'7CM42P'!S22</f>
        <v>0</v>
      </c>
      <c r="AF71" s="348">
        <f>'7CM42F'!S22</f>
        <v>0</v>
      </c>
      <c r="AG71" s="219"/>
      <c r="AH71" s="219"/>
      <c r="AI71" s="219"/>
      <c r="AJ71" s="219"/>
      <c r="AK71" s="348">
        <f>'7STCGP'!S21</f>
        <v>0</v>
      </c>
      <c r="AL71" s="348">
        <f>'7STCGF'!S21</f>
        <v>0</v>
      </c>
      <c r="AM71" s="348">
        <f>'7STCRP'!S21</f>
        <v>0</v>
      </c>
      <c r="AN71" s="348">
        <f>'7STCRF'!S21</f>
        <v>0</v>
      </c>
      <c r="AO71" s="348">
        <f>'7STMGP'!S21</f>
        <v>0</v>
      </c>
      <c r="AP71" s="348">
        <f>'7STMGF'!S21</f>
        <v>0</v>
      </c>
      <c r="AQ71" s="348">
        <f>'7STMRP'!S21</f>
        <v>0</v>
      </c>
      <c r="AR71" s="348">
        <f>'7STMRF'!S21</f>
        <v>0</v>
      </c>
      <c r="AS71" s="458"/>
      <c r="AT71" s="219"/>
      <c r="AU71" s="219"/>
      <c r="AV71" s="219"/>
      <c r="AW71" s="219"/>
      <c r="AX71" s="219"/>
      <c r="AY71" s="219"/>
      <c r="AZ71" s="219"/>
      <c r="BA71" s="458"/>
      <c r="BB71" s="219"/>
      <c r="BC71" s="219"/>
      <c r="BD71" s="536">
        <f t="shared" si="30"/>
        <v>0</v>
      </c>
      <c r="BE71" s="210"/>
    </row>
    <row r="72" spans="1:57" x14ac:dyDescent="0.25">
      <c r="B72" s="220" t="str">
        <f>Cen!A251</f>
        <v>Korpusové lišty BLUMOTION S, 600mm, 40kg</v>
      </c>
      <c r="C72" s="220" t="str">
        <f>Cen!B251</f>
        <v>750.6001S</v>
      </c>
      <c r="D72" s="220" t="str">
        <f>Cen!C251</f>
        <v>ZN</v>
      </c>
      <c r="E72" s="593">
        <f>Cen!D251</f>
        <v>0</v>
      </c>
      <c r="F72" s="194">
        <f t="shared" si="29"/>
        <v>0</v>
      </c>
      <c r="G72" s="216">
        <f>Cen!F251</f>
        <v>865.24247000000003</v>
      </c>
      <c r="H72" s="765">
        <f t="shared" si="31"/>
        <v>0</v>
      </c>
      <c r="I72" s="228"/>
      <c r="J72" s="218">
        <f>Cen!I251</f>
        <v>6243953</v>
      </c>
      <c r="K72" s="218">
        <f>Cen!J251</f>
        <v>349909</v>
      </c>
      <c r="L72" s="214">
        <f t="shared" si="6"/>
        <v>0</v>
      </c>
      <c r="M72" s="789">
        <f t="shared" si="7"/>
        <v>0</v>
      </c>
      <c r="N72" s="219"/>
      <c r="O72" s="348">
        <f>'7M400P'!S23</f>
        <v>0</v>
      </c>
      <c r="P72" s="348">
        <f>'7M40VP'!S23</f>
        <v>0</v>
      </c>
      <c r="Q72" s="745">
        <f>'7K400P'!S22</f>
        <v>0</v>
      </c>
      <c r="R72" s="348">
        <f>'7C410P'!S23</f>
        <v>0</v>
      </c>
      <c r="S72" s="348">
        <f>'7C410F'!S23</f>
        <v>0</v>
      </c>
      <c r="T72" s="348">
        <f>'7C41VP'!S23</f>
        <v>0</v>
      </c>
      <c r="U72" s="348">
        <f>'7C41VF'!S23</f>
        <v>0</v>
      </c>
      <c r="V72" s="348">
        <f>'7C41NP'!S23</f>
        <v>0</v>
      </c>
      <c r="W72" s="348">
        <f>'7C41NF'!S23</f>
        <v>0</v>
      </c>
      <c r="X72" s="348">
        <f>'7C41RP'!S23</f>
        <v>0</v>
      </c>
      <c r="Y72" s="348">
        <f>'7C41RF'!S23</f>
        <v>0</v>
      </c>
      <c r="Z72" s="348">
        <f>'7F410P'!S23</f>
        <v>0</v>
      </c>
      <c r="AA72" s="219"/>
      <c r="AB72" s="348">
        <f>'7M442P'!S23</f>
        <v>0</v>
      </c>
      <c r="AC72" s="348">
        <f>'7C442P'!S23</f>
        <v>0</v>
      </c>
      <c r="AD72" s="348">
        <f>'7C442F'!S23</f>
        <v>0</v>
      </c>
      <c r="AE72" s="348">
        <f>'7CM42P'!S23</f>
        <v>0</v>
      </c>
      <c r="AF72" s="348">
        <f>'7CM42F'!S23</f>
        <v>0</v>
      </c>
      <c r="AG72" s="219"/>
      <c r="AH72" s="348">
        <f>'7CM52P'!S32</f>
        <v>0</v>
      </c>
      <c r="AI72" s="348">
        <f>'7CM52F'!S32</f>
        <v>0</v>
      </c>
      <c r="AJ72" s="219"/>
      <c r="AK72" s="219"/>
      <c r="AL72" s="219"/>
      <c r="AM72" s="219"/>
      <c r="AN72" s="219"/>
      <c r="AO72" s="219"/>
      <c r="AP72" s="219"/>
      <c r="AQ72" s="219"/>
      <c r="AR72" s="219"/>
      <c r="AS72" s="458"/>
      <c r="AT72" s="219"/>
      <c r="AU72" s="219"/>
      <c r="AV72" s="219"/>
      <c r="AW72" s="219"/>
      <c r="AX72" s="219"/>
      <c r="AY72" s="219"/>
      <c r="AZ72" s="219"/>
      <c r="BA72" s="458"/>
      <c r="BB72" s="219"/>
      <c r="BC72" s="219"/>
      <c r="BD72" s="536">
        <f t="shared" si="30"/>
        <v>0</v>
      </c>
      <c r="BE72" s="210"/>
    </row>
    <row r="73" spans="1:57" x14ac:dyDescent="0.25">
      <c r="B73" s="220" t="str">
        <f>Cen!A252</f>
        <v>Korpusové lišty BLUMOTION S, 600mm, 70kg</v>
      </c>
      <c r="C73" s="220" t="str">
        <f>Cen!B252</f>
        <v>753.6001S</v>
      </c>
      <c r="D73" s="220" t="str">
        <f>Cen!C252</f>
        <v>ZN</v>
      </c>
      <c r="E73" s="593">
        <f>Cen!D252</f>
        <v>0</v>
      </c>
      <c r="F73" s="194">
        <f t="shared" si="29"/>
        <v>0</v>
      </c>
      <c r="G73" s="216">
        <f>Cen!F252</f>
        <v>1033.34979</v>
      </c>
      <c r="H73" s="765">
        <f t="shared" si="31"/>
        <v>0</v>
      </c>
      <c r="I73" s="228"/>
      <c r="J73" s="218">
        <f>Cen!I252</f>
        <v>2232968</v>
      </c>
      <c r="K73" s="218">
        <f>Cen!J252</f>
        <v>349914</v>
      </c>
      <c r="L73" s="214">
        <f t="shared" si="6"/>
        <v>0</v>
      </c>
      <c r="M73" s="789">
        <f t="shared" si="7"/>
        <v>0</v>
      </c>
      <c r="N73" s="219"/>
      <c r="O73" s="348">
        <f>'7M400P'!S24</f>
        <v>0</v>
      </c>
      <c r="P73" s="348">
        <f>'7M40VP'!S24</f>
        <v>0</v>
      </c>
      <c r="Q73" s="745">
        <f>'7K400P'!S23</f>
        <v>0</v>
      </c>
      <c r="R73" s="348">
        <f>'7C410P'!S24</f>
        <v>0</v>
      </c>
      <c r="S73" s="348">
        <f>'7C410F'!S24</f>
        <v>0</v>
      </c>
      <c r="T73" s="348">
        <f>'7C41VP'!S24</f>
        <v>0</v>
      </c>
      <c r="U73" s="348">
        <f>'7C41VF'!S24</f>
        <v>0</v>
      </c>
      <c r="V73" s="348">
        <f>'7C41NP'!S24</f>
        <v>0</v>
      </c>
      <c r="W73" s="348">
        <f>'7C41NF'!S24</f>
        <v>0</v>
      </c>
      <c r="X73" s="348">
        <f>'7C41RP'!S24</f>
        <v>0</v>
      </c>
      <c r="Y73" s="348">
        <f>'7C41RF'!S24</f>
        <v>0</v>
      </c>
      <c r="Z73" s="348">
        <f>'7F410P'!S24</f>
        <v>0</v>
      </c>
      <c r="AA73" s="219"/>
      <c r="AB73" s="348">
        <f>'7M442P'!S24</f>
        <v>0</v>
      </c>
      <c r="AC73" s="348">
        <f>'7C442P'!S24</f>
        <v>0</v>
      </c>
      <c r="AD73" s="348">
        <f>'7C442F'!S24</f>
        <v>0</v>
      </c>
      <c r="AE73" s="348">
        <f>'7CM42P'!S24</f>
        <v>0</v>
      </c>
      <c r="AF73" s="348">
        <f>'7CM42F'!S24</f>
        <v>0</v>
      </c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458"/>
      <c r="AT73" s="219"/>
      <c r="AU73" s="219"/>
      <c r="AV73" s="219"/>
      <c r="AW73" s="219"/>
      <c r="AX73" s="219"/>
      <c r="AY73" s="219"/>
      <c r="AZ73" s="219"/>
      <c r="BA73" s="458"/>
      <c r="BB73" s="219"/>
      <c r="BC73" s="219"/>
      <c r="BD73" s="536">
        <f t="shared" si="30"/>
        <v>0</v>
      </c>
      <c r="BE73" s="210"/>
    </row>
    <row r="74" spans="1:57" customFormat="1" ht="12.75" customHeight="1" x14ac:dyDescent="0.35">
      <c r="A74" s="549"/>
      <c r="B74" s="220" t="str">
        <f>Cen!A253</f>
        <v>Korpusové lišty BLUMOTION S, 650mm, 70kg</v>
      </c>
      <c r="C74" s="220" t="str">
        <f>Cen!B253</f>
        <v>753.6501S</v>
      </c>
      <c r="D74" s="220" t="str">
        <f>Cen!C253</f>
        <v>ZN</v>
      </c>
      <c r="E74" s="593">
        <f>Cen!D253</f>
        <v>0</v>
      </c>
      <c r="F74" s="194">
        <f t="shared" si="29"/>
        <v>0</v>
      </c>
      <c r="G74" s="216">
        <f>Cen!F253</f>
        <v>1080.66551</v>
      </c>
      <c r="H74" s="765">
        <f>M74</f>
        <v>0</v>
      </c>
      <c r="I74" s="228"/>
      <c r="J74" s="218">
        <f>Cen!I253</f>
        <v>7016496</v>
      </c>
      <c r="K74" s="218">
        <f>Cen!J253</f>
        <v>349915</v>
      </c>
      <c r="L74" s="214">
        <f t="shared" si="6"/>
        <v>0</v>
      </c>
      <c r="M74" s="789">
        <f t="shared" si="7"/>
        <v>0</v>
      </c>
      <c r="O74" s="348">
        <f>'7M400P'!S25</f>
        <v>0</v>
      </c>
      <c r="P74" s="348">
        <f>'7M40VP'!S25</f>
        <v>0</v>
      </c>
      <c r="Q74" s="219"/>
      <c r="R74" s="348">
        <f>'7C410P'!S25</f>
        <v>0</v>
      </c>
      <c r="S74" s="348">
        <f>'7C410F'!S25</f>
        <v>0</v>
      </c>
      <c r="T74" s="348">
        <f>'7C41VP'!S25</f>
        <v>0</v>
      </c>
      <c r="U74" s="348">
        <f>'7C41VF'!S25</f>
        <v>0</v>
      </c>
      <c r="V74" s="348">
        <f>'7C41NP'!S25</f>
        <v>0</v>
      </c>
      <c r="W74" s="348">
        <f>'7C41NF'!S25</f>
        <v>0</v>
      </c>
      <c r="X74" s="348">
        <f>'7C41RP'!S25</f>
        <v>0</v>
      </c>
      <c r="Y74" s="348">
        <f>'7C41RF'!S25</f>
        <v>0</v>
      </c>
      <c r="Z74" s="348">
        <f>'7F410P'!S25</f>
        <v>0</v>
      </c>
      <c r="AA74" s="219"/>
      <c r="AB74" s="348">
        <f>'7M442P'!S25</f>
        <v>0</v>
      </c>
      <c r="AC74" s="348">
        <f>'7C442P'!S25</f>
        <v>0</v>
      </c>
      <c r="AD74" s="348">
        <f>'7C442F'!S25</f>
        <v>0</v>
      </c>
      <c r="AE74" s="348">
        <f>'7CM42P'!S25</f>
        <v>0</v>
      </c>
      <c r="AF74" s="348">
        <f>'7CM42F'!S25</f>
        <v>0</v>
      </c>
      <c r="AG74" s="219"/>
      <c r="AH74" s="348">
        <f>'7CM52P'!S34</f>
        <v>0</v>
      </c>
      <c r="AI74" s="348">
        <f>'7CM52F'!S34</f>
        <v>0</v>
      </c>
      <c r="AJ74" s="219"/>
      <c r="AK74" s="219"/>
      <c r="AL74" s="219"/>
      <c r="AM74" s="219"/>
      <c r="AN74" s="219"/>
      <c r="AO74" s="219"/>
      <c r="AP74" s="219"/>
      <c r="AQ74" s="219"/>
      <c r="AR74" s="219"/>
      <c r="AS74" s="458"/>
      <c r="AT74" s="219"/>
      <c r="AU74" s="219"/>
      <c r="AV74" s="219"/>
      <c r="AW74" s="219"/>
      <c r="AX74" s="219"/>
      <c r="AY74" s="219"/>
      <c r="AZ74" s="219"/>
      <c r="BA74" s="458"/>
      <c r="BB74" s="219"/>
      <c r="BC74" s="219"/>
      <c r="BD74" s="536">
        <f t="shared" si="30"/>
        <v>0</v>
      </c>
    </row>
    <row r="75" spans="1:57" x14ac:dyDescent="0.25">
      <c r="B75" s="220"/>
      <c r="C75" s="220"/>
      <c r="D75" s="220"/>
      <c r="E75" s="593"/>
      <c r="F75" s="194">
        <f t="shared" si="29"/>
        <v>0</v>
      </c>
      <c r="G75" s="216"/>
      <c r="H75" s="765"/>
      <c r="I75" s="217"/>
      <c r="J75" s="218"/>
      <c r="K75" s="218"/>
      <c r="L75" s="214">
        <f t="shared" si="6"/>
        <v>0</v>
      </c>
      <c r="M75" s="789">
        <f t="shared" si="7"/>
        <v>0</v>
      </c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458"/>
      <c r="AT75" s="219"/>
      <c r="AU75" s="219"/>
      <c r="AV75" s="219"/>
      <c r="AW75" s="219"/>
      <c r="AX75" s="219"/>
      <c r="AY75" s="219"/>
      <c r="AZ75" s="219"/>
      <c r="BA75" s="458"/>
      <c r="BB75" s="219"/>
      <c r="BC75" s="219"/>
      <c r="BD75" s="536">
        <f t="shared" si="30"/>
        <v>0</v>
      </c>
      <c r="BE75" s="210"/>
    </row>
    <row r="76" spans="1:57" x14ac:dyDescent="0.25">
      <c r="B76" s="220" t="str">
        <f>Cen!A257</f>
        <v>Korpusové lišty TIP-ON, 270mm, 40kg</v>
      </c>
      <c r="C76" s="220" t="str">
        <f>Cen!B257</f>
        <v>750.2701T</v>
      </c>
      <c r="D76" s="220" t="str">
        <f>Cen!C257</f>
        <v>ZN</v>
      </c>
      <c r="E76" s="593">
        <f>Cen!D257</f>
        <v>0</v>
      </c>
      <c r="F76" s="194">
        <f t="shared" si="29"/>
        <v>0</v>
      </c>
      <c r="G76" s="216">
        <f>Cen!F257</f>
        <v>963.84325999999999</v>
      </c>
      <c r="H76" s="765">
        <f t="shared" si="31"/>
        <v>0</v>
      </c>
      <c r="I76" s="228"/>
      <c r="J76" s="218">
        <f>Cen!I257</f>
        <v>3790819</v>
      </c>
      <c r="K76" s="218">
        <f>Cen!J257</f>
        <v>227420</v>
      </c>
      <c r="L76" s="214">
        <f t="shared" si="6"/>
        <v>0</v>
      </c>
      <c r="M76" s="789">
        <f t="shared" si="7"/>
        <v>0</v>
      </c>
      <c r="N76" s="219"/>
      <c r="O76" s="348">
        <f>'7M400P'!S27</f>
        <v>0</v>
      </c>
      <c r="P76" s="348">
        <f>'7M40VP'!S27</f>
        <v>0</v>
      </c>
      <c r="Q76" s="219"/>
      <c r="R76" s="348">
        <f>'7C410P'!S27</f>
        <v>0</v>
      </c>
      <c r="S76" s="348">
        <f>'7C410F'!S27</f>
        <v>0</v>
      </c>
      <c r="T76" s="348">
        <f>'7C41VP'!S27</f>
        <v>0</v>
      </c>
      <c r="U76" s="348">
        <f>'7C41VF'!S27</f>
        <v>0</v>
      </c>
      <c r="V76" s="348">
        <f>'7C41NP'!S27</f>
        <v>0</v>
      </c>
      <c r="W76" s="348">
        <f>'7C41NF'!S27</f>
        <v>0</v>
      </c>
      <c r="X76" s="348">
        <f>'7C41RP'!S27</f>
        <v>0</v>
      </c>
      <c r="Y76" s="348">
        <f>'7C41RF'!S27</f>
        <v>0</v>
      </c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458"/>
      <c r="AT76" s="219"/>
      <c r="AU76" s="219"/>
      <c r="AV76" s="219"/>
      <c r="AW76" s="219"/>
      <c r="AX76" s="219"/>
      <c r="AY76" s="219"/>
      <c r="AZ76" s="219"/>
      <c r="BA76" s="458"/>
      <c r="BB76" s="219"/>
      <c r="BC76" s="219"/>
      <c r="BD76" s="536">
        <f t="shared" si="30"/>
        <v>0</v>
      </c>
      <c r="BE76" s="210"/>
    </row>
    <row r="77" spans="1:57" x14ac:dyDescent="0.25">
      <c r="B77" s="220" t="str">
        <f>Cen!A258</f>
        <v>Korpusové lišty TIP-ON, 300mm, 40kg</v>
      </c>
      <c r="C77" s="220" t="str">
        <f>Cen!B258</f>
        <v>750.3001T</v>
      </c>
      <c r="D77" s="220" t="str">
        <f>Cen!C258</f>
        <v>ZN</v>
      </c>
      <c r="E77" s="593">
        <f>Cen!D258</f>
        <v>0</v>
      </c>
      <c r="F77" s="194">
        <f t="shared" si="29"/>
        <v>0</v>
      </c>
      <c r="G77" s="216">
        <f>Cen!F258</f>
        <v>963.84325999999999</v>
      </c>
      <c r="H77" s="765">
        <f t="shared" ref="H77:H88" si="32">M77</f>
        <v>0</v>
      </c>
      <c r="I77" s="228"/>
      <c r="J77" s="218">
        <f>Cen!I258</f>
        <v>3867722</v>
      </c>
      <c r="K77" s="218">
        <f>Cen!J258</f>
        <v>227421</v>
      </c>
      <c r="L77" s="214">
        <f t="shared" si="6"/>
        <v>0</v>
      </c>
      <c r="M77" s="789">
        <f t="shared" si="7"/>
        <v>0</v>
      </c>
      <c r="N77" s="219"/>
      <c r="O77" s="348">
        <f>'7M400P'!S28</f>
        <v>0</v>
      </c>
      <c r="P77" s="348">
        <f>'7M40VP'!S28</f>
        <v>0</v>
      </c>
      <c r="Q77" s="745">
        <f>'7K400P'!S26</f>
        <v>0</v>
      </c>
      <c r="R77" s="348">
        <f>'7C410P'!S28</f>
        <v>0</v>
      </c>
      <c r="S77" s="348">
        <f>'7C410F'!S28</f>
        <v>0</v>
      </c>
      <c r="T77" s="348">
        <f>'7C41VP'!S28</f>
        <v>0</v>
      </c>
      <c r="U77" s="348">
        <f>'7C41VF'!S28</f>
        <v>0</v>
      </c>
      <c r="V77" s="348">
        <f>'7C41NP'!S28</f>
        <v>0</v>
      </c>
      <c r="W77" s="348">
        <f>'7C41NF'!S28</f>
        <v>0</v>
      </c>
      <c r="X77" s="348">
        <f>'7C41RP'!S28</f>
        <v>0</v>
      </c>
      <c r="Y77" s="348">
        <f>'7C41RF'!S28</f>
        <v>0</v>
      </c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458"/>
      <c r="AT77" s="219"/>
      <c r="AU77" s="219"/>
      <c r="AV77" s="219"/>
      <c r="AW77" s="219"/>
      <c r="AX77" s="219"/>
      <c r="AY77" s="219"/>
      <c r="AZ77" s="219"/>
      <c r="BA77" s="458"/>
      <c r="BB77" s="219"/>
      <c r="BC77" s="219"/>
      <c r="BD77" s="536">
        <f t="shared" si="30"/>
        <v>0</v>
      </c>
      <c r="BE77" s="210"/>
    </row>
    <row r="78" spans="1:57" x14ac:dyDescent="0.25">
      <c r="B78" s="220" t="str">
        <f>Cen!A259</f>
        <v>Korpusové lišty TIP-ON, 350mm, 40kg</v>
      </c>
      <c r="C78" s="220" t="str">
        <f>Cen!B259</f>
        <v>750.3501T</v>
      </c>
      <c r="D78" s="220" t="str">
        <f>Cen!C259</f>
        <v>ZN</v>
      </c>
      <c r="E78" s="593">
        <f>Cen!D259</f>
        <v>0</v>
      </c>
      <c r="F78" s="194">
        <f t="shared" si="29"/>
        <v>0</v>
      </c>
      <c r="G78" s="216">
        <f>Cen!F259</f>
        <v>963.84325999999999</v>
      </c>
      <c r="H78" s="765">
        <f t="shared" si="32"/>
        <v>0</v>
      </c>
      <c r="I78" s="228"/>
      <c r="J78" s="218">
        <f>Cen!I259</f>
        <v>5075795</v>
      </c>
      <c r="K78" s="218">
        <f>Cen!J259</f>
        <v>227422</v>
      </c>
      <c r="L78" s="214">
        <f t="shared" si="6"/>
        <v>0</v>
      </c>
      <c r="M78" s="789">
        <f t="shared" si="7"/>
        <v>0</v>
      </c>
      <c r="N78" s="219"/>
      <c r="O78" s="348">
        <f>'7M400P'!S29</f>
        <v>0</v>
      </c>
      <c r="P78" s="348">
        <f>'7M40VP'!S29</f>
        <v>0</v>
      </c>
      <c r="Q78" s="348">
        <f>'7K400P'!S27</f>
        <v>0</v>
      </c>
      <c r="R78" s="348">
        <f>'7C410P'!S29</f>
        <v>0</v>
      </c>
      <c r="S78" s="348">
        <f>'7C410F'!S29</f>
        <v>0</v>
      </c>
      <c r="T78" s="348">
        <f>'7C41VP'!S29</f>
        <v>0</v>
      </c>
      <c r="U78" s="348">
        <f>'7C41VF'!S29</f>
        <v>0</v>
      </c>
      <c r="V78" s="348">
        <f>'7C41NP'!S29</f>
        <v>0</v>
      </c>
      <c r="W78" s="348">
        <f>'7C41NF'!S29</f>
        <v>0</v>
      </c>
      <c r="X78" s="348">
        <f>'7C41RP'!S29</f>
        <v>0</v>
      </c>
      <c r="Y78" s="348">
        <f>'7C41RF'!S29</f>
        <v>0</v>
      </c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458"/>
      <c r="AT78" s="219"/>
      <c r="AU78" s="219"/>
      <c r="AV78" s="219"/>
      <c r="AW78" s="219"/>
      <c r="AX78" s="219"/>
      <c r="AY78" s="219"/>
      <c r="AZ78" s="219"/>
      <c r="BA78" s="458"/>
      <c r="BB78" s="219"/>
      <c r="BC78" s="219"/>
      <c r="BD78" s="536">
        <f t="shared" si="30"/>
        <v>0</v>
      </c>
      <c r="BE78" s="210"/>
    </row>
    <row r="79" spans="1:57" x14ac:dyDescent="0.25">
      <c r="B79" s="220" t="str">
        <f>Cen!A260</f>
        <v>Korpusové lišty TIP-ON, 400mm, 40kg</v>
      </c>
      <c r="C79" s="220" t="str">
        <f>Cen!B260</f>
        <v>750.4001T</v>
      </c>
      <c r="D79" s="220" t="str">
        <f>Cen!C260</f>
        <v>ZN</v>
      </c>
      <c r="E79" s="593">
        <f>Cen!D260</f>
        <v>0</v>
      </c>
      <c r="F79" s="194">
        <f t="shared" si="29"/>
        <v>0</v>
      </c>
      <c r="G79" s="216">
        <f>Cen!F260</f>
        <v>972.70714999999996</v>
      </c>
      <c r="H79" s="765">
        <f t="shared" si="32"/>
        <v>0</v>
      </c>
      <c r="I79" s="228"/>
      <c r="J79" s="218">
        <f>Cen!I260</f>
        <v>5085127</v>
      </c>
      <c r="K79" s="218">
        <f>Cen!J260</f>
        <v>227423</v>
      </c>
      <c r="L79" s="214">
        <f t="shared" si="6"/>
        <v>0</v>
      </c>
      <c r="M79" s="789">
        <f t="shared" si="7"/>
        <v>0</v>
      </c>
      <c r="N79" s="745">
        <f>'7N400P'!S28</f>
        <v>0</v>
      </c>
      <c r="O79" s="348">
        <f>'7M400P'!S30</f>
        <v>0</v>
      </c>
      <c r="P79" s="348">
        <f>'7M40VP'!S30</f>
        <v>0</v>
      </c>
      <c r="Q79" s="348">
        <f>'7K400P'!S28</f>
        <v>0</v>
      </c>
      <c r="R79" s="348">
        <f>'7C410P'!S30</f>
        <v>0</v>
      </c>
      <c r="S79" s="348">
        <f>'7C410F'!S30</f>
        <v>0</v>
      </c>
      <c r="T79" s="348">
        <f>'7C41VP'!S30</f>
        <v>0</v>
      </c>
      <c r="U79" s="348">
        <f>'7C41VF'!S30</f>
        <v>0</v>
      </c>
      <c r="V79" s="348">
        <f>'7C41NP'!S30</f>
        <v>0</v>
      </c>
      <c r="W79" s="348">
        <f>'7C41NF'!S30</f>
        <v>0</v>
      </c>
      <c r="X79" s="348">
        <f>'7C41RP'!S30</f>
        <v>0</v>
      </c>
      <c r="Y79" s="348">
        <f>'7C41RF'!S30</f>
        <v>0</v>
      </c>
      <c r="Z79" s="745">
        <f>'7F410P'!S30</f>
        <v>0</v>
      </c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458"/>
      <c r="AT79" s="219"/>
      <c r="AU79" s="219"/>
      <c r="AV79" s="219"/>
      <c r="AW79" s="219"/>
      <c r="AX79" s="219"/>
      <c r="AY79" s="219"/>
      <c r="AZ79" s="219"/>
      <c r="BA79" s="458"/>
      <c r="BB79" s="219"/>
      <c r="BC79" s="219"/>
      <c r="BD79" s="536">
        <f t="shared" si="30"/>
        <v>0</v>
      </c>
      <c r="BE79" s="210"/>
    </row>
    <row r="80" spans="1:57" x14ac:dyDescent="0.25">
      <c r="B80" s="220" t="str">
        <f>Cen!A261</f>
        <v>Korpusové lišty TIP-ON, 450mm, 40kg</v>
      </c>
      <c r="C80" s="220" t="str">
        <f>Cen!B261</f>
        <v>750.4501T</v>
      </c>
      <c r="D80" s="220" t="str">
        <f>Cen!C261</f>
        <v>ZN</v>
      </c>
      <c r="E80" s="593">
        <f>Cen!D261</f>
        <v>0</v>
      </c>
      <c r="F80" s="194">
        <f t="shared" si="29"/>
        <v>0</v>
      </c>
      <c r="G80" s="216">
        <f>Cen!F261</f>
        <v>958.74321999999995</v>
      </c>
      <c r="H80" s="765">
        <f t="shared" si="32"/>
        <v>0</v>
      </c>
      <c r="I80" s="228"/>
      <c r="J80" s="218">
        <f>Cen!I261</f>
        <v>5257996</v>
      </c>
      <c r="K80" s="218">
        <f>Cen!J261</f>
        <v>227424</v>
      </c>
      <c r="L80" s="214">
        <f t="shared" ref="L80:L97" si="33">IF(I80="x",0,IF(I80&gt;0,I80,F80))</f>
        <v>0</v>
      </c>
      <c r="M80" s="789">
        <f t="shared" ref="M80:M97" si="34">PRODUCT(L80,G80)</f>
        <v>0</v>
      </c>
      <c r="N80" s="348">
        <f>'7N400P'!S29</f>
        <v>0</v>
      </c>
      <c r="O80" s="348">
        <f>'7M400P'!S31</f>
        <v>0</v>
      </c>
      <c r="P80" s="348">
        <f>'7M40VP'!S31</f>
        <v>0</v>
      </c>
      <c r="Q80" s="348">
        <f>'7K400P'!S29</f>
        <v>0</v>
      </c>
      <c r="R80" s="348">
        <f>'7C410P'!S31</f>
        <v>0</v>
      </c>
      <c r="S80" s="348">
        <f>'7C410F'!S31</f>
        <v>0</v>
      </c>
      <c r="T80" s="348">
        <f>'7C41VP'!S31</f>
        <v>0</v>
      </c>
      <c r="U80" s="348">
        <f>'7C41VF'!S31</f>
        <v>0</v>
      </c>
      <c r="V80" s="348">
        <f>'7C41NP'!S31</f>
        <v>0</v>
      </c>
      <c r="W80" s="348">
        <f>'7C41NF'!S31</f>
        <v>0</v>
      </c>
      <c r="X80" s="348">
        <f>'7C41RP'!S31</f>
        <v>0</v>
      </c>
      <c r="Y80" s="348">
        <f>'7C41RF'!S31</f>
        <v>0</v>
      </c>
      <c r="Z80" s="348">
        <f>'7F410P'!S31</f>
        <v>0</v>
      </c>
      <c r="AA80" s="219"/>
      <c r="AB80" s="219"/>
      <c r="AC80" s="219"/>
      <c r="AD80" s="219"/>
      <c r="AE80" s="709">
        <f>'7CM42P'!$S29</f>
        <v>0</v>
      </c>
      <c r="AF80" s="709">
        <f>'7CM42F'!$S29</f>
        <v>0</v>
      </c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458"/>
      <c r="AT80" s="219"/>
      <c r="AU80" s="219"/>
      <c r="AV80" s="219"/>
      <c r="AW80" s="219"/>
      <c r="AX80" s="219"/>
      <c r="AY80" s="219"/>
      <c r="AZ80" s="219"/>
      <c r="BA80" s="458"/>
      <c r="BB80" s="219"/>
      <c r="BC80" s="219"/>
      <c r="BD80" s="536">
        <f t="shared" si="30"/>
        <v>0</v>
      </c>
      <c r="BE80" s="210"/>
    </row>
    <row r="81" spans="2:57" x14ac:dyDescent="0.25">
      <c r="B81" s="220" t="str">
        <f>Cen!A262</f>
        <v>Korpusové lišty TIP-ON, 450mm, 70kg</v>
      </c>
      <c r="C81" s="220" t="str">
        <f>Cen!B262</f>
        <v>753.4501T</v>
      </c>
      <c r="D81" s="220" t="str">
        <f>Cen!C262</f>
        <v>ZN</v>
      </c>
      <c r="E81" s="593">
        <f>Cen!D262</f>
        <v>0</v>
      </c>
      <c r="F81" s="194">
        <f t="shared" si="29"/>
        <v>0</v>
      </c>
      <c r="G81" s="216">
        <f>Cen!F262</f>
        <v>1142.8525999999999</v>
      </c>
      <c r="H81" s="765">
        <f t="shared" si="32"/>
        <v>0</v>
      </c>
      <c r="I81" s="228"/>
      <c r="J81" s="218">
        <f>Cen!I262</f>
        <v>5767239</v>
      </c>
      <c r="K81" s="218">
        <f>Cen!J262</f>
        <v>227428</v>
      </c>
      <c r="L81" s="214">
        <f t="shared" si="33"/>
        <v>0</v>
      </c>
      <c r="M81" s="789">
        <f t="shared" si="34"/>
        <v>0</v>
      </c>
      <c r="N81" s="219"/>
      <c r="O81" s="348">
        <f>'7M400P'!S32</f>
        <v>0</v>
      </c>
      <c r="P81" s="348">
        <f>'7M40VP'!S32</f>
        <v>0</v>
      </c>
      <c r="Q81" s="348">
        <f>'7K400P'!S30</f>
        <v>0</v>
      </c>
      <c r="R81" s="348">
        <f>'7C410P'!S32</f>
        <v>0</v>
      </c>
      <c r="S81" s="348">
        <f>'7C410F'!S32</f>
        <v>0</v>
      </c>
      <c r="T81" s="348">
        <f>'7C41VP'!S32</f>
        <v>0</v>
      </c>
      <c r="U81" s="348">
        <f>'7C41VF'!S32</f>
        <v>0</v>
      </c>
      <c r="V81" s="348">
        <f>'7C41NP'!S32</f>
        <v>0</v>
      </c>
      <c r="W81" s="348">
        <f>'7C41NF'!S32</f>
        <v>0</v>
      </c>
      <c r="X81" s="348">
        <f>'7C41RP'!S32</f>
        <v>0</v>
      </c>
      <c r="Y81" s="348">
        <f>'7C41RF'!S32</f>
        <v>0</v>
      </c>
      <c r="Z81" s="348">
        <f>'7F410P'!S32</f>
        <v>0</v>
      </c>
      <c r="AA81" s="219"/>
      <c r="AB81" s="219"/>
      <c r="AC81" s="219"/>
      <c r="AD81" s="219"/>
      <c r="AE81" s="709">
        <f>'7CM42P'!$S30</f>
        <v>0</v>
      </c>
      <c r="AF81" s="709">
        <f>'7CM42F'!$S30</f>
        <v>0</v>
      </c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458"/>
      <c r="AT81" s="219"/>
      <c r="AU81" s="219"/>
      <c r="AV81" s="219"/>
      <c r="AW81" s="219"/>
      <c r="AX81" s="219"/>
      <c r="AY81" s="219"/>
      <c r="AZ81" s="219"/>
      <c r="BA81" s="458"/>
      <c r="BB81" s="219"/>
      <c r="BC81" s="219"/>
      <c r="BD81" s="536">
        <f t="shared" si="30"/>
        <v>0</v>
      </c>
      <c r="BE81" s="210"/>
    </row>
    <row r="82" spans="2:57" x14ac:dyDescent="0.25">
      <c r="B82" s="220" t="str">
        <f>Cen!A263</f>
        <v>Korpusové lišty TIP-ON, 500mm, 40kg</v>
      </c>
      <c r="C82" s="220" t="str">
        <f>Cen!B263</f>
        <v>750.5001T</v>
      </c>
      <c r="D82" s="220" t="str">
        <f>Cen!C263</f>
        <v>ZN</v>
      </c>
      <c r="E82" s="593">
        <f>Cen!D263</f>
        <v>0</v>
      </c>
      <c r="F82" s="194">
        <f t="shared" si="29"/>
        <v>0</v>
      </c>
      <c r="G82" s="216">
        <f>Cen!F263</f>
        <v>967.39513999999997</v>
      </c>
      <c r="H82" s="765">
        <f t="shared" si="32"/>
        <v>0</v>
      </c>
      <c r="I82" s="228"/>
      <c r="J82" s="218">
        <f>Cen!I263</f>
        <v>5372007</v>
      </c>
      <c r="K82" s="218">
        <f>Cen!J263</f>
        <v>227425</v>
      </c>
      <c r="L82" s="214">
        <f t="shared" si="33"/>
        <v>0</v>
      </c>
      <c r="M82" s="789">
        <f t="shared" si="34"/>
        <v>0</v>
      </c>
      <c r="N82" s="348">
        <f>'7N400P'!S31</f>
        <v>0</v>
      </c>
      <c r="O82" s="348">
        <f>'7M400P'!S33</f>
        <v>0</v>
      </c>
      <c r="P82" s="348">
        <f>'7M40VP'!S33</f>
        <v>0</v>
      </c>
      <c r="Q82" s="348">
        <f>'7K400P'!S31</f>
        <v>0</v>
      </c>
      <c r="R82" s="348">
        <f>'7C410P'!S33</f>
        <v>0</v>
      </c>
      <c r="S82" s="348">
        <f>'7C410F'!S33</f>
        <v>0</v>
      </c>
      <c r="T82" s="348">
        <f>'7C41VP'!S33</f>
        <v>0</v>
      </c>
      <c r="U82" s="348">
        <f>'7C41VF'!S33</f>
        <v>0</v>
      </c>
      <c r="V82" s="348">
        <f>'7C41NP'!S33</f>
        <v>0</v>
      </c>
      <c r="W82" s="348">
        <f>'7C41NF'!S33</f>
        <v>0</v>
      </c>
      <c r="X82" s="348">
        <f>'7C41RP'!S33</f>
        <v>0</v>
      </c>
      <c r="Y82" s="348">
        <f>'7C41RF'!S33</f>
        <v>0</v>
      </c>
      <c r="Z82" s="348">
        <f>'7F410P'!S33</f>
        <v>0</v>
      </c>
      <c r="AA82" s="219"/>
      <c r="AB82" s="219"/>
      <c r="AC82" s="219"/>
      <c r="AD82" s="219"/>
      <c r="AE82" s="709">
        <f>'7CM42P'!$S31</f>
        <v>0</v>
      </c>
      <c r="AF82" s="709">
        <f>'7CM42F'!$S31</f>
        <v>0</v>
      </c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458"/>
      <c r="AT82" s="219"/>
      <c r="AU82" s="219"/>
      <c r="AV82" s="219"/>
      <c r="AW82" s="219"/>
      <c r="AX82" s="219"/>
      <c r="AY82" s="219"/>
      <c r="AZ82" s="219"/>
      <c r="BA82" s="458"/>
      <c r="BB82" s="219"/>
      <c r="BC82" s="219"/>
      <c r="BD82" s="536">
        <f t="shared" si="30"/>
        <v>0</v>
      </c>
      <c r="BE82" s="210"/>
    </row>
    <row r="83" spans="2:57" x14ac:dyDescent="0.25">
      <c r="B83" s="220" t="str">
        <f>Cen!A264</f>
        <v>Korpusové lišty TIP-ON, 500mm, 70kg</v>
      </c>
      <c r="C83" s="220" t="str">
        <f>Cen!B264</f>
        <v>753.5001T</v>
      </c>
      <c r="D83" s="220" t="str">
        <f>Cen!C264</f>
        <v>ZN</v>
      </c>
      <c r="E83" s="593">
        <f>Cen!D264</f>
        <v>0</v>
      </c>
      <c r="F83" s="194">
        <f t="shared" si="29"/>
        <v>0</v>
      </c>
      <c r="G83" s="216">
        <f>Cen!F264</f>
        <v>1151.7105200000001</v>
      </c>
      <c r="H83" s="765">
        <f t="shared" si="32"/>
        <v>0</v>
      </c>
      <c r="I83" s="228"/>
      <c r="J83" s="218">
        <f>Cen!I264</f>
        <v>5817679</v>
      </c>
      <c r="K83" s="218">
        <f>Cen!J264</f>
        <v>227429</v>
      </c>
      <c r="L83" s="214">
        <f t="shared" si="33"/>
        <v>0</v>
      </c>
      <c r="M83" s="789">
        <f t="shared" si="34"/>
        <v>0</v>
      </c>
      <c r="N83" s="219"/>
      <c r="O83" s="348">
        <f>'7M400P'!S34</f>
        <v>0</v>
      </c>
      <c r="P83" s="348">
        <f>'7M40VP'!S34</f>
        <v>0</v>
      </c>
      <c r="Q83" s="348">
        <f>'7K400P'!S32</f>
        <v>0</v>
      </c>
      <c r="R83" s="348">
        <f>'7C410P'!S34</f>
        <v>0</v>
      </c>
      <c r="S83" s="348">
        <f>'7C410F'!S34</f>
        <v>0</v>
      </c>
      <c r="T83" s="348">
        <f>'7C41VP'!S34</f>
        <v>0</v>
      </c>
      <c r="U83" s="348">
        <f>'7C41VF'!S34</f>
        <v>0</v>
      </c>
      <c r="V83" s="348">
        <f>'7C41NP'!S34</f>
        <v>0</v>
      </c>
      <c r="W83" s="348">
        <f>'7C41NF'!S34</f>
        <v>0</v>
      </c>
      <c r="X83" s="348">
        <f>'7C41RP'!S34</f>
        <v>0</v>
      </c>
      <c r="Y83" s="348">
        <f>'7C41RF'!S34</f>
        <v>0</v>
      </c>
      <c r="Z83" s="348">
        <f>'7F410P'!S34</f>
        <v>0</v>
      </c>
      <c r="AA83" s="219"/>
      <c r="AB83" s="219"/>
      <c r="AC83" s="219"/>
      <c r="AD83" s="219"/>
      <c r="AE83" s="709">
        <f>'7CM42P'!$S32</f>
        <v>0</v>
      </c>
      <c r="AF83" s="709">
        <f>'7CM42F'!$S32</f>
        <v>0</v>
      </c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458"/>
      <c r="AT83" s="219"/>
      <c r="AU83" s="219"/>
      <c r="AV83" s="219"/>
      <c r="AW83" s="219"/>
      <c r="AX83" s="219"/>
      <c r="AY83" s="219"/>
      <c r="AZ83" s="219"/>
      <c r="BA83" s="458"/>
      <c r="BB83" s="219"/>
      <c r="BC83" s="219"/>
      <c r="BD83" s="536">
        <f t="shared" si="30"/>
        <v>0</v>
      </c>
      <c r="BE83" s="210"/>
    </row>
    <row r="84" spans="2:57" x14ac:dyDescent="0.25">
      <c r="B84" s="220" t="str">
        <f>Cen!A265</f>
        <v>Korpusové lišty TIP-ON, 550mm, 40kg</v>
      </c>
      <c r="C84" s="220" t="str">
        <f>Cen!B265</f>
        <v>750.5501T</v>
      </c>
      <c r="D84" s="220" t="str">
        <f>Cen!C265</f>
        <v>ZN</v>
      </c>
      <c r="E84" s="593">
        <f>Cen!D265</f>
        <v>0</v>
      </c>
      <c r="F84" s="194">
        <f t="shared" si="29"/>
        <v>0</v>
      </c>
      <c r="G84" s="216">
        <f>Cen!F265</f>
        <v>1037.74467</v>
      </c>
      <c r="H84" s="765">
        <f t="shared" si="32"/>
        <v>0</v>
      </c>
      <c r="I84" s="228"/>
      <c r="J84" s="218">
        <f>Cen!I265</f>
        <v>5385115</v>
      </c>
      <c r="K84" s="218">
        <f>Cen!J265</f>
        <v>227426</v>
      </c>
      <c r="L84" s="214">
        <f t="shared" si="33"/>
        <v>0</v>
      </c>
      <c r="M84" s="789">
        <f t="shared" si="34"/>
        <v>0</v>
      </c>
      <c r="N84" s="745">
        <f>'7N400P'!S33</f>
        <v>0</v>
      </c>
      <c r="O84" s="348">
        <f>'7M400P'!S35</f>
        <v>0</v>
      </c>
      <c r="P84" s="348">
        <f>'7M40VP'!S35</f>
        <v>0</v>
      </c>
      <c r="Q84" s="348">
        <f>'7K400P'!S33</f>
        <v>0</v>
      </c>
      <c r="R84" s="348">
        <f>'7C410P'!S35</f>
        <v>0</v>
      </c>
      <c r="S84" s="348">
        <f>'7C410F'!S35</f>
        <v>0</v>
      </c>
      <c r="T84" s="348">
        <f>'7C41VP'!S35</f>
        <v>0</v>
      </c>
      <c r="U84" s="348">
        <f>'7C41VF'!S35</f>
        <v>0</v>
      </c>
      <c r="V84" s="348">
        <f>'7C41NP'!S35</f>
        <v>0</v>
      </c>
      <c r="W84" s="348">
        <f>'7C41NF'!S35</f>
        <v>0</v>
      </c>
      <c r="X84" s="348">
        <f>'7C41RP'!S35</f>
        <v>0</v>
      </c>
      <c r="Y84" s="348">
        <f>'7C41RF'!S35</f>
        <v>0</v>
      </c>
      <c r="Z84" s="348">
        <f>'7F410P'!S35</f>
        <v>0</v>
      </c>
      <c r="AA84" s="219"/>
      <c r="AB84" s="219"/>
      <c r="AC84" s="219"/>
      <c r="AD84" s="219"/>
      <c r="AE84" s="709">
        <f>'7CM42P'!$S33</f>
        <v>0</v>
      </c>
      <c r="AF84" s="709">
        <f>'7CM42F'!$S33</f>
        <v>0</v>
      </c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458"/>
      <c r="AT84" s="219"/>
      <c r="AU84" s="219"/>
      <c r="AV84" s="219"/>
      <c r="AW84" s="219"/>
      <c r="AX84" s="219"/>
      <c r="AY84" s="219"/>
      <c r="AZ84" s="219"/>
      <c r="BA84" s="458"/>
      <c r="BB84" s="219"/>
      <c r="BC84" s="219"/>
      <c r="BD84" s="536">
        <f t="shared" si="30"/>
        <v>0</v>
      </c>
      <c r="BE84" s="210"/>
    </row>
    <row r="85" spans="2:57" x14ac:dyDescent="0.25">
      <c r="B85" s="220" t="str">
        <f>Cen!A266</f>
        <v>Korpusové lišty TIP-ON, 550mm, 70kg</v>
      </c>
      <c r="C85" s="220" t="str">
        <f>Cen!B266</f>
        <v>753.5501T</v>
      </c>
      <c r="D85" s="220" t="str">
        <f>Cen!C266</f>
        <v>ZN</v>
      </c>
      <c r="E85" s="593">
        <f>Cen!D266</f>
        <v>0</v>
      </c>
      <c r="F85" s="194">
        <f t="shared" si="29"/>
        <v>0</v>
      </c>
      <c r="G85" s="216">
        <f>Cen!F266</f>
        <v>1199.02684</v>
      </c>
      <c r="H85" s="765">
        <f t="shared" si="32"/>
        <v>0</v>
      </c>
      <c r="I85" s="228"/>
      <c r="J85" s="218">
        <f>Cen!I266</f>
        <v>6134281</v>
      </c>
      <c r="K85" s="218">
        <f>Cen!J266</f>
        <v>227430</v>
      </c>
      <c r="L85" s="214">
        <f t="shared" si="33"/>
        <v>0</v>
      </c>
      <c r="M85" s="789">
        <f t="shared" si="34"/>
        <v>0</v>
      </c>
      <c r="N85" s="219"/>
      <c r="O85" s="348">
        <f>'7M400P'!S36</f>
        <v>0</v>
      </c>
      <c r="P85" s="348">
        <f>'7M40VP'!S36</f>
        <v>0</v>
      </c>
      <c r="Q85" s="348">
        <f>'7K400P'!S34</f>
        <v>0</v>
      </c>
      <c r="R85" s="348">
        <f>'7C410P'!S36</f>
        <v>0</v>
      </c>
      <c r="S85" s="348">
        <f>'7C410F'!S36</f>
        <v>0</v>
      </c>
      <c r="T85" s="348">
        <f>'7C41VP'!S36</f>
        <v>0</v>
      </c>
      <c r="U85" s="348">
        <f>'7C41VF'!S36</f>
        <v>0</v>
      </c>
      <c r="V85" s="348">
        <f>'7C41NP'!S36</f>
        <v>0</v>
      </c>
      <c r="W85" s="348">
        <f>'7C41NF'!S36</f>
        <v>0</v>
      </c>
      <c r="X85" s="348">
        <f>'7C41RP'!S36</f>
        <v>0</v>
      </c>
      <c r="Y85" s="348">
        <f>'7C41RF'!S36</f>
        <v>0</v>
      </c>
      <c r="Z85" s="348">
        <f>'7F410P'!S36</f>
        <v>0</v>
      </c>
      <c r="AA85" s="219"/>
      <c r="AB85" s="219"/>
      <c r="AC85" s="219"/>
      <c r="AD85" s="219"/>
      <c r="AE85" s="709">
        <f>'7CM42P'!$S34</f>
        <v>0</v>
      </c>
      <c r="AF85" s="709">
        <f>'7CM42F'!$S34</f>
        <v>0</v>
      </c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458"/>
      <c r="AT85" s="219"/>
      <c r="AU85" s="219"/>
      <c r="AV85" s="219"/>
      <c r="AW85" s="219"/>
      <c r="AX85" s="219"/>
      <c r="AY85" s="219"/>
      <c r="AZ85" s="219"/>
      <c r="BA85" s="458"/>
      <c r="BB85" s="219"/>
      <c r="BC85" s="219"/>
      <c r="BD85" s="536">
        <f t="shared" si="30"/>
        <v>0</v>
      </c>
      <c r="BE85" s="210"/>
    </row>
    <row r="86" spans="2:57" x14ac:dyDescent="0.25">
      <c r="B86" s="220" t="str">
        <f>Cen!A267</f>
        <v>Korpusové lišty TIP-ON, 600mm, 40kg</v>
      </c>
      <c r="C86" s="220" t="str">
        <f>Cen!B267</f>
        <v>750.6001T</v>
      </c>
      <c r="D86" s="220" t="str">
        <f>Cen!C267</f>
        <v>ZN</v>
      </c>
      <c r="E86" s="593">
        <f>Cen!D267</f>
        <v>0</v>
      </c>
      <c r="F86" s="194">
        <f t="shared" si="29"/>
        <v>0</v>
      </c>
      <c r="G86" s="216">
        <f>Cen!F267</f>
        <v>1133.14894</v>
      </c>
      <c r="H86" s="765">
        <f t="shared" si="32"/>
        <v>0</v>
      </c>
      <c r="I86" s="228"/>
      <c r="J86" s="218">
        <f>Cen!I267</f>
        <v>5743471</v>
      </c>
      <c r="K86" s="218">
        <f>Cen!J267</f>
        <v>227427</v>
      </c>
      <c r="L86" s="214">
        <f t="shared" si="33"/>
        <v>0</v>
      </c>
      <c r="M86" s="789">
        <f t="shared" si="34"/>
        <v>0</v>
      </c>
      <c r="N86" s="219"/>
      <c r="O86" s="348">
        <f>'7M400P'!S37</f>
        <v>0</v>
      </c>
      <c r="P86" s="348">
        <f>'7M40VP'!S37</f>
        <v>0</v>
      </c>
      <c r="Q86" s="745">
        <f>'7K400P'!S35</f>
        <v>0</v>
      </c>
      <c r="R86" s="348">
        <f>'7C410P'!S37</f>
        <v>0</v>
      </c>
      <c r="S86" s="348">
        <f>'7C410F'!S37</f>
        <v>0</v>
      </c>
      <c r="T86" s="348">
        <f>'7C41VP'!S37</f>
        <v>0</v>
      </c>
      <c r="U86" s="348">
        <f>'7C41VF'!S37</f>
        <v>0</v>
      </c>
      <c r="V86" s="348">
        <f>'7C41NP'!S37</f>
        <v>0</v>
      </c>
      <c r="W86" s="348">
        <f>'7C41NF'!S37</f>
        <v>0</v>
      </c>
      <c r="X86" s="348">
        <f>'7C41RP'!S37</f>
        <v>0</v>
      </c>
      <c r="Y86" s="348">
        <f>'7C41RF'!S37</f>
        <v>0</v>
      </c>
      <c r="Z86" s="348">
        <f>'7F410P'!S37</f>
        <v>0</v>
      </c>
      <c r="AA86" s="219"/>
      <c r="AB86" s="219"/>
      <c r="AC86" s="219"/>
      <c r="AD86" s="219"/>
      <c r="AE86" s="709">
        <f>'7CM42P'!$S35</f>
        <v>0</v>
      </c>
      <c r="AF86" s="709">
        <f>'7CM42F'!$S35</f>
        <v>0</v>
      </c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458"/>
      <c r="AT86" s="219"/>
      <c r="AU86" s="219"/>
      <c r="AV86" s="219"/>
      <c r="AW86" s="219"/>
      <c r="AX86" s="219"/>
      <c r="AY86" s="219"/>
      <c r="AZ86" s="219"/>
      <c r="BA86" s="458"/>
      <c r="BB86" s="219"/>
      <c r="BC86" s="219"/>
      <c r="BD86" s="536">
        <f t="shared" si="30"/>
        <v>0</v>
      </c>
      <c r="BE86" s="210"/>
    </row>
    <row r="87" spans="2:57" x14ac:dyDescent="0.25">
      <c r="B87" s="220" t="str">
        <f>Cen!A268</f>
        <v>Korpusové lišty TIP-ON, 600mm, 70kg</v>
      </c>
      <c r="C87" s="220" t="str">
        <f>Cen!B268</f>
        <v>753.6001T</v>
      </c>
      <c r="D87" s="220" t="str">
        <f>Cen!C268</f>
        <v>ZN</v>
      </c>
      <c r="E87" s="593">
        <f>Cen!D268</f>
        <v>0</v>
      </c>
      <c r="F87" s="194">
        <f t="shared" si="29"/>
        <v>0</v>
      </c>
      <c r="G87" s="216">
        <f>Cen!F268</f>
        <v>1294.4311299999999</v>
      </c>
      <c r="H87" s="765">
        <f t="shared" si="32"/>
        <v>0</v>
      </c>
      <c r="I87" s="228"/>
      <c r="J87" s="218">
        <f>Cen!I268</f>
        <v>6459880</v>
      </c>
      <c r="K87" s="218">
        <f>Cen!J268</f>
        <v>227431</v>
      </c>
      <c r="L87" s="214">
        <f t="shared" si="33"/>
        <v>0</v>
      </c>
      <c r="M87" s="789">
        <f t="shared" si="34"/>
        <v>0</v>
      </c>
      <c r="N87" s="219"/>
      <c r="O87" s="348">
        <f>'7M400P'!S38</f>
        <v>0</v>
      </c>
      <c r="P87" s="348">
        <f>'7M40VP'!S38</f>
        <v>0</v>
      </c>
      <c r="Q87" s="745">
        <f>'7K400P'!S36</f>
        <v>0</v>
      </c>
      <c r="R87" s="348">
        <f>'7C410P'!S38</f>
        <v>0</v>
      </c>
      <c r="S87" s="348">
        <f>'7C410F'!S38</f>
        <v>0</v>
      </c>
      <c r="T87" s="348">
        <f>'7C41VP'!S38</f>
        <v>0</v>
      </c>
      <c r="U87" s="348">
        <f>'7C41VF'!S38</f>
        <v>0</v>
      </c>
      <c r="V87" s="348">
        <f>'7C41NP'!S38</f>
        <v>0</v>
      </c>
      <c r="W87" s="348">
        <f>'7C41NF'!S38</f>
        <v>0</v>
      </c>
      <c r="X87" s="348">
        <f>'7C41RP'!S38</f>
        <v>0</v>
      </c>
      <c r="Y87" s="348">
        <f>'7C41RF'!S38</f>
        <v>0</v>
      </c>
      <c r="Z87" s="348">
        <f>'7F410P'!S38</f>
        <v>0</v>
      </c>
      <c r="AA87" s="219"/>
      <c r="AB87" s="219"/>
      <c r="AC87" s="219"/>
      <c r="AD87" s="219"/>
      <c r="AE87" s="709">
        <f>'7CM42P'!$S36</f>
        <v>0</v>
      </c>
      <c r="AF87" s="709">
        <f>'7CM42F'!$S36</f>
        <v>0</v>
      </c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458"/>
      <c r="AT87" s="219"/>
      <c r="AU87" s="219"/>
      <c r="AV87" s="219"/>
      <c r="AW87" s="219"/>
      <c r="AX87" s="219"/>
      <c r="AY87" s="219"/>
      <c r="AZ87" s="219"/>
      <c r="BA87" s="458"/>
      <c r="BB87" s="219"/>
      <c r="BC87" s="219"/>
      <c r="BD87" s="536">
        <f t="shared" si="30"/>
        <v>0</v>
      </c>
      <c r="BE87" s="210"/>
    </row>
    <row r="88" spans="2:57" x14ac:dyDescent="0.25">
      <c r="B88" s="220" t="str">
        <f>Cen!A269</f>
        <v>Korpusové lišty TIP-ON, 650mm, 70kg</v>
      </c>
      <c r="C88" s="220" t="str">
        <f>Cen!B269</f>
        <v>753.6501T</v>
      </c>
      <c r="D88" s="220" t="str">
        <f>Cen!C269</f>
        <v>ZN</v>
      </c>
      <c r="E88" s="593">
        <f>Cen!D269</f>
        <v>0</v>
      </c>
      <c r="F88" s="194">
        <f t="shared" si="29"/>
        <v>0</v>
      </c>
      <c r="G88" s="216">
        <f>Cen!F269</f>
        <v>1341.74685</v>
      </c>
      <c r="H88" s="765">
        <f t="shared" si="32"/>
        <v>0</v>
      </c>
      <c r="I88" s="228"/>
      <c r="J88" s="218">
        <f>Cen!I269</f>
        <v>1661174</v>
      </c>
      <c r="K88" s="218">
        <f>Cen!J269</f>
        <v>253717</v>
      </c>
      <c r="L88" s="214">
        <f t="shared" si="33"/>
        <v>0</v>
      </c>
      <c r="M88" s="789">
        <f t="shared" si="34"/>
        <v>0</v>
      </c>
      <c r="N88" s="219"/>
      <c r="O88" s="348">
        <f>'7M400P'!S39</f>
        <v>0</v>
      </c>
      <c r="P88" s="348">
        <f>'7M40VP'!S39</f>
        <v>0</v>
      </c>
      <c r="Q88" s="219"/>
      <c r="R88" s="348">
        <f>'7C410P'!S39</f>
        <v>0</v>
      </c>
      <c r="S88" s="348">
        <f>'7C410F'!S39</f>
        <v>0</v>
      </c>
      <c r="T88" s="348">
        <f>'7C41VP'!S39</f>
        <v>0</v>
      </c>
      <c r="U88" s="348">
        <f>'7C41VF'!S39</f>
        <v>0</v>
      </c>
      <c r="V88" s="348">
        <f>'7C41NP'!S39</f>
        <v>0</v>
      </c>
      <c r="W88" s="348">
        <f>'7C41NF'!S39</f>
        <v>0</v>
      </c>
      <c r="X88" s="348">
        <f>'7C41RP'!S39</f>
        <v>0</v>
      </c>
      <c r="Y88" s="348">
        <f>'7C41RF'!S39</f>
        <v>0</v>
      </c>
      <c r="Z88" s="348">
        <f>'7F410P'!S39</f>
        <v>0</v>
      </c>
      <c r="AA88" s="219"/>
      <c r="AB88" s="219"/>
      <c r="AC88" s="219"/>
      <c r="AD88" s="219"/>
      <c r="AE88" s="709">
        <f>'7CM42P'!$S37</f>
        <v>0</v>
      </c>
      <c r="AF88" s="709">
        <f>'7CM42F'!$S37</f>
        <v>0</v>
      </c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458"/>
      <c r="AT88" s="219"/>
      <c r="AU88" s="219"/>
      <c r="AV88" s="219"/>
      <c r="AW88" s="219"/>
      <c r="AX88" s="219"/>
      <c r="AY88" s="219"/>
      <c r="AZ88" s="219"/>
      <c r="BA88" s="458"/>
      <c r="BB88" s="219"/>
      <c r="BC88" s="219"/>
      <c r="BD88" s="536">
        <f t="shared" si="30"/>
        <v>0</v>
      </c>
      <c r="BE88" s="210"/>
    </row>
    <row r="89" spans="2:57" x14ac:dyDescent="0.25">
      <c r="B89" s="220"/>
      <c r="C89" s="220"/>
      <c r="D89" s="220"/>
      <c r="E89" s="593"/>
      <c r="F89" s="194">
        <f t="shared" si="29"/>
        <v>0</v>
      </c>
      <c r="G89" s="216"/>
      <c r="H89" s="765"/>
      <c r="I89" s="217"/>
      <c r="J89" s="218"/>
      <c r="K89" s="218">
        <f>Cen!J269</f>
        <v>253717</v>
      </c>
      <c r="L89" s="214">
        <f t="shared" si="33"/>
        <v>0</v>
      </c>
      <c r="M89" s="789">
        <f t="shared" si="34"/>
        <v>0</v>
      </c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458"/>
      <c r="AT89" s="219"/>
      <c r="AU89" s="219"/>
      <c r="AV89" s="219"/>
      <c r="AW89" s="219"/>
      <c r="AX89" s="219"/>
      <c r="AY89" s="219"/>
      <c r="AZ89" s="219"/>
      <c r="BA89" s="458"/>
      <c r="BB89" s="219"/>
      <c r="BC89" s="219"/>
      <c r="BD89" s="536">
        <f t="shared" si="30"/>
        <v>0</v>
      </c>
      <c r="BE89" s="210"/>
    </row>
    <row r="90" spans="2:57" x14ac:dyDescent="0.25">
      <c r="B90" s="220" t="str">
        <f>Cen!A287</f>
        <v>Sada jednotek TIP-ON BLUMOTION, S0</v>
      </c>
      <c r="C90" s="220" t="str">
        <f>Cen!B287</f>
        <v>T60L7040</v>
      </c>
      <c r="D90" s="220" t="str">
        <f>Cen!C287</f>
        <v>ZN</v>
      </c>
      <c r="E90" s="593">
        <f>Cen!D287</f>
        <v>0</v>
      </c>
      <c r="F90" s="194">
        <f t="shared" ref="F90" si="35">IF(I90&gt;0,I90,SUM(N90:BC90))</f>
        <v>0</v>
      </c>
      <c r="G90" s="216">
        <f>Cen!F287</f>
        <v>478.94060000000007</v>
      </c>
      <c r="H90" s="765">
        <f t="shared" ref="H90" si="36">M90</f>
        <v>0</v>
      </c>
      <c r="I90" s="228"/>
      <c r="J90" s="218">
        <f>Cen!I287</f>
        <v>8675028</v>
      </c>
      <c r="K90" s="218">
        <f>Cen!J287</f>
        <v>284456</v>
      </c>
      <c r="L90" s="214">
        <f t="shared" ref="L90" si="37">IF(I90="x",0,IF(I90&gt;0,I90,F90))</f>
        <v>0</v>
      </c>
      <c r="M90" s="789">
        <f t="shared" ref="M90" si="38">PRODUCT(L90,G90)</f>
        <v>0</v>
      </c>
      <c r="N90" s="219"/>
      <c r="O90" s="722">
        <f>'7M400P'!$S55</f>
        <v>0</v>
      </c>
      <c r="P90" s="722">
        <f>'7M40VP'!$S55</f>
        <v>0</v>
      </c>
      <c r="Q90" s="745">
        <f>'7K400P'!$S55</f>
        <v>0</v>
      </c>
      <c r="R90" s="722">
        <f>'7C410P'!$S55</f>
        <v>0</v>
      </c>
      <c r="S90" s="219"/>
      <c r="T90" s="722">
        <f>'7C41VP'!$S55</f>
        <v>0</v>
      </c>
      <c r="U90" s="219"/>
      <c r="V90" s="722">
        <f>'7C41NP'!$S55</f>
        <v>0</v>
      </c>
      <c r="W90" s="219"/>
      <c r="X90" s="722">
        <f>'7C41RP'!$S55</f>
        <v>0</v>
      </c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458"/>
      <c r="AT90" s="219"/>
      <c r="AU90" s="219"/>
      <c r="AV90" s="219"/>
      <c r="AW90" s="219"/>
      <c r="AX90" s="219"/>
      <c r="AY90" s="219"/>
      <c r="AZ90" s="219"/>
      <c r="BA90" s="458"/>
      <c r="BB90" s="219"/>
      <c r="BC90" s="219"/>
      <c r="BD90" s="536">
        <f t="shared" ref="BD90" si="39">IF(AND(E90&gt;0,F90&gt;0),1,0)</f>
        <v>0</v>
      </c>
      <c r="BE90" s="210"/>
    </row>
    <row r="91" spans="2:57" x14ac:dyDescent="0.25">
      <c r="B91" s="220" t="str">
        <f>Cen!A288</f>
        <v>Sada jednotek TIP-ON BLUMOTION, S1</v>
      </c>
      <c r="C91" s="220" t="str">
        <f>Cen!B288</f>
        <v>T60L7140</v>
      </c>
      <c r="D91" s="220" t="str">
        <f>Cen!C288</f>
        <v>ZN</v>
      </c>
      <c r="E91" s="593">
        <f>Cen!D288</f>
        <v>0</v>
      </c>
      <c r="F91" s="194">
        <f t="shared" ref="F91:F94" si="40">IF(I91&gt;0,I91,SUM(N91:BC91))</f>
        <v>0</v>
      </c>
      <c r="G91" s="216">
        <f>Cen!F288</f>
        <v>478.94060000000007</v>
      </c>
      <c r="H91" s="765">
        <f t="shared" ref="H91:H94" si="41">M91</f>
        <v>0</v>
      </c>
      <c r="I91" s="228"/>
      <c r="J91" s="218">
        <f>Cen!I288</f>
        <v>8743540</v>
      </c>
      <c r="K91" s="218">
        <f>Cen!J288</f>
        <v>275343</v>
      </c>
      <c r="L91" s="214">
        <f t="shared" si="33"/>
        <v>0</v>
      </c>
      <c r="M91" s="789">
        <f t="shared" si="34"/>
        <v>0</v>
      </c>
      <c r="N91" s="219"/>
      <c r="O91" s="348">
        <f>'7M400P'!$S56</f>
        <v>0</v>
      </c>
      <c r="P91" s="709">
        <f>'7M40VP'!$S56</f>
        <v>0</v>
      </c>
      <c r="Q91" s="745">
        <f>'7K400P'!$S56</f>
        <v>0</v>
      </c>
      <c r="R91" s="709">
        <f>'7C410P'!$S56</f>
        <v>0</v>
      </c>
      <c r="S91" s="219"/>
      <c r="T91" s="709">
        <f>'7C41VP'!$S56</f>
        <v>0</v>
      </c>
      <c r="U91" s="219"/>
      <c r="V91" s="709">
        <f>'7C41NP'!$S56</f>
        <v>0</v>
      </c>
      <c r="W91" s="219"/>
      <c r="X91" s="709">
        <f>'7C41RP'!$S56</f>
        <v>0</v>
      </c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458"/>
      <c r="AT91" s="219"/>
      <c r="AU91" s="219"/>
      <c r="AV91" s="219"/>
      <c r="AW91" s="219"/>
      <c r="AX91" s="219"/>
      <c r="AY91" s="219"/>
      <c r="AZ91" s="219"/>
      <c r="BA91" s="458"/>
      <c r="BB91" s="219"/>
      <c r="BC91" s="219"/>
      <c r="BD91" s="536">
        <f t="shared" si="30"/>
        <v>0</v>
      </c>
      <c r="BE91" s="210"/>
    </row>
    <row r="92" spans="2:57" x14ac:dyDescent="0.25">
      <c r="B92" s="220" t="str">
        <f>Cen!A289</f>
        <v>Sada jednotek TIP-ON BLUMOTION, L1</v>
      </c>
      <c r="C92" s="220" t="str">
        <f>Cen!B289</f>
        <v>T60L7340</v>
      </c>
      <c r="D92" s="220" t="str">
        <f>Cen!C289</f>
        <v>ZN</v>
      </c>
      <c r="E92" s="593">
        <f>Cen!D289</f>
        <v>0</v>
      </c>
      <c r="F92" s="194">
        <f t="shared" si="40"/>
        <v>0</v>
      </c>
      <c r="G92" s="216">
        <f>Cen!F289</f>
        <v>467.80245000000002</v>
      </c>
      <c r="H92" s="765">
        <f t="shared" si="41"/>
        <v>0</v>
      </c>
      <c r="I92" s="228"/>
      <c r="J92" s="218">
        <f>Cen!I289</f>
        <v>2368890</v>
      </c>
      <c r="K92" s="218">
        <f>Cen!J289</f>
        <v>275344</v>
      </c>
      <c r="L92" s="214">
        <f t="shared" si="33"/>
        <v>0</v>
      </c>
      <c r="M92" s="789">
        <f t="shared" si="34"/>
        <v>0</v>
      </c>
      <c r="N92" s="348">
        <f>'7N400P'!S57</f>
        <v>0</v>
      </c>
      <c r="O92" s="709">
        <f>'7M400P'!$S57</f>
        <v>0</v>
      </c>
      <c r="P92" s="709">
        <f>'7M40VP'!$S57</f>
        <v>0</v>
      </c>
      <c r="Q92" s="709">
        <f>'7K400P'!$S57</f>
        <v>0</v>
      </c>
      <c r="R92" s="709">
        <f>'7C410P'!$S57</f>
        <v>0</v>
      </c>
      <c r="S92" s="709">
        <f>'7C410F'!$S57</f>
        <v>0</v>
      </c>
      <c r="T92" s="709">
        <f>'7C41VP'!$S57</f>
        <v>0</v>
      </c>
      <c r="U92" s="709">
        <f>'7C41VF'!$S57</f>
        <v>0</v>
      </c>
      <c r="V92" s="709">
        <f>'7C41NP'!$S57</f>
        <v>0</v>
      </c>
      <c r="W92" s="709">
        <f>'7C41NF'!$S57</f>
        <v>0</v>
      </c>
      <c r="X92" s="709">
        <f>'7C41RP'!$S57</f>
        <v>0</v>
      </c>
      <c r="Y92" s="709">
        <f>'7C41RF'!$S57</f>
        <v>0</v>
      </c>
      <c r="Z92" s="709">
        <f>'7F410P'!$S57</f>
        <v>0</v>
      </c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771">
        <f>'7STCGP'!$S57</f>
        <v>0</v>
      </c>
      <c r="AL92" s="771">
        <f>'7STCGF'!$S57</f>
        <v>0</v>
      </c>
      <c r="AM92" s="771">
        <f>'7STCRP'!$S57</f>
        <v>0</v>
      </c>
      <c r="AN92" s="771">
        <f>'7STCRF'!$S57</f>
        <v>0</v>
      </c>
      <c r="AO92" s="771">
        <f>'7STMGP'!$S57</f>
        <v>0</v>
      </c>
      <c r="AP92" s="771">
        <f>'7STMGF'!$S57</f>
        <v>0</v>
      </c>
      <c r="AQ92" s="771">
        <f>'7STMRP'!$S57</f>
        <v>0</v>
      </c>
      <c r="AR92" s="771">
        <f>'7STMRF'!$S57</f>
        <v>0</v>
      </c>
      <c r="AS92" s="458"/>
      <c r="AT92" s="219"/>
      <c r="AU92" s="219"/>
      <c r="AV92" s="219"/>
      <c r="AW92" s="219"/>
      <c r="AX92" s="219"/>
      <c r="AY92" s="219"/>
      <c r="AZ92" s="219"/>
      <c r="BA92" s="458"/>
      <c r="BB92" s="219"/>
      <c r="BC92" s="219"/>
      <c r="BD92" s="536">
        <f t="shared" si="30"/>
        <v>0</v>
      </c>
      <c r="BE92" s="210"/>
    </row>
    <row r="93" spans="2:57" x14ac:dyDescent="0.25">
      <c r="B93" s="220" t="str">
        <f>Cen!A290</f>
        <v>Sada jednotek TIP-ON BLUMOTION, L3</v>
      </c>
      <c r="C93" s="220" t="str">
        <f>Cen!B290</f>
        <v>T60L7540</v>
      </c>
      <c r="D93" s="220" t="str">
        <f>Cen!C290</f>
        <v>ZN</v>
      </c>
      <c r="E93" s="593">
        <f>Cen!D290</f>
        <v>0</v>
      </c>
      <c r="F93" s="194">
        <f t="shared" si="40"/>
        <v>0</v>
      </c>
      <c r="G93" s="216">
        <f>Cen!F290</f>
        <v>467.80245000000002</v>
      </c>
      <c r="H93" s="765">
        <f t="shared" si="41"/>
        <v>0</v>
      </c>
      <c r="I93" s="228"/>
      <c r="J93" s="218">
        <f>Cen!I290</f>
        <v>1286932</v>
      </c>
      <c r="K93" s="218">
        <f>Cen!J290</f>
        <v>275345</v>
      </c>
      <c r="L93" s="214">
        <f t="shared" si="33"/>
        <v>0</v>
      </c>
      <c r="M93" s="789">
        <f t="shared" si="34"/>
        <v>0</v>
      </c>
      <c r="N93" s="709">
        <f>'7N400P'!S58</f>
        <v>0</v>
      </c>
      <c r="O93" s="709">
        <f>'7M400P'!$S58</f>
        <v>0</v>
      </c>
      <c r="P93" s="709">
        <f>'7M40VP'!$S58</f>
        <v>0</v>
      </c>
      <c r="Q93" s="709">
        <f>'7K400P'!$S58</f>
        <v>0</v>
      </c>
      <c r="R93" s="709">
        <f>'7C410P'!$S58</f>
        <v>0</v>
      </c>
      <c r="S93" s="709">
        <f>'7C410F'!$S58</f>
        <v>0</v>
      </c>
      <c r="T93" s="709">
        <f>'7C41VP'!$S58</f>
        <v>0</v>
      </c>
      <c r="U93" s="709">
        <f>'7C41VF'!$S58</f>
        <v>0</v>
      </c>
      <c r="V93" s="709">
        <f>'7C41NP'!$S58</f>
        <v>0</v>
      </c>
      <c r="W93" s="709">
        <f>'7C41NF'!$S58</f>
        <v>0</v>
      </c>
      <c r="X93" s="709">
        <f>'7C41RP'!$S58</f>
        <v>0</v>
      </c>
      <c r="Y93" s="709">
        <f>'7C41RF'!$S58</f>
        <v>0</v>
      </c>
      <c r="Z93" s="709">
        <f>'7F410P'!$S58</f>
        <v>0</v>
      </c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709">
        <f>'7STCGP'!$S58</f>
        <v>0</v>
      </c>
      <c r="AL93" s="709">
        <f>'7STCGF'!$S58</f>
        <v>0</v>
      </c>
      <c r="AM93" s="709">
        <f>'7STCRP'!$S58</f>
        <v>0</v>
      </c>
      <c r="AN93" s="709">
        <f>'7STCRF'!$S58</f>
        <v>0</v>
      </c>
      <c r="AO93" s="709">
        <f>'7STMGP'!$S58</f>
        <v>0</v>
      </c>
      <c r="AP93" s="709">
        <f>'7STMGF'!$S58</f>
        <v>0</v>
      </c>
      <c r="AQ93" s="709">
        <f>'7STMRP'!$S58</f>
        <v>0</v>
      </c>
      <c r="AR93" s="709">
        <f>'7STMRF'!$S58</f>
        <v>0</v>
      </c>
      <c r="AS93" s="458"/>
      <c r="AT93" s="219"/>
      <c r="AU93" s="219"/>
      <c r="AV93" s="219"/>
      <c r="AW93" s="219"/>
      <c r="AX93" s="219"/>
      <c r="AY93" s="219"/>
      <c r="AZ93" s="219"/>
      <c r="BA93" s="458"/>
      <c r="BB93" s="219"/>
      <c r="BC93" s="219"/>
      <c r="BD93" s="536">
        <f t="shared" si="30"/>
        <v>0</v>
      </c>
      <c r="BE93" s="210"/>
    </row>
    <row r="94" spans="2:57" x14ac:dyDescent="0.25">
      <c r="B94" s="220" t="str">
        <f>Cen!A291</f>
        <v>Sada jednotek TIP-ON BLUMOTION, L5</v>
      </c>
      <c r="C94" s="220" t="str">
        <f>Cen!B291</f>
        <v>T60L7570</v>
      </c>
      <c r="D94" s="220" t="str">
        <f>Cen!C291</f>
        <v>ZN</v>
      </c>
      <c r="E94" s="593">
        <f>Cen!D291</f>
        <v>0</v>
      </c>
      <c r="F94" s="194">
        <f t="shared" si="40"/>
        <v>0</v>
      </c>
      <c r="G94" s="216">
        <f>Cen!F291</f>
        <v>467.80245000000002</v>
      </c>
      <c r="H94" s="765">
        <f t="shared" si="41"/>
        <v>0</v>
      </c>
      <c r="I94" s="228"/>
      <c r="J94" s="218">
        <f>Cen!I291</f>
        <v>6335560</v>
      </c>
      <c r="K94" s="218">
        <f>Cen!J291</f>
        <v>275347</v>
      </c>
      <c r="L94" s="214">
        <f t="shared" si="33"/>
        <v>0</v>
      </c>
      <c r="M94" s="789">
        <f t="shared" si="34"/>
        <v>0</v>
      </c>
      <c r="N94" s="219"/>
      <c r="O94" s="709">
        <f>'7M400P'!$S59</f>
        <v>0</v>
      </c>
      <c r="P94" s="709">
        <f>'7M40VP'!$S59</f>
        <v>0</v>
      </c>
      <c r="Q94" s="709">
        <f>'7K400P'!$S59</f>
        <v>0</v>
      </c>
      <c r="R94" s="709">
        <f>'7C410P'!$S59</f>
        <v>0</v>
      </c>
      <c r="S94" s="709">
        <f>'7C410F'!$S59</f>
        <v>0</v>
      </c>
      <c r="T94" s="709">
        <f>'7C41VP'!$S59</f>
        <v>0</v>
      </c>
      <c r="U94" s="709">
        <f>'7C41VF'!$S59</f>
        <v>0</v>
      </c>
      <c r="V94" s="709">
        <f>'7C41NP'!$S59</f>
        <v>0</v>
      </c>
      <c r="W94" s="709">
        <f>'7C41NF'!$S59</f>
        <v>0</v>
      </c>
      <c r="X94" s="709">
        <f>'7C41RP'!$S59</f>
        <v>0</v>
      </c>
      <c r="Y94" s="709">
        <f>'7C41RF'!$S59</f>
        <v>0</v>
      </c>
      <c r="Z94" s="709">
        <f>'7F410P'!$S59</f>
        <v>0</v>
      </c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709">
        <f>'7STCGP'!$S59</f>
        <v>0</v>
      </c>
      <c r="AL94" s="709">
        <f>'7STCGF'!$S59</f>
        <v>0</v>
      </c>
      <c r="AM94" s="709">
        <f>'7STCRP'!$S59</f>
        <v>0</v>
      </c>
      <c r="AN94" s="709">
        <f>'7STCRF'!$S59</f>
        <v>0</v>
      </c>
      <c r="AO94" s="709">
        <f>'7STMGP'!$S59</f>
        <v>0</v>
      </c>
      <c r="AP94" s="709">
        <f>'7STMGF'!$S59</f>
        <v>0</v>
      </c>
      <c r="AQ94" s="709">
        <f>'7STMRP'!$S59</f>
        <v>0</v>
      </c>
      <c r="AR94" s="709">
        <f>'7STMRF'!$S59</f>
        <v>0</v>
      </c>
      <c r="AS94" s="458"/>
      <c r="AT94" s="219"/>
      <c r="AU94" s="219"/>
      <c r="AV94" s="219"/>
      <c r="AW94" s="219"/>
      <c r="AX94" s="219"/>
      <c r="AY94" s="219"/>
      <c r="AZ94" s="219"/>
      <c r="BA94" s="458"/>
      <c r="BB94" s="219"/>
      <c r="BC94" s="219"/>
      <c r="BD94" s="536">
        <f t="shared" si="30"/>
        <v>0</v>
      </c>
      <c r="BE94" s="210"/>
    </row>
    <row r="95" spans="2:57" x14ac:dyDescent="0.25">
      <c r="B95" s="220" t="str">
        <f>Cen!A292</f>
        <v>Sada jednotek TOB, dřezový výsuv, L1</v>
      </c>
      <c r="C95" s="220" t="str">
        <f>Cen!B292</f>
        <v>T60L9340 </v>
      </c>
      <c r="D95" s="220" t="str">
        <f>Cen!C292</f>
        <v>ZN</v>
      </c>
      <c r="E95" s="593">
        <f>Cen!D292</f>
        <v>0</v>
      </c>
      <c r="F95" s="194">
        <f t="shared" ref="F95:F96" si="42">IF(I95&gt;0,I95,SUM(N95:BC95))</f>
        <v>0</v>
      </c>
      <c r="G95" s="216">
        <f>Cen!F292</f>
        <v>786.64774</v>
      </c>
      <c r="H95" s="765">
        <f t="shared" ref="H95:H96" si="43">M95</f>
        <v>0</v>
      </c>
      <c r="I95" s="228"/>
      <c r="J95" s="218">
        <f>Cen!I292</f>
        <v>1752547</v>
      </c>
      <c r="K95" s="218"/>
      <c r="L95" s="214"/>
      <c r="M95" s="78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791">
        <f>'7CM42P'!$S60</f>
        <v>0</v>
      </c>
      <c r="AF95" s="791">
        <f>'7CM42F'!$S60</f>
        <v>0</v>
      </c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458"/>
      <c r="AT95" s="219"/>
      <c r="AU95" s="219"/>
      <c r="AV95" s="219"/>
      <c r="AW95" s="219"/>
      <c r="AX95" s="219"/>
      <c r="AY95" s="219"/>
      <c r="AZ95" s="219"/>
      <c r="BA95" s="458"/>
      <c r="BB95" s="219"/>
      <c r="BC95" s="219"/>
      <c r="BD95" s="536"/>
      <c r="BE95" s="210"/>
    </row>
    <row r="96" spans="2:57" x14ac:dyDescent="0.25">
      <c r="B96" s="220" t="str">
        <f>Cen!A293</f>
        <v>Sada jednotek TOB, dřezový výsuv, L3</v>
      </c>
      <c r="C96" s="220" t="str">
        <f>Cen!B293</f>
        <v>T60L9540</v>
      </c>
      <c r="D96" s="220" t="str">
        <f>Cen!C293</f>
        <v>ZN</v>
      </c>
      <c r="E96" s="593">
        <f>Cen!D293</f>
        <v>0</v>
      </c>
      <c r="F96" s="194">
        <f t="shared" si="42"/>
        <v>0</v>
      </c>
      <c r="G96" s="216">
        <f>Cen!F293</f>
        <v>786.64774</v>
      </c>
      <c r="H96" s="765">
        <f t="shared" si="43"/>
        <v>0</v>
      </c>
      <c r="I96" s="228"/>
      <c r="J96" s="218">
        <f>Cen!I293</f>
        <v>2783745</v>
      </c>
      <c r="K96" s="218"/>
      <c r="L96" s="214"/>
      <c r="M96" s="78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791">
        <f>'7CM42P'!$S61</f>
        <v>0</v>
      </c>
      <c r="AF96" s="791">
        <f>'7CM42F'!$S61</f>
        <v>0</v>
      </c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458"/>
      <c r="AT96" s="219"/>
      <c r="AU96" s="219"/>
      <c r="AV96" s="219"/>
      <c r="AW96" s="219"/>
      <c r="AX96" s="219"/>
      <c r="AY96" s="219"/>
      <c r="AZ96" s="219"/>
      <c r="BA96" s="458"/>
      <c r="BB96" s="219"/>
      <c r="BC96" s="219"/>
      <c r="BD96" s="536"/>
      <c r="BE96" s="210"/>
    </row>
    <row r="97" spans="2:57" x14ac:dyDescent="0.25">
      <c r="B97" s="220"/>
      <c r="C97" s="220"/>
      <c r="D97" s="220"/>
      <c r="E97" s="593"/>
      <c r="F97" s="194"/>
      <c r="G97" s="216"/>
      <c r="H97" s="765"/>
      <c r="I97" s="217"/>
      <c r="J97" s="218"/>
      <c r="K97" s="218"/>
      <c r="L97" s="214">
        <f t="shared" si="33"/>
        <v>0</v>
      </c>
      <c r="M97" s="789">
        <f t="shared" si="34"/>
        <v>0</v>
      </c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458"/>
      <c r="AT97" s="219"/>
      <c r="AU97" s="219"/>
      <c r="AV97" s="219"/>
      <c r="AW97" s="219"/>
      <c r="AX97" s="219"/>
      <c r="AY97" s="219"/>
      <c r="AZ97" s="219"/>
      <c r="BA97" s="458"/>
      <c r="BB97" s="219"/>
      <c r="BC97" s="219"/>
      <c r="BD97" s="536">
        <f t="shared" si="30"/>
        <v>0</v>
      </c>
      <c r="BE97" s="210"/>
    </row>
    <row r="98" spans="2:57" x14ac:dyDescent="0.25">
      <c r="B98" s="220" t="str">
        <f>Cen!A297</f>
        <v>TIP-ON synchronizace, sada pastorků</v>
      </c>
      <c r="C98" s="220" t="str">
        <f>Cen!B297</f>
        <v>T57.7400.01</v>
      </c>
      <c r="D98" s="220" t="str">
        <f>Cen!C297</f>
        <v>R737</v>
      </c>
      <c r="E98" s="593">
        <f>Cen!D297</f>
        <v>0</v>
      </c>
      <c r="F98" s="194">
        <f t="shared" si="29"/>
        <v>0</v>
      </c>
      <c r="G98" s="216">
        <f>Cen!F297</f>
        <v>194.59</v>
      </c>
      <c r="H98" s="765">
        <f t="shared" ref="H98:H103" si="44">M98</f>
        <v>0</v>
      </c>
      <c r="I98" s="228"/>
      <c r="J98" s="218">
        <f>Cen!I297</f>
        <v>1605111</v>
      </c>
      <c r="K98" s="218">
        <f>Cen!J297</f>
        <v>227606</v>
      </c>
      <c r="L98" s="214">
        <f t="shared" ref="L98:L101" si="45">IF(I98="x",0,IF(I98&gt;0,I98,F98))</f>
        <v>0</v>
      </c>
      <c r="M98" s="789">
        <f t="shared" ref="M98:M103" si="46">PRODUCT(L98,G98)</f>
        <v>0</v>
      </c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458"/>
      <c r="AT98" s="219"/>
      <c r="AU98" s="219"/>
      <c r="AV98" s="219"/>
      <c r="AW98" s="219"/>
      <c r="AX98" s="219"/>
      <c r="AY98" s="219"/>
      <c r="AZ98" s="219"/>
      <c r="BA98" s="458"/>
      <c r="BB98" s="348">
        <f>Acs!E3</f>
        <v>0</v>
      </c>
      <c r="BC98" s="219"/>
      <c r="BD98" s="536">
        <f t="shared" si="30"/>
        <v>0</v>
      </c>
      <c r="BE98" s="210"/>
    </row>
    <row r="99" spans="2:57" x14ac:dyDescent="0.25">
      <c r="B99" s="220" t="str">
        <f>Cen!A298</f>
        <v>TIP-ON synchronizace, tyč ke zkrácení</v>
      </c>
      <c r="C99" s="220" t="str">
        <f>Cen!B298</f>
        <v>ZST.1160W</v>
      </c>
      <c r="D99" s="220" t="str">
        <f>Cen!C298</f>
        <v>ROH</v>
      </c>
      <c r="E99" s="593">
        <f>Cen!D298</f>
        <v>0</v>
      </c>
      <c r="F99" s="194">
        <f t="shared" si="29"/>
        <v>0</v>
      </c>
      <c r="G99" s="216">
        <f>Cen!F298</f>
        <v>107.28</v>
      </c>
      <c r="H99" s="765">
        <f t="shared" si="44"/>
        <v>0</v>
      </c>
      <c r="I99" s="228"/>
      <c r="J99" s="218">
        <f>Cen!I298</f>
        <v>5075934</v>
      </c>
      <c r="K99" s="218">
        <f>Cen!J298</f>
        <v>227607</v>
      </c>
      <c r="L99" s="214">
        <f t="shared" si="45"/>
        <v>0</v>
      </c>
      <c r="M99" s="789">
        <f t="shared" si="46"/>
        <v>0</v>
      </c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458"/>
      <c r="AT99" s="219"/>
      <c r="AU99" s="219"/>
      <c r="AV99" s="219"/>
      <c r="AW99" s="219"/>
      <c r="AX99" s="219"/>
      <c r="AY99" s="219"/>
      <c r="AZ99" s="219"/>
      <c r="BA99" s="458"/>
      <c r="BB99" s="348">
        <f>Acs!E4</f>
        <v>0</v>
      </c>
      <c r="BC99" s="219"/>
      <c r="BD99" s="536">
        <f t="shared" ref="BD99:BD131" si="47">IF(AND(E99&gt;0,F99&gt;0),1,0)</f>
        <v>0</v>
      </c>
      <c r="BE99" s="210"/>
    </row>
    <row r="100" spans="2:57" x14ac:dyDescent="0.25">
      <c r="B100" s="220" t="str">
        <f>Cen!A301</f>
        <v>Boční stabilizace, sada NL 250-400mm</v>
      </c>
      <c r="C100" s="220" t="str">
        <f>Cen!B301</f>
        <v>ZS7M400LU</v>
      </c>
      <c r="D100" s="220" t="str">
        <f>Cen!C301</f>
        <v>R737</v>
      </c>
      <c r="E100" s="593">
        <f>Cen!D301</f>
        <v>0</v>
      </c>
      <c r="F100" s="194">
        <f t="shared" si="29"/>
        <v>0</v>
      </c>
      <c r="G100" s="216">
        <f>Cen!F301</f>
        <v>620.08266000000003</v>
      </c>
      <c r="H100" s="765">
        <f t="shared" si="44"/>
        <v>0</v>
      </c>
      <c r="I100" s="228"/>
      <c r="J100" s="218">
        <f>Cen!I301</f>
        <v>7487083</v>
      </c>
      <c r="K100" s="218">
        <f>Cen!J301</f>
        <v>227609</v>
      </c>
      <c r="L100" s="214">
        <f t="shared" si="45"/>
        <v>0</v>
      </c>
      <c r="M100" s="789">
        <f t="shared" si="46"/>
        <v>0</v>
      </c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458"/>
      <c r="AT100" s="219"/>
      <c r="AU100" s="219"/>
      <c r="AV100" s="219"/>
      <c r="AW100" s="219"/>
      <c r="AX100" s="219"/>
      <c r="AY100" s="219"/>
      <c r="AZ100" s="219"/>
      <c r="BA100" s="458"/>
      <c r="BB100" s="348">
        <f>Acs!E5</f>
        <v>0</v>
      </c>
      <c r="BC100" s="219"/>
      <c r="BD100" s="536">
        <f t="shared" si="47"/>
        <v>0</v>
      </c>
      <c r="BE100" s="210"/>
    </row>
    <row r="101" spans="2:57" x14ac:dyDescent="0.25">
      <c r="B101" s="220" t="str">
        <f>Cen!A302</f>
        <v>Boční stabilizace, sada NL 450-600mm</v>
      </c>
      <c r="C101" s="220" t="str">
        <f>Cen!B302</f>
        <v>ZS7M650LU</v>
      </c>
      <c r="D101" s="220" t="str">
        <f>Cen!C302</f>
        <v>R737</v>
      </c>
      <c r="E101" s="593">
        <f>Cen!D302</f>
        <v>0</v>
      </c>
      <c r="F101" s="194">
        <f t="shared" si="29"/>
        <v>0</v>
      </c>
      <c r="G101" s="216">
        <f>Cen!F302</f>
        <v>620.08266000000003</v>
      </c>
      <c r="H101" s="765">
        <f t="shared" si="44"/>
        <v>0</v>
      </c>
      <c r="I101" s="228"/>
      <c r="J101" s="218">
        <f>Cen!I302</f>
        <v>8142713</v>
      </c>
      <c r="K101" s="218">
        <f>Cen!J302</f>
        <v>227611</v>
      </c>
      <c r="L101" s="214">
        <f t="shared" si="45"/>
        <v>0</v>
      </c>
      <c r="M101" s="789">
        <f t="shared" si="46"/>
        <v>0</v>
      </c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458"/>
      <c r="AT101" s="219"/>
      <c r="AU101" s="219"/>
      <c r="AV101" s="219"/>
      <c r="AW101" s="219"/>
      <c r="AX101" s="219"/>
      <c r="AY101" s="219"/>
      <c r="AZ101" s="219"/>
      <c r="BA101" s="458"/>
      <c r="BB101" s="348">
        <f>Acs!E6</f>
        <v>0</v>
      </c>
      <c r="BC101" s="219"/>
      <c r="BD101" s="536">
        <f t="shared" si="47"/>
        <v>0</v>
      </c>
      <c r="BE101" s="210"/>
    </row>
    <row r="102" spans="2:57" x14ac:dyDescent="0.25">
      <c r="B102" s="220" t="str">
        <f>Cen!A306</f>
        <v>TIP-ON BLM synchronizační adaptér</v>
      </c>
      <c r="C102" s="220" t="str">
        <f>Cen!B306</f>
        <v>T60.000D</v>
      </c>
      <c r="D102" s="220" t="str">
        <f>Cen!C306</f>
        <v>R736</v>
      </c>
      <c r="E102" s="593">
        <f>Cen!D306</f>
        <v>0</v>
      </c>
      <c r="F102" s="194">
        <f>IF(I102&gt;0,I102,SUM(N102:BC102))</f>
        <v>0</v>
      </c>
      <c r="G102" s="216">
        <f>Cen!F306</f>
        <v>6.7107799999999997</v>
      </c>
      <c r="H102" s="765">
        <f t="shared" si="44"/>
        <v>0</v>
      </c>
      <c r="I102" s="228"/>
      <c r="J102" s="218">
        <f>Cen!I306</f>
        <v>1512005</v>
      </c>
      <c r="K102" s="218">
        <f>Cen!J306</f>
        <v>275348</v>
      </c>
      <c r="L102" s="214">
        <f>IF(I102="x",0,IF(I102&gt;0,I102,F102))</f>
        <v>0</v>
      </c>
      <c r="M102" s="789">
        <f t="shared" si="46"/>
        <v>0</v>
      </c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458">
        <v>0</v>
      </c>
      <c r="AT102" s="219"/>
      <c r="AU102" s="219"/>
      <c r="AV102" s="219"/>
      <c r="AW102" s="219"/>
      <c r="AX102" s="219"/>
      <c r="AY102" s="219"/>
      <c r="AZ102" s="219"/>
      <c r="BA102" s="458"/>
      <c r="BB102" s="348">
        <f>Acs!E7</f>
        <v>0</v>
      </c>
      <c r="BC102" s="219"/>
      <c r="BD102" s="536">
        <f>IF(AND(E102&gt;0,F102&gt;0),1,0)</f>
        <v>0</v>
      </c>
      <c r="BE102" s="210"/>
    </row>
    <row r="103" spans="2:57" x14ac:dyDescent="0.25">
      <c r="B103" s="220" t="str">
        <f>Cen!A307</f>
        <v>TIP-ON BLM hřídel synchronizace, ke zkrácení</v>
      </c>
      <c r="C103" s="220" t="str">
        <f>Cen!B307</f>
        <v>T60L1125W</v>
      </c>
      <c r="D103" s="220" t="str">
        <f>Cen!C307</f>
        <v>S</v>
      </c>
      <c r="E103" s="593">
        <f>Cen!D307</f>
        <v>0</v>
      </c>
      <c r="F103" s="194">
        <f>IF(I103&gt;0,I103,SUM(N103:BC103))</f>
        <v>0</v>
      </c>
      <c r="G103" s="216">
        <f>Cen!F307</f>
        <v>110.51743999999999</v>
      </c>
      <c r="H103" s="765">
        <f t="shared" si="44"/>
        <v>0</v>
      </c>
      <c r="I103" s="228"/>
      <c r="J103" s="218">
        <f>Cen!I307</f>
        <v>2101757</v>
      </c>
      <c r="K103" s="218">
        <f>Cen!J307</f>
        <v>282277</v>
      </c>
      <c r="L103" s="214">
        <f>IF(I103="x",0,IF(I103&gt;0,I103,F103))</f>
        <v>0</v>
      </c>
      <c r="M103" s="789">
        <f t="shared" si="46"/>
        <v>0</v>
      </c>
      <c r="N103" s="722">
        <f>'7N400P'!S62</f>
        <v>0</v>
      </c>
      <c r="O103" s="722">
        <f>'7M400P'!$S62</f>
        <v>0</v>
      </c>
      <c r="P103" s="722">
        <f>'7M40VP'!$S62</f>
        <v>0</v>
      </c>
      <c r="Q103" s="722">
        <f>'7K400P'!$S62</f>
        <v>0</v>
      </c>
      <c r="R103" s="722">
        <f>'7C410P'!$S62</f>
        <v>0</v>
      </c>
      <c r="S103" s="722">
        <f>'7C410F'!$S62</f>
        <v>0</v>
      </c>
      <c r="T103" s="722">
        <f>'7C41VP'!$S62</f>
        <v>0</v>
      </c>
      <c r="U103" s="722">
        <f>'7C41VF'!$S62</f>
        <v>0</v>
      </c>
      <c r="V103" s="722">
        <f>'7C41NP'!$S62</f>
        <v>0</v>
      </c>
      <c r="W103" s="722">
        <f>'7C41NF'!$S62</f>
        <v>0</v>
      </c>
      <c r="X103" s="722">
        <f>'7C41RP'!$S62</f>
        <v>0</v>
      </c>
      <c r="Y103" s="722">
        <f>'7C41RF'!$S62</f>
        <v>0</v>
      </c>
      <c r="Z103" s="722">
        <f>'7F410P'!$S62</f>
        <v>0</v>
      </c>
      <c r="AA103" s="219"/>
      <c r="AB103" s="219"/>
      <c r="AC103" s="219"/>
      <c r="AD103" s="219"/>
      <c r="AE103" s="722">
        <f>'7CM42P'!$S64</f>
        <v>0</v>
      </c>
      <c r="AF103" s="722">
        <f>'7CM42F'!$S64</f>
        <v>0</v>
      </c>
      <c r="AG103" s="219"/>
      <c r="AH103" s="219"/>
      <c r="AI103" s="219"/>
      <c r="AJ103" s="219"/>
      <c r="AK103" s="722">
        <f>'7STCGP'!$S62</f>
        <v>0</v>
      </c>
      <c r="AL103" s="722">
        <f>'7STCGF'!$S62</f>
        <v>0</v>
      </c>
      <c r="AM103" s="722">
        <f>'7STCRP'!$S62</f>
        <v>0</v>
      </c>
      <c r="AN103" s="722">
        <f>'7STCRF'!$S62</f>
        <v>0</v>
      </c>
      <c r="AO103" s="722">
        <f>'7STMGP'!$S62</f>
        <v>0</v>
      </c>
      <c r="AP103" s="722">
        <f>'7STMGF'!$S62</f>
        <v>0</v>
      </c>
      <c r="AQ103" s="722">
        <f>'7STMRP'!$S62</f>
        <v>0</v>
      </c>
      <c r="AR103" s="722">
        <f>'7STMRF'!$S62</f>
        <v>0</v>
      </c>
      <c r="AS103" s="458"/>
      <c r="AT103" s="219"/>
      <c r="AU103" s="219"/>
      <c r="AV103" s="219"/>
      <c r="AW103" s="219"/>
      <c r="AX103" s="219"/>
      <c r="AY103" s="219"/>
      <c r="AZ103" s="219"/>
      <c r="BA103" s="458"/>
      <c r="BB103" s="348">
        <f>Acs!E8</f>
        <v>0</v>
      </c>
      <c r="BC103" s="219"/>
      <c r="BD103" s="536">
        <f>IF(AND(E103&gt;0,F103&gt;0),1,0)</f>
        <v>0</v>
      </c>
      <c r="BE103" s="210"/>
    </row>
    <row r="104" spans="2:57" x14ac:dyDescent="0.25">
      <c r="B104" s="220" t="str">
        <f>Cen!A308</f>
        <v>TIP-ON BLM jednodílná synchronizace, ke zkrácení</v>
      </c>
      <c r="C104" s="220" t="str">
        <f>Cen!B308</f>
        <v>T60.300D</v>
      </c>
      <c r="D104" s="220" t="str">
        <f>Cen!C308</f>
        <v>R735</v>
      </c>
      <c r="E104" s="593">
        <f>Cen!D308</f>
        <v>0</v>
      </c>
      <c r="F104" s="194">
        <f>IF(I104&gt;0,I104,SUM(N104:BC104))</f>
        <v>0</v>
      </c>
      <c r="G104" s="216">
        <f>Cen!F308</f>
        <v>27.348769999999998</v>
      </c>
      <c r="H104" s="765">
        <f t="shared" ref="H104" si="48">M104</f>
        <v>0</v>
      </c>
      <c r="I104" s="228"/>
      <c r="J104" s="218">
        <f>Cen!I308</f>
        <v>8133273</v>
      </c>
      <c r="K104" s="218">
        <f>Cen!J308</f>
        <v>293824</v>
      </c>
      <c r="L104" s="214">
        <f>IF(I104="x",0,IF(I104&gt;0,I104,F104))</f>
        <v>0</v>
      </c>
      <c r="M104" s="789">
        <f t="shared" ref="M104" si="49">PRODUCT(L104,G104)</f>
        <v>0</v>
      </c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458"/>
      <c r="AT104" s="219"/>
      <c r="AU104" s="219"/>
      <c r="AV104" s="219"/>
      <c r="AW104" s="219"/>
      <c r="AX104" s="219"/>
      <c r="AY104" s="219"/>
      <c r="AZ104" s="219"/>
      <c r="BA104" s="458"/>
      <c r="BB104" s="727">
        <f>Acs!E9</f>
        <v>0</v>
      </c>
      <c r="BC104" s="219"/>
      <c r="BD104" s="536">
        <f t="shared" si="47"/>
        <v>0</v>
      </c>
      <c r="BE104" s="210"/>
    </row>
    <row r="105" spans="2:57" x14ac:dyDescent="0.25">
      <c r="B105" s="220"/>
      <c r="C105" s="220"/>
      <c r="D105" s="220"/>
      <c r="E105" s="593"/>
      <c r="F105" s="194"/>
      <c r="G105" s="216"/>
      <c r="H105" s="765"/>
      <c r="I105" s="217"/>
      <c r="J105" s="218"/>
      <c r="K105" s="218"/>
      <c r="L105" s="214"/>
      <c r="M105" s="78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458"/>
      <c r="AT105" s="219"/>
      <c r="AU105" s="219"/>
      <c r="AV105" s="219"/>
      <c r="AW105" s="219"/>
      <c r="AX105" s="219"/>
      <c r="AY105" s="219"/>
      <c r="AZ105" s="219"/>
      <c r="BA105" s="458"/>
      <c r="BB105" s="219"/>
      <c r="BC105" s="219"/>
      <c r="BD105" s="536"/>
      <c r="BE105" s="210"/>
    </row>
    <row r="106" spans="2:57" x14ac:dyDescent="0.25">
      <c r="B106" s="215" t="str">
        <f>Cen!A314</f>
        <v>Držáky zadní stěny N, Orion šedá</v>
      </c>
      <c r="C106" s="215" t="str">
        <f>Cen!B314</f>
        <v>ZB7N000S</v>
      </c>
      <c r="D106" s="215" t="str">
        <f>Cen!C314</f>
        <v>OG-M</v>
      </c>
      <c r="E106" s="593">
        <f>Cen!D314</f>
        <v>0</v>
      </c>
      <c r="F106" s="194">
        <f t="shared" ref="F106:F137" si="50">IF(I106&gt;0,I106,SUM(N106:BC106))</f>
        <v>0</v>
      </c>
      <c r="G106" s="216">
        <f>Cen!F314</f>
        <v>36.187139999999999</v>
      </c>
      <c r="H106" s="765">
        <f t="shared" ref="H106:H120" si="51">M106</f>
        <v>0</v>
      </c>
      <c r="I106" s="228"/>
      <c r="J106" s="218">
        <f>Cen!I314</f>
        <v>2948763</v>
      </c>
      <c r="K106" s="218">
        <f>Cen!J314</f>
        <v>227550</v>
      </c>
      <c r="L106" s="214">
        <f t="shared" ref="L106:L120" si="52">IF(I106="x",0,IF(I106&gt;0,I106,F106))</f>
        <v>0</v>
      </c>
      <c r="M106" s="789">
        <f t="shared" ref="M106:M120" si="53">PRODUCT(L106,G106)</f>
        <v>0</v>
      </c>
      <c r="N106" s="348">
        <f>'7N400P'!S64</f>
        <v>0</v>
      </c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458"/>
      <c r="AT106" s="219"/>
      <c r="AU106" s="219"/>
      <c r="AV106" s="219"/>
      <c r="AW106" s="219"/>
      <c r="AX106" s="219"/>
      <c r="AY106" s="219"/>
      <c r="AZ106" s="219"/>
      <c r="BA106" s="458"/>
      <c r="BB106" s="219"/>
      <c r="BC106" s="219"/>
      <c r="BD106" s="536">
        <f t="shared" si="47"/>
        <v>0</v>
      </c>
      <c r="BE106" s="210"/>
    </row>
    <row r="107" spans="2:57" x14ac:dyDescent="0.25">
      <c r="B107" s="220" t="str">
        <f>Cen!A319</f>
        <v>Držáky zadní stěny M, Orion šedá</v>
      </c>
      <c r="C107" s="220" t="str">
        <f>Cen!B319</f>
        <v>ZB7M000S</v>
      </c>
      <c r="D107" s="220" t="str">
        <f>Cen!C319</f>
        <v>OG-M</v>
      </c>
      <c r="E107" s="593">
        <f>Cen!D319</f>
        <v>0</v>
      </c>
      <c r="F107" s="194">
        <f t="shared" si="50"/>
        <v>0</v>
      </c>
      <c r="G107" s="216">
        <f>Cen!F319</f>
        <v>35.345579999999998</v>
      </c>
      <c r="H107" s="765">
        <f t="shared" si="51"/>
        <v>0</v>
      </c>
      <c r="I107" s="228"/>
      <c r="J107" s="218">
        <f>Cen!I319</f>
        <v>6440820</v>
      </c>
      <c r="K107" s="218">
        <f>Cen!J319</f>
        <v>227554</v>
      </c>
      <c r="L107" s="214">
        <f t="shared" si="52"/>
        <v>0</v>
      </c>
      <c r="M107" s="789">
        <f t="shared" si="53"/>
        <v>0</v>
      </c>
      <c r="N107" s="219"/>
      <c r="O107" s="348">
        <f>'7M400P'!S64</f>
        <v>0</v>
      </c>
      <c r="P107" s="348">
        <f>'7M40VP'!S64</f>
        <v>0</v>
      </c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348">
        <f>'7M442P'!S41</f>
        <v>0</v>
      </c>
      <c r="AC107" s="219"/>
      <c r="AD107" s="219"/>
      <c r="AE107" s="348">
        <f>'7CM42P'!S66</f>
        <v>0</v>
      </c>
      <c r="AF107" s="348">
        <f>'7CM42F'!S66</f>
        <v>0</v>
      </c>
      <c r="AG107" s="219"/>
      <c r="AH107" s="348">
        <f>'7CM52P'!S36</f>
        <v>0</v>
      </c>
      <c r="AI107" s="348">
        <f>'7CM52F'!S36</f>
        <v>0</v>
      </c>
      <c r="AJ107" s="219"/>
      <c r="AK107" s="219"/>
      <c r="AL107" s="219"/>
      <c r="AM107" s="219"/>
      <c r="AN107" s="219"/>
      <c r="AO107" s="348">
        <f>'7STMGP'!S64</f>
        <v>0</v>
      </c>
      <c r="AP107" s="348">
        <f>'7STMGF'!S64</f>
        <v>0</v>
      </c>
      <c r="AQ107" s="348">
        <f>'7STMRP'!S64</f>
        <v>0</v>
      </c>
      <c r="AR107" s="348">
        <f>'7STMRF'!S64</f>
        <v>0</v>
      </c>
      <c r="AS107" s="458"/>
      <c r="AT107" s="219"/>
      <c r="AU107" s="219"/>
      <c r="AV107" s="219"/>
      <c r="AW107" s="219"/>
      <c r="AX107" s="219"/>
      <c r="AY107" s="219"/>
      <c r="AZ107" s="219"/>
      <c r="BA107" s="458"/>
      <c r="BB107" s="219"/>
      <c r="BC107" s="219"/>
      <c r="BD107" s="536">
        <f t="shared" si="47"/>
        <v>0</v>
      </c>
      <c r="BE107" s="210"/>
    </row>
    <row r="108" spans="2:57" x14ac:dyDescent="0.25">
      <c r="B108" s="220" t="str">
        <f>Cen!A324</f>
        <v>Držáky zadní stěny K, Orion šedá</v>
      </c>
      <c r="C108" s="220" t="str">
        <f>Cen!B324</f>
        <v>ZB7K000S</v>
      </c>
      <c r="D108" s="220" t="str">
        <f>Cen!C324</f>
        <v>OG-M</v>
      </c>
      <c r="E108" s="593">
        <f>Cen!D324</f>
        <v>0</v>
      </c>
      <c r="F108" s="194">
        <f t="shared" si="50"/>
        <v>0</v>
      </c>
      <c r="G108" s="216">
        <f>Cen!F324</f>
        <v>43.05771</v>
      </c>
      <c r="H108" s="765">
        <f t="shared" si="51"/>
        <v>0</v>
      </c>
      <c r="I108" s="228"/>
      <c r="J108" s="218">
        <f>Cen!I324</f>
        <v>1537116</v>
      </c>
      <c r="K108" s="218">
        <f>Cen!J324</f>
        <v>227558</v>
      </c>
      <c r="L108" s="214">
        <f t="shared" si="52"/>
        <v>0</v>
      </c>
      <c r="M108" s="789">
        <f t="shared" si="53"/>
        <v>0</v>
      </c>
      <c r="N108" s="219"/>
      <c r="O108" s="219"/>
      <c r="P108" s="219"/>
      <c r="Q108" s="348">
        <f>'7K400P'!S64</f>
        <v>0</v>
      </c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458"/>
      <c r="AT108" s="219"/>
      <c r="AU108" s="219"/>
      <c r="AV108" s="219"/>
      <c r="AW108" s="219"/>
      <c r="AX108" s="219"/>
      <c r="AY108" s="219"/>
      <c r="AZ108" s="219"/>
      <c r="BA108" s="458"/>
      <c r="BB108" s="219"/>
      <c r="BC108" s="219"/>
      <c r="BD108" s="536">
        <f t="shared" si="47"/>
        <v>0</v>
      </c>
      <c r="BE108" s="210"/>
    </row>
    <row r="109" spans="2:57" x14ac:dyDescent="0.25">
      <c r="B109" s="220" t="str">
        <f>Cen!A329</f>
        <v>Držáky zadní stěny C, Orion šedá</v>
      </c>
      <c r="C109" s="220" t="str">
        <f>Cen!B329</f>
        <v>ZB7C000S</v>
      </c>
      <c r="D109" s="220" t="str">
        <f>Cen!C329</f>
        <v>OG-M</v>
      </c>
      <c r="E109" s="593">
        <f>Cen!D329</f>
        <v>0</v>
      </c>
      <c r="F109" s="194">
        <f t="shared" si="50"/>
        <v>0</v>
      </c>
      <c r="G109" s="216">
        <f>Cen!F329</f>
        <v>47.092230000000001</v>
      </c>
      <c r="H109" s="765">
        <f t="shared" si="51"/>
        <v>0</v>
      </c>
      <c r="I109" s="228"/>
      <c r="J109" s="218">
        <f>Cen!I329</f>
        <v>4160461</v>
      </c>
      <c r="K109" s="218">
        <f>Cen!J329</f>
        <v>227562</v>
      </c>
      <c r="L109" s="214">
        <f t="shared" si="52"/>
        <v>0</v>
      </c>
      <c r="M109" s="789">
        <f t="shared" si="53"/>
        <v>0</v>
      </c>
      <c r="N109" s="219"/>
      <c r="O109" s="219"/>
      <c r="P109" s="219"/>
      <c r="Q109" s="219"/>
      <c r="R109" s="348">
        <f>'7C410P'!S64</f>
        <v>0</v>
      </c>
      <c r="S109" s="348">
        <f>'7C410F'!S64</f>
        <v>0</v>
      </c>
      <c r="T109" s="348">
        <f>'7C41VP'!S64</f>
        <v>0</v>
      </c>
      <c r="U109" s="348">
        <f>'7C41VF'!S64</f>
        <v>0</v>
      </c>
      <c r="V109" s="348">
        <f>'7C41NP'!S64</f>
        <v>0</v>
      </c>
      <c r="W109" s="348">
        <f>'7C41NF'!S64</f>
        <v>0</v>
      </c>
      <c r="X109" s="348">
        <f>'7C41RP'!S64</f>
        <v>0</v>
      </c>
      <c r="Y109" s="348">
        <f>'7C41RF'!S64</f>
        <v>0</v>
      </c>
      <c r="Z109" s="219"/>
      <c r="AA109" s="219"/>
      <c r="AB109" s="219"/>
      <c r="AC109" s="348">
        <f>'7C442P'!S41</f>
        <v>0</v>
      </c>
      <c r="AD109" s="348">
        <f>'7C442F'!S41</f>
        <v>0</v>
      </c>
      <c r="AE109" s="348">
        <f>'7CM42P'!S67</f>
        <v>0</v>
      </c>
      <c r="AF109" s="348">
        <f>'7CM42F'!S67</f>
        <v>0</v>
      </c>
      <c r="AG109" s="219"/>
      <c r="AH109" s="348">
        <f>'7CM52P'!S38</f>
        <v>0</v>
      </c>
      <c r="AI109" s="348">
        <f>'7CM52F'!S38</f>
        <v>0</v>
      </c>
      <c r="AJ109" s="219"/>
      <c r="AK109" s="348">
        <f>'7STCGP'!S65</f>
        <v>0</v>
      </c>
      <c r="AL109" s="348">
        <f>'7STCGF'!S64</f>
        <v>0</v>
      </c>
      <c r="AM109" s="348">
        <f>'7STCRP'!S64</f>
        <v>0</v>
      </c>
      <c r="AN109" s="348">
        <f>'7STCRF'!S64</f>
        <v>0</v>
      </c>
      <c r="AO109" s="348">
        <f>'7STMGP'!S65</f>
        <v>0</v>
      </c>
      <c r="AP109" s="348">
        <f>'7STMGF'!S65</f>
        <v>0</v>
      </c>
      <c r="AQ109" s="348">
        <f>'7STMRP'!S65</f>
        <v>0</v>
      </c>
      <c r="AR109" s="348">
        <f>'7STMRF'!S65</f>
        <v>0</v>
      </c>
      <c r="AS109" s="458"/>
      <c r="AT109" s="219"/>
      <c r="AU109" s="219"/>
      <c r="AV109" s="219"/>
      <c r="AW109" s="219"/>
      <c r="AX109" s="219"/>
      <c r="AY109" s="219"/>
      <c r="AZ109" s="219"/>
      <c r="BA109" s="458"/>
      <c r="BB109" s="219"/>
      <c r="BC109" s="219"/>
      <c r="BD109" s="536">
        <f t="shared" si="47"/>
        <v>0</v>
      </c>
      <c r="BE109" s="210"/>
    </row>
    <row r="110" spans="2:57" x14ac:dyDescent="0.25">
      <c r="B110" s="220" t="str">
        <f>Cen!A334</f>
        <v>Držáky zadní stěny F, Orion šedá</v>
      </c>
      <c r="C110" s="220" t="str">
        <f>Cen!B334</f>
        <v>ZB7F000S</v>
      </c>
      <c r="D110" s="220" t="str">
        <f>Cen!C334</f>
        <v>OG-M</v>
      </c>
      <c r="E110" s="593">
        <f>Cen!D334</f>
        <v>0</v>
      </c>
      <c r="F110" s="194">
        <f t="shared" si="50"/>
        <v>0</v>
      </c>
      <c r="G110" s="216">
        <f>Cen!F334</f>
        <v>100.76446</v>
      </c>
      <c r="H110" s="765">
        <f t="shared" si="51"/>
        <v>0</v>
      </c>
      <c r="I110" s="228"/>
      <c r="J110" s="218">
        <f>Cen!I334</f>
        <v>7246986</v>
      </c>
      <c r="K110" s="218">
        <f>Cen!J334</f>
        <v>227566</v>
      </c>
      <c r="L110" s="214">
        <f t="shared" si="52"/>
        <v>0</v>
      </c>
      <c r="M110" s="789">
        <f t="shared" si="53"/>
        <v>0</v>
      </c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348">
        <f>'7F410P'!S64</f>
        <v>0</v>
      </c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458"/>
      <c r="AT110" s="219"/>
      <c r="AU110" s="219"/>
      <c r="AV110" s="219"/>
      <c r="AW110" s="219"/>
      <c r="AX110" s="219"/>
      <c r="AY110" s="219"/>
      <c r="AZ110" s="219"/>
      <c r="BA110" s="458"/>
      <c r="BB110" s="219"/>
      <c r="BC110" s="219"/>
      <c r="BD110" s="536">
        <f t="shared" si="47"/>
        <v>0</v>
      </c>
      <c r="BE110" s="210"/>
    </row>
    <row r="111" spans="2:57" x14ac:dyDescent="0.25">
      <c r="B111" s="220"/>
      <c r="C111" s="220"/>
      <c r="D111" s="220"/>
      <c r="E111" s="593"/>
      <c r="F111" s="194"/>
      <c r="G111" s="216"/>
      <c r="H111" s="765"/>
      <c r="I111" s="217"/>
      <c r="J111" s="218"/>
      <c r="K111" s="218"/>
      <c r="L111" s="214">
        <f t="shared" si="52"/>
        <v>0</v>
      </c>
      <c r="M111" s="789">
        <f t="shared" si="53"/>
        <v>0</v>
      </c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458"/>
      <c r="AT111" s="219"/>
      <c r="AU111" s="219"/>
      <c r="AV111" s="219"/>
      <c r="AW111" s="219"/>
      <c r="AX111" s="219"/>
      <c r="AY111" s="219"/>
      <c r="AZ111" s="219"/>
      <c r="BA111" s="458"/>
      <c r="BB111" s="219"/>
      <c r="BC111" s="219"/>
      <c r="BD111" s="536">
        <f t="shared" si="47"/>
        <v>0</v>
      </c>
      <c r="BE111" s="210"/>
    </row>
    <row r="112" spans="2:57" x14ac:dyDescent="0.25">
      <c r="B112" s="220" t="str">
        <f>Cen!A344</f>
        <v>Čelní kování N, na vruty</v>
      </c>
      <c r="C112" s="220" t="str">
        <f>Cen!B344</f>
        <v>ZF7N7002</v>
      </c>
      <c r="D112" s="220" t="str">
        <f>Cen!C344</f>
        <v>BL</v>
      </c>
      <c r="E112" s="593">
        <f>Cen!D344</f>
        <v>0</v>
      </c>
      <c r="F112" s="194">
        <f t="shared" si="50"/>
        <v>0</v>
      </c>
      <c r="G112" s="216">
        <f>Cen!F344</f>
        <v>20.202860000000001</v>
      </c>
      <c r="H112" s="765">
        <f t="shared" si="51"/>
        <v>0</v>
      </c>
      <c r="I112" s="228"/>
      <c r="J112" s="218">
        <f>Cen!I344</f>
        <v>4476127</v>
      </c>
      <c r="K112" s="218">
        <f>Cen!J344</f>
        <v>227541</v>
      </c>
      <c r="L112" s="214">
        <f t="shared" si="52"/>
        <v>0</v>
      </c>
      <c r="M112" s="789">
        <f t="shared" si="53"/>
        <v>0</v>
      </c>
      <c r="N112" s="348">
        <f>'7N400P'!S65</f>
        <v>0</v>
      </c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458"/>
      <c r="AT112" s="219"/>
      <c r="AU112" s="219"/>
      <c r="AV112" s="219"/>
      <c r="AW112" s="219"/>
      <c r="AX112" s="219"/>
      <c r="AY112" s="219"/>
      <c r="AZ112" s="219"/>
      <c r="BA112" s="458"/>
      <c r="BB112" s="219"/>
      <c r="BC112" s="219"/>
      <c r="BD112" s="536">
        <f t="shared" si="47"/>
        <v>0</v>
      </c>
      <c r="BE112" s="210"/>
    </row>
    <row r="113" spans="2:57" x14ac:dyDescent="0.25">
      <c r="B113" s="220" t="str">
        <f>Cen!A347</f>
        <v>Čelní kování M, na vruty</v>
      </c>
      <c r="C113" s="220" t="str">
        <f>Cen!B347</f>
        <v>ZF7M7002</v>
      </c>
      <c r="D113" s="220" t="str">
        <f>Cen!C347</f>
        <v>BL</v>
      </c>
      <c r="E113" s="593">
        <f>Cen!D347</f>
        <v>0</v>
      </c>
      <c r="F113" s="194">
        <f t="shared" si="50"/>
        <v>0</v>
      </c>
      <c r="G113" s="216">
        <f>Cen!F347</f>
        <v>7.6647100000000004</v>
      </c>
      <c r="H113" s="765">
        <f t="shared" si="51"/>
        <v>0</v>
      </c>
      <c r="I113" s="228"/>
      <c r="J113" s="218">
        <f>Cen!I347</f>
        <v>9105005</v>
      </c>
      <c r="K113" s="218">
        <f>Cen!J347</f>
        <v>227543</v>
      </c>
      <c r="L113" s="214">
        <f t="shared" si="52"/>
        <v>0</v>
      </c>
      <c r="M113" s="789">
        <f t="shared" si="53"/>
        <v>0</v>
      </c>
      <c r="N113" s="219"/>
      <c r="O113" s="348">
        <f>'7M400P'!S65</f>
        <v>0</v>
      </c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348">
        <f>'7F410P'!S65</f>
        <v>0</v>
      </c>
      <c r="AA113" s="219"/>
      <c r="AB113" s="348">
        <f>'7M442P'!S42</f>
        <v>0</v>
      </c>
      <c r="AC113" s="219"/>
      <c r="AD113" s="219"/>
      <c r="AE113" s="348">
        <f>'7CM42P'!S68</f>
        <v>0</v>
      </c>
      <c r="AF113" s="348">
        <f>'7CM42F'!S68</f>
        <v>0</v>
      </c>
      <c r="AG113" s="219"/>
      <c r="AH113" s="348">
        <f>'7CM52P'!S40</f>
        <v>0</v>
      </c>
      <c r="AI113" s="348">
        <f>'7CM52F'!S40</f>
        <v>0</v>
      </c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458"/>
      <c r="AT113" s="219"/>
      <c r="AU113" s="219"/>
      <c r="AV113" s="219"/>
      <c r="AW113" s="219"/>
      <c r="AX113" s="219"/>
      <c r="AY113" s="219"/>
      <c r="AZ113" s="219"/>
      <c r="BA113" s="458"/>
      <c r="BB113" s="219"/>
      <c r="BC113" s="219"/>
      <c r="BD113" s="536">
        <f t="shared" si="47"/>
        <v>0</v>
      </c>
      <c r="BE113" s="210"/>
    </row>
    <row r="114" spans="2:57" x14ac:dyDescent="0.25">
      <c r="B114" s="220" t="str">
        <f>Cen!A350</f>
        <v>Čelní kování K, na vruty</v>
      </c>
      <c r="C114" s="220" t="str">
        <f>Cen!B350</f>
        <v>ZF7K7002</v>
      </c>
      <c r="D114" s="220" t="str">
        <f>Cen!C350</f>
        <v>BL</v>
      </c>
      <c r="E114" s="593">
        <f>Cen!D350</f>
        <v>0</v>
      </c>
      <c r="F114" s="194">
        <f t="shared" si="50"/>
        <v>0</v>
      </c>
      <c r="G114" s="216">
        <f>Cen!F350</f>
        <v>15.18336</v>
      </c>
      <c r="H114" s="765">
        <f t="shared" si="51"/>
        <v>0</v>
      </c>
      <c r="I114" s="228"/>
      <c r="J114" s="218">
        <f>Cen!I350</f>
        <v>3949406</v>
      </c>
      <c r="K114" s="218">
        <f>Cen!J350</f>
        <v>227545</v>
      </c>
      <c r="L114" s="214">
        <f t="shared" si="52"/>
        <v>0</v>
      </c>
      <c r="M114" s="789">
        <f t="shared" si="53"/>
        <v>0</v>
      </c>
      <c r="N114" s="219"/>
      <c r="O114" s="219"/>
      <c r="P114" s="219"/>
      <c r="Q114" s="348">
        <f>'7K400P'!S65</f>
        <v>0</v>
      </c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458"/>
      <c r="AT114" s="219"/>
      <c r="AU114" s="219"/>
      <c r="AV114" s="219"/>
      <c r="AW114" s="219"/>
      <c r="AX114" s="219"/>
      <c r="AY114" s="219"/>
      <c r="AZ114" s="219"/>
      <c r="BA114" s="458"/>
      <c r="BB114" s="219"/>
      <c r="BC114" s="219"/>
      <c r="BD114" s="536">
        <f t="shared" si="47"/>
        <v>0</v>
      </c>
      <c r="BE114" s="210"/>
    </row>
    <row r="115" spans="2:57" x14ac:dyDescent="0.25">
      <c r="B115" s="220" t="str">
        <f>Cen!A353</f>
        <v>Čelní kování C, na vruty</v>
      </c>
      <c r="C115" s="220" t="str">
        <f>Cen!B353</f>
        <v>ZF7C7002</v>
      </c>
      <c r="D115" s="220" t="str">
        <f>Cen!C353</f>
        <v>BL</v>
      </c>
      <c r="E115" s="593">
        <f>Cen!D353</f>
        <v>0</v>
      </c>
      <c r="F115" s="194">
        <f t="shared" si="50"/>
        <v>0</v>
      </c>
      <c r="G115" s="216">
        <f>Cen!F353</f>
        <v>18.390879999999999</v>
      </c>
      <c r="H115" s="765">
        <f t="shared" si="51"/>
        <v>0</v>
      </c>
      <c r="I115" s="228"/>
      <c r="J115" s="218">
        <f>Cen!I353</f>
        <v>8850350</v>
      </c>
      <c r="K115" s="218">
        <f>Cen!J353</f>
        <v>227547</v>
      </c>
      <c r="L115" s="214">
        <f t="shared" si="52"/>
        <v>0</v>
      </c>
      <c r="M115" s="789">
        <f t="shared" si="53"/>
        <v>0</v>
      </c>
      <c r="N115" s="219"/>
      <c r="O115" s="219"/>
      <c r="P115" s="219"/>
      <c r="Q115" s="219"/>
      <c r="R115" s="348">
        <f>'7C410P'!S65</f>
        <v>0</v>
      </c>
      <c r="S115" s="348">
        <f>'7C410F'!S65</f>
        <v>0</v>
      </c>
      <c r="T115" s="219"/>
      <c r="U115" s="219"/>
      <c r="V115" s="219"/>
      <c r="W115" s="219"/>
      <c r="X115" s="219"/>
      <c r="Y115" s="219"/>
      <c r="Z115" s="348">
        <f>'7F410P'!S66</f>
        <v>0</v>
      </c>
      <c r="AA115" s="219"/>
      <c r="AB115" s="219"/>
      <c r="AC115" s="348">
        <f>'7C442P'!S42</f>
        <v>0</v>
      </c>
      <c r="AD115" s="348">
        <f>'7C442F'!S42</f>
        <v>0</v>
      </c>
      <c r="AE115" s="348">
        <f>'7CM42P'!S69</f>
        <v>0</v>
      </c>
      <c r="AF115" s="348">
        <f>'7CM42F'!S69</f>
        <v>0</v>
      </c>
      <c r="AG115" s="219"/>
      <c r="AH115" s="348">
        <f>'7CM52P'!S42</f>
        <v>0</v>
      </c>
      <c r="AI115" s="348">
        <f>'7CM52F'!S42</f>
        <v>0</v>
      </c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458"/>
      <c r="AT115" s="219"/>
      <c r="AU115" s="219"/>
      <c r="AV115" s="219"/>
      <c r="AW115" s="219"/>
      <c r="AX115" s="219"/>
      <c r="AY115" s="219"/>
      <c r="AZ115" s="219"/>
      <c r="BA115" s="458"/>
      <c r="BB115" s="219"/>
      <c r="BC115" s="219"/>
      <c r="BD115" s="536">
        <f t="shared" si="47"/>
        <v>0</v>
      </c>
      <c r="BE115" s="210"/>
    </row>
    <row r="116" spans="2:57" x14ac:dyDescent="0.25">
      <c r="B116" s="220"/>
      <c r="C116" s="220"/>
      <c r="D116" s="220"/>
      <c r="E116" s="593"/>
      <c r="F116" s="194"/>
      <c r="G116" s="216"/>
      <c r="H116" s="765"/>
      <c r="I116" s="217"/>
      <c r="J116" s="218"/>
      <c r="K116" s="218"/>
      <c r="L116" s="214">
        <f t="shared" si="52"/>
        <v>0</v>
      </c>
      <c r="M116" s="789">
        <f t="shared" si="53"/>
        <v>0</v>
      </c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458"/>
      <c r="AT116" s="219"/>
      <c r="AU116" s="219"/>
      <c r="AV116" s="219"/>
      <c r="AW116" s="219"/>
      <c r="AX116" s="219"/>
      <c r="AY116" s="219"/>
      <c r="AZ116" s="219"/>
      <c r="BA116" s="458"/>
      <c r="BB116" s="219"/>
      <c r="BC116" s="219"/>
      <c r="BD116" s="536">
        <f t="shared" si="47"/>
        <v>0</v>
      </c>
      <c r="BE116" s="210"/>
    </row>
    <row r="117" spans="2:57" x14ac:dyDescent="0.25">
      <c r="B117" s="220" t="str">
        <f>Cen!A360</f>
        <v>Sada kování vnitřní zásuvky M, Orion šedá</v>
      </c>
      <c r="C117" s="220" t="str">
        <f>Cen!B360</f>
        <v>ZI7.0MS0</v>
      </c>
      <c r="D117" s="220" t="str">
        <f>Cen!C360</f>
        <v>OG-M</v>
      </c>
      <c r="E117" s="593">
        <f>Cen!D360</f>
        <v>0</v>
      </c>
      <c r="F117" s="194">
        <f t="shared" si="50"/>
        <v>0</v>
      </c>
      <c r="G117" s="216">
        <f>Cen!F360</f>
        <v>413.54563999999999</v>
      </c>
      <c r="H117" s="765">
        <f t="shared" si="51"/>
        <v>0</v>
      </c>
      <c r="I117" s="228"/>
      <c r="J117" s="218">
        <f>Cen!I360</f>
        <v>5156741</v>
      </c>
      <c r="K117" s="218">
        <f>Cen!J360</f>
        <v>227571</v>
      </c>
      <c r="L117" s="214">
        <f t="shared" si="52"/>
        <v>0</v>
      </c>
      <c r="M117" s="789">
        <f t="shared" si="53"/>
        <v>0</v>
      </c>
      <c r="N117" s="219"/>
      <c r="O117" s="219"/>
      <c r="P117" s="348">
        <f>'7M40VP'!S65</f>
        <v>0</v>
      </c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348">
        <f>'7STMGP'!S67</f>
        <v>0</v>
      </c>
      <c r="AP117" s="348">
        <f>'7STMGF'!S67</f>
        <v>0</v>
      </c>
      <c r="AQ117" s="348">
        <f>'7STMRP'!S67</f>
        <v>0</v>
      </c>
      <c r="AR117" s="348">
        <f>'7STMRF'!S67</f>
        <v>0</v>
      </c>
      <c r="AS117" s="458"/>
      <c r="AT117" s="219"/>
      <c r="AU117" s="219"/>
      <c r="AV117" s="219"/>
      <c r="AW117" s="219"/>
      <c r="AX117" s="219"/>
      <c r="AY117" s="219"/>
      <c r="AZ117" s="219"/>
      <c r="BA117" s="458"/>
      <c r="BB117" s="219"/>
      <c r="BC117" s="219"/>
      <c r="BD117" s="536">
        <f t="shared" si="47"/>
        <v>0</v>
      </c>
      <c r="BE117" s="210"/>
    </row>
    <row r="118" spans="2:57" x14ac:dyDescent="0.25">
      <c r="B118" s="220" t="str">
        <f>Cen!A369</f>
        <v>Sada kování vnitř.výs. C, se zás.prvkem, Orion šedá</v>
      </c>
      <c r="C118" s="220" t="str">
        <f>Cen!B369</f>
        <v>ZI7.2CS0</v>
      </c>
      <c r="D118" s="220" t="str">
        <f>Cen!C369</f>
        <v>OG-M</v>
      </c>
      <c r="E118" s="593">
        <f>Cen!D369</f>
        <v>0</v>
      </c>
      <c r="F118" s="194">
        <f t="shared" si="50"/>
        <v>0</v>
      </c>
      <c r="G118" s="216">
        <f>Cen!F369</f>
        <v>585.05386999999996</v>
      </c>
      <c r="H118" s="765">
        <f t="shared" si="51"/>
        <v>0</v>
      </c>
      <c r="I118" s="228"/>
      <c r="J118" s="218">
        <f>Cen!I369</f>
        <v>4529568</v>
      </c>
      <c r="K118" s="218">
        <f>Cen!J369</f>
        <v>227575</v>
      </c>
      <c r="L118" s="214">
        <f t="shared" si="52"/>
        <v>0</v>
      </c>
      <c r="M118" s="789">
        <f t="shared" si="53"/>
        <v>0</v>
      </c>
      <c r="N118" s="219"/>
      <c r="O118" s="219"/>
      <c r="P118" s="219"/>
      <c r="Q118" s="219"/>
      <c r="R118" s="219"/>
      <c r="S118" s="219"/>
      <c r="T118" s="348">
        <f>'7C41VP'!S65</f>
        <v>0</v>
      </c>
      <c r="U118" s="348">
        <f>'7C41VF'!S65</f>
        <v>0</v>
      </c>
      <c r="V118" s="348">
        <f>'7C41NP'!S65</f>
        <v>0</v>
      </c>
      <c r="W118" s="348">
        <f>'7C41NF'!S65</f>
        <v>0</v>
      </c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348">
        <f>'7STCGP'!S65</f>
        <v>0</v>
      </c>
      <c r="AL118" s="348">
        <f>'7STCGF'!S64</f>
        <v>0</v>
      </c>
      <c r="AM118" s="219"/>
      <c r="AN118" s="219"/>
      <c r="AO118" s="348">
        <f>'7STMGP'!S66</f>
        <v>0</v>
      </c>
      <c r="AP118" s="348">
        <f>'7STMGF'!S66</f>
        <v>0</v>
      </c>
      <c r="AQ118" s="219"/>
      <c r="AR118" s="219"/>
      <c r="AS118" s="458"/>
      <c r="AT118" s="219"/>
      <c r="AU118" s="219"/>
      <c r="AV118" s="219"/>
      <c r="AW118" s="219"/>
      <c r="AX118" s="219"/>
      <c r="AY118" s="219"/>
      <c r="AZ118" s="219"/>
      <c r="BA118" s="458"/>
      <c r="BB118" s="219"/>
      <c r="BC118" s="219"/>
      <c r="BD118" s="536">
        <f t="shared" si="47"/>
        <v>0</v>
      </c>
      <c r="BE118" s="210"/>
    </row>
    <row r="119" spans="2:57" x14ac:dyDescent="0.25">
      <c r="B119" s="220" t="str">
        <f>Cen!A374</f>
        <v>Sada kování vnitř.výs. C, s relingem, Orion šedá</v>
      </c>
      <c r="C119" s="220" t="str">
        <f>Cen!B374</f>
        <v>ZI7.3CS0</v>
      </c>
      <c r="D119" s="220" t="str">
        <f>Cen!C374</f>
        <v>OG-M</v>
      </c>
      <c r="E119" s="593">
        <f>Cen!D374</f>
        <v>0</v>
      </c>
      <c r="F119" s="194">
        <f t="shared" si="50"/>
        <v>0</v>
      </c>
      <c r="G119" s="216">
        <f>Cen!F374</f>
        <v>547.28877999999997</v>
      </c>
      <c r="H119" s="765">
        <f t="shared" si="51"/>
        <v>0</v>
      </c>
      <c r="I119" s="228"/>
      <c r="J119" s="218">
        <f>Cen!I374</f>
        <v>3868654</v>
      </c>
      <c r="K119" s="218">
        <f>Cen!J374</f>
        <v>236547</v>
      </c>
      <c r="L119" s="214">
        <f t="shared" si="52"/>
        <v>0</v>
      </c>
      <c r="M119" s="789">
        <f t="shared" si="53"/>
        <v>0</v>
      </c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348">
        <f>'7C41RP'!S65</f>
        <v>0</v>
      </c>
      <c r="Y119" s="348">
        <f>'7C41RF'!S65</f>
        <v>0</v>
      </c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348">
        <f>'7STCRP'!S65</f>
        <v>0</v>
      </c>
      <c r="AN119" s="348">
        <f>'7STCRF'!S65</f>
        <v>0</v>
      </c>
      <c r="AO119" s="219"/>
      <c r="AP119" s="219"/>
      <c r="AQ119" s="348">
        <f>'7STMRP'!S66</f>
        <v>0</v>
      </c>
      <c r="AR119" s="348">
        <f>'7STMRF'!S66</f>
        <v>0</v>
      </c>
      <c r="AS119" s="458"/>
      <c r="AT119" s="219"/>
      <c r="AU119" s="219"/>
      <c r="AV119" s="219"/>
      <c r="AW119" s="219"/>
      <c r="AX119" s="219"/>
      <c r="AY119" s="219"/>
      <c r="AZ119" s="219"/>
      <c r="BA119" s="458"/>
      <c r="BB119" s="219"/>
      <c r="BC119" s="219"/>
      <c r="BD119" s="536">
        <f t="shared" si="47"/>
        <v>0</v>
      </c>
      <c r="BE119" s="210"/>
    </row>
    <row r="120" spans="2:57" x14ac:dyDescent="0.25">
      <c r="B120" s="220" t="str">
        <f>Cen!A384</f>
        <v>Přední díl vnitřní zásuvky, s drážkou, Orion šedá</v>
      </c>
      <c r="C120" s="220" t="str">
        <f>Cen!B384</f>
        <v>ZV7.1043MN1</v>
      </c>
      <c r="D120" s="220" t="str">
        <f>Cen!C384</f>
        <v>OG-M</v>
      </c>
      <c r="E120" s="593">
        <f>Cen!D384</f>
        <v>0</v>
      </c>
      <c r="F120" s="194">
        <f t="shared" si="50"/>
        <v>0</v>
      </c>
      <c r="G120" s="216">
        <f>Cen!F384</f>
        <v>446.52434</v>
      </c>
      <c r="H120" s="765">
        <f t="shared" si="51"/>
        <v>0</v>
      </c>
      <c r="I120" s="228"/>
      <c r="J120" s="218">
        <f>Cen!I384</f>
        <v>1302013</v>
      </c>
      <c r="K120" s="218">
        <f>Cen!J384</f>
        <v>227583</v>
      </c>
      <c r="L120" s="214">
        <f t="shared" si="52"/>
        <v>0</v>
      </c>
      <c r="M120" s="789">
        <f t="shared" si="53"/>
        <v>0</v>
      </c>
      <c r="N120" s="219"/>
      <c r="O120" s="219"/>
      <c r="P120" s="219"/>
      <c r="Q120" s="219"/>
      <c r="R120" s="219"/>
      <c r="S120" s="219"/>
      <c r="T120" s="348">
        <f>'7C41VP'!S67</f>
        <v>0</v>
      </c>
      <c r="U120" s="348">
        <f>'7C41VF'!S67</f>
        <v>0</v>
      </c>
      <c r="V120" s="348">
        <f>'7C41NP'!S67</f>
        <v>0</v>
      </c>
      <c r="W120" s="348">
        <f>'7C41NF'!S67</f>
        <v>0</v>
      </c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348">
        <f>'7STCGP'!S67</f>
        <v>0</v>
      </c>
      <c r="AL120" s="348">
        <f>'7STCGF'!S67</f>
        <v>0</v>
      </c>
      <c r="AM120" s="219"/>
      <c r="AN120" s="219"/>
      <c r="AO120" s="348">
        <f>'7STMGP'!S68</f>
        <v>0</v>
      </c>
      <c r="AP120" s="348">
        <f>'7STMGF'!S68</f>
        <v>0</v>
      </c>
      <c r="AQ120" s="219"/>
      <c r="AR120" s="219"/>
      <c r="AS120" s="458"/>
      <c r="AT120" s="219"/>
      <c r="AU120" s="219"/>
      <c r="AV120" s="219"/>
      <c r="AW120" s="219"/>
      <c r="AX120" s="219"/>
      <c r="AY120" s="219"/>
      <c r="AZ120" s="219"/>
      <c r="BA120" s="458"/>
      <c r="BB120" s="219"/>
      <c r="BC120" s="219"/>
      <c r="BD120" s="536">
        <f t="shared" si="47"/>
        <v>0</v>
      </c>
      <c r="BE120" s="210"/>
    </row>
    <row r="121" spans="2:57" x14ac:dyDescent="0.25">
      <c r="B121" s="220" t="str">
        <f>Cen!A389</f>
        <v>Přední díl vnitřní zásuvky, bez drážky, Orion šedá</v>
      </c>
      <c r="C121" s="220" t="str">
        <f>Cen!B389</f>
        <v>ZV7.1043C01</v>
      </c>
      <c r="D121" s="220" t="str">
        <f>Cen!C389</f>
        <v>OG-M</v>
      </c>
      <c r="E121" s="593">
        <f>Cen!D389</f>
        <v>0</v>
      </c>
      <c r="F121" s="194">
        <f t="shared" si="50"/>
        <v>0</v>
      </c>
      <c r="G121" s="216">
        <f>Cen!F389</f>
        <v>467.12466999999998</v>
      </c>
      <c r="H121" s="765">
        <f>M121</f>
        <v>0</v>
      </c>
      <c r="I121" s="228"/>
      <c r="J121" s="218">
        <f>Cen!I389</f>
        <v>5897587</v>
      </c>
      <c r="K121" s="218">
        <f>Cen!J389</f>
        <v>227579</v>
      </c>
      <c r="L121" s="214">
        <f t="shared" ref="L121:L145" si="54">IF(I121="x",0,IF(I121&gt;0,I121,F121))</f>
        <v>0</v>
      </c>
      <c r="M121" s="789">
        <f t="shared" ref="M121:M145" si="55">PRODUCT(L121,G121)</f>
        <v>0</v>
      </c>
      <c r="N121" s="219"/>
      <c r="O121" s="219"/>
      <c r="P121" s="348">
        <f>'7M40VP'!S67</f>
        <v>0</v>
      </c>
      <c r="Q121" s="219"/>
      <c r="R121" s="219"/>
      <c r="S121" s="219"/>
      <c r="T121" s="219"/>
      <c r="U121" s="219"/>
      <c r="V121" s="219"/>
      <c r="W121" s="219"/>
      <c r="X121" s="348">
        <f>'7C41RP'!S67</f>
        <v>0</v>
      </c>
      <c r="Y121" s="348">
        <f>'7C41RF'!S67</f>
        <v>0</v>
      </c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348">
        <f>'7STCRP'!S67</f>
        <v>0</v>
      </c>
      <c r="AN121" s="348">
        <f>'7STCRF'!S67</f>
        <v>0</v>
      </c>
      <c r="AO121" s="348">
        <f>'7STMGP'!S69</f>
        <v>0</v>
      </c>
      <c r="AP121" s="348">
        <f>'7STMGF'!S69</f>
        <v>0</v>
      </c>
      <c r="AQ121" s="348">
        <f>'7STMRP'!S68</f>
        <v>0</v>
      </c>
      <c r="AR121" s="348">
        <f>'7STMRF'!S68</f>
        <v>0</v>
      </c>
      <c r="AS121" s="458"/>
      <c r="AT121" s="219"/>
      <c r="AU121" s="219"/>
      <c r="AV121" s="219"/>
      <c r="AW121" s="219"/>
      <c r="AX121" s="219"/>
      <c r="AY121" s="219"/>
      <c r="AZ121" s="219"/>
      <c r="BA121" s="458"/>
      <c r="BB121" s="219"/>
      <c r="BC121" s="219"/>
      <c r="BD121" s="536">
        <f t="shared" si="47"/>
        <v>0</v>
      </c>
      <c r="BE121" s="210"/>
    </row>
    <row r="122" spans="2:57" x14ac:dyDescent="0.25">
      <c r="B122" s="220" t="str">
        <f>Cen!A419</f>
        <v>Příčný reling vnitřní zásuvky, Orion šedá</v>
      </c>
      <c r="C122" s="220" t="str">
        <f>Cen!B419</f>
        <v>ZR7.1080U</v>
      </c>
      <c r="D122" s="220" t="str">
        <f>Cen!C419</f>
        <v>OG-M</v>
      </c>
      <c r="E122" s="593">
        <f>Cen!D419</f>
        <v>0</v>
      </c>
      <c r="F122" s="194">
        <f t="shared" si="50"/>
        <v>0</v>
      </c>
      <c r="G122" s="216">
        <f>Cen!F419</f>
        <v>199.21817999999999</v>
      </c>
      <c r="H122" s="765">
        <f>M122</f>
        <v>0</v>
      </c>
      <c r="I122" s="228"/>
      <c r="J122" s="218">
        <f>Cen!I419</f>
        <v>3359148</v>
      </c>
      <c r="K122" s="218">
        <f>Cen!J419</f>
        <v>227597</v>
      </c>
      <c r="L122" s="214">
        <f t="shared" si="54"/>
        <v>0</v>
      </c>
      <c r="M122" s="789">
        <f t="shared" si="55"/>
        <v>0</v>
      </c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348">
        <f>'7C41RP'!S68</f>
        <v>0</v>
      </c>
      <c r="Y122" s="348">
        <f>'7C41RF'!S68</f>
        <v>0</v>
      </c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348">
        <f>'7STCRP'!S68</f>
        <v>0</v>
      </c>
      <c r="AN122" s="348">
        <f>'7STCRF'!S68</f>
        <v>0</v>
      </c>
      <c r="AO122" s="219"/>
      <c r="AP122" s="219"/>
      <c r="AQ122" s="348">
        <f>'7STMRP'!S69</f>
        <v>0</v>
      </c>
      <c r="AR122" s="348">
        <f>'7STMRF'!S69</f>
        <v>0</v>
      </c>
      <c r="AS122" s="458"/>
      <c r="AT122" s="219"/>
      <c r="AU122" s="219"/>
      <c r="AV122" s="219"/>
      <c r="AW122" s="219"/>
      <c r="AX122" s="219"/>
      <c r="AY122" s="348">
        <f>ALrel!R3</f>
        <v>0</v>
      </c>
      <c r="AZ122" s="219"/>
      <c r="BA122" s="458"/>
      <c r="BB122" s="219"/>
      <c r="BC122" s="219"/>
      <c r="BD122" s="536">
        <f t="shared" si="47"/>
        <v>0</v>
      </c>
      <c r="BE122" s="210"/>
    </row>
    <row r="123" spans="2:57" x14ac:dyDescent="0.25">
      <c r="B123" s="220" t="str">
        <f>Cen!A398</f>
        <v>Unašeč pro vnirřní zásuvku M, Orion šedá</v>
      </c>
      <c r="C123" s="220" t="str">
        <f>Cen!B398</f>
        <v>ZI7.0M07</v>
      </c>
      <c r="D123" s="220" t="str">
        <f>Cen!C398</f>
        <v>OG-M</v>
      </c>
      <c r="E123" s="593">
        <f>Cen!D398</f>
        <v>0</v>
      </c>
      <c r="F123" s="194">
        <f t="shared" si="50"/>
        <v>0</v>
      </c>
      <c r="G123" s="216">
        <f>Cen!F398</f>
        <v>172.86022</v>
      </c>
      <c r="H123" s="765">
        <f>M123</f>
        <v>0</v>
      </c>
      <c r="I123" s="228"/>
      <c r="J123" s="218">
        <f>Cen!I398</f>
        <v>5209105</v>
      </c>
      <c r="K123" s="218">
        <f>Cen!J398</f>
        <v>227604</v>
      </c>
      <c r="L123" s="214">
        <f>IF(I123="x",0,IF(I123&gt;0,I123,F123))</f>
        <v>0</v>
      </c>
      <c r="M123" s="789">
        <f>PRODUCT(L123,G123)</f>
        <v>0</v>
      </c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348">
        <f>'7STCRP'!S69</f>
        <v>0</v>
      </c>
      <c r="AN123" s="348"/>
      <c r="AO123" s="219"/>
      <c r="AP123" s="219"/>
      <c r="AQ123" s="348">
        <f>'7STMRP'!S70</f>
        <v>0</v>
      </c>
      <c r="AR123" s="348"/>
      <c r="AS123" s="458"/>
      <c r="AT123" s="219"/>
      <c r="AU123" s="219"/>
      <c r="AV123" s="219"/>
      <c r="AW123" s="219"/>
      <c r="AX123" s="219"/>
      <c r="AZ123" s="219"/>
      <c r="BA123" s="458"/>
      <c r="BB123" s="348">
        <f>Acs!E10</f>
        <v>0</v>
      </c>
      <c r="BC123" s="219"/>
      <c r="BD123" s="536">
        <f t="shared" si="47"/>
        <v>0</v>
      </c>
      <c r="BE123" s="210"/>
    </row>
    <row r="124" spans="2:57" x14ac:dyDescent="0.25">
      <c r="B124" s="220"/>
      <c r="C124" s="220"/>
      <c r="D124" s="220"/>
      <c r="E124" s="593"/>
      <c r="F124" s="194"/>
      <c r="G124" s="216"/>
      <c r="H124" s="765"/>
      <c r="I124" s="217"/>
      <c r="J124" s="218"/>
      <c r="K124" s="218"/>
      <c r="L124" s="214">
        <f t="shared" si="54"/>
        <v>0</v>
      </c>
      <c r="M124" s="789">
        <f t="shared" si="55"/>
        <v>0</v>
      </c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458"/>
      <c r="AT124" s="219"/>
      <c r="AU124" s="219"/>
      <c r="AV124" s="219"/>
      <c r="AW124" s="219"/>
      <c r="AX124" s="219"/>
      <c r="AZ124" s="219"/>
      <c r="BA124" s="458"/>
      <c r="BB124" s="219"/>
      <c r="BC124" s="219"/>
      <c r="BD124" s="536">
        <f t="shared" si="47"/>
        <v>0</v>
      </c>
      <c r="BE124" s="210"/>
    </row>
    <row r="125" spans="2:57" x14ac:dyDescent="0.25">
      <c r="B125" s="220" t="str">
        <f>Cen!A403</f>
        <v>Přední zásuvný prvek vysoký, sklo, KB 450mm</v>
      </c>
      <c r="C125" s="220" t="str">
        <f>Cen!B403</f>
        <v>ZE7W332G</v>
      </c>
      <c r="D125" s="220" t="str">
        <f>Cen!C403</f>
        <v>KLA</v>
      </c>
      <c r="E125" s="593">
        <f>Cen!D403</f>
        <v>0</v>
      </c>
      <c r="F125" s="194">
        <f t="shared" si="50"/>
        <v>0</v>
      </c>
      <c r="G125" s="216">
        <f>Cen!F403</f>
        <v>389.35672</v>
      </c>
      <c r="H125" s="765">
        <f t="shared" ref="H125:H132" si="56">M125</f>
        <v>0</v>
      </c>
      <c r="I125" s="228"/>
      <c r="J125" s="218">
        <f>Cen!I403</f>
        <v>6831132</v>
      </c>
      <c r="K125" s="218">
        <f>Cen!J403</f>
        <v>227587</v>
      </c>
      <c r="L125" s="214">
        <f t="shared" si="54"/>
        <v>0</v>
      </c>
      <c r="M125" s="789">
        <f t="shared" si="55"/>
        <v>0</v>
      </c>
      <c r="N125" s="219"/>
      <c r="O125" s="219"/>
      <c r="P125" s="219"/>
      <c r="Q125" s="219"/>
      <c r="R125" s="219"/>
      <c r="S125" s="219"/>
      <c r="T125" s="348">
        <f>'7C41VP'!S69</f>
        <v>0</v>
      </c>
      <c r="U125" s="348">
        <f>'7C41VF'!S69</f>
        <v>0</v>
      </c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348">
        <f>'7STCGP'!S69</f>
        <v>0</v>
      </c>
      <c r="AL125" s="348">
        <f>'7STCGF'!S69</f>
        <v>0</v>
      </c>
      <c r="AM125" s="219"/>
      <c r="AN125" s="219"/>
      <c r="AO125" s="348">
        <f>'7STMGP'!S70</f>
        <v>0</v>
      </c>
      <c r="AP125" s="348">
        <f>'7STMGF'!S70</f>
        <v>0</v>
      </c>
      <c r="AQ125" s="219"/>
      <c r="AR125" s="219"/>
      <c r="AS125" s="458"/>
      <c r="AT125" s="219"/>
      <c r="AU125" s="219"/>
      <c r="AV125" s="219"/>
      <c r="AW125" s="219"/>
      <c r="AX125" s="219"/>
      <c r="AY125" s="219"/>
      <c r="AZ125" s="219"/>
      <c r="BA125" s="458"/>
      <c r="BB125" s="219"/>
      <c r="BC125" s="219"/>
      <c r="BD125" s="536">
        <f t="shared" si="47"/>
        <v>0</v>
      </c>
      <c r="BE125" s="210"/>
    </row>
    <row r="126" spans="2:57" x14ac:dyDescent="0.25">
      <c r="B126" s="220" t="str">
        <f>Cen!A404</f>
        <v>Přední zásuvný prvek vysoký, sklo, KB 600mm</v>
      </c>
      <c r="C126" s="220" t="str">
        <f>Cen!B404</f>
        <v>ZE7W482G</v>
      </c>
      <c r="D126" s="220" t="str">
        <f>Cen!C404</f>
        <v>KLA</v>
      </c>
      <c r="E126" s="593">
        <f>Cen!D404</f>
        <v>0</v>
      </c>
      <c r="F126" s="194">
        <f t="shared" si="50"/>
        <v>0</v>
      </c>
      <c r="G126" s="216">
        <f>Cen!F404</f>
        <v>442.47012999999998</v>
      </c>
      <c r="H126" s="765">
        <f t="shared" si="56"/>
        <v>0</v>
      </c>
      <c r="I126" s="228"/>
      <c r="J126" s="218">
        <f>Cen!I404</f>
        <v>4562065</v>
      </c>
      <c r="K126" s="218">
        <f>Cen!J404</f>
        <v>227588</v>
      </c>
      <c r="L126" s="214">
        <f t="shared" si="54"/>
        <v>0</v>
      </c>
      <c r="M126" s="789">
        <f t="shared" si="55"/>
        <v>0</v>
      </c>
      <c r="N126" s="219"/>
      <c r="O126" s="219"/>
      <c r="P126" s="219"/>
      <c r="Q126" s="219"/>
      <c r="R126" s="219"/>
      <c r="S126" s="219"/>
      <c r="T126" s="348">
        <f>'7C41VP'!S70</f>
        <v>0</v>
      </c>
      <c r="U126" s="348">
        <f>'7C41VF'!S70</f>
        <v>0</v>
      </c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709">
        <f>'7STCGP'!S70</f>
        <v>0</v>
      </c>
      <c r="AL126" s="348">
        <f>'7STCGF'!S70</f>
        <v>0</v>
      </c>
      <c r="AM126" s="219"/>
      <c r="AN126" s="219"/>
      <c r="AO126" s="348">
        <f>'7STMGP'!S71</f>
        <v>0</v>
      </c>
      <c r="AP126" s="348">
        <f>'7STMGF'!S71</f>
        <v>0</v>
      </c>
      <c r="AQ126" s="219"/>
      <c r="AR126" s="219"/>
      <c r="AS126" s="458"/>
      <c r="AT126" s="219"/>
      <c r="AU126" s="219"/>
      <c r="AV126" s="219"/>
      <c r="AW126" s="219"/>
      <c r="AX126" s="219"/>
      <c r="AY126" s="219"/>
      <c r="AZ126" s="219"/>
      <c r="BA126" s="458"/>
      <c r="BB126" s="219"/>
      <c r="BC126" s="219"/>
      <c r="BD126" s="536">
        <f t="shared" si="47"/>
        <v>0</v>
      </c>
      <c r="BE126" s="210"/>
    </row>
    <row r="127" spans="2:57" x14ac:dyDescent="0.25">
      <c r="B127" s="220" t="str">
        <f>Cen!A405</f>
        <v>Přední zásuvný prvek vysoký, sklo, KB 900mm</v>
      </c>
      <c r="C127" s="220" t="str">
        <f>Cen!B405</f>
        <v>ZE7W782G</v>
      </c>
      <c r="D127" s="220" t="str">
        <f>Cen!C405</f>
        <v>KLA</v>
      </c>
      <c r="E127" s="593" t="str">
        <f>Cen!D405</f>
        <v>!</v>
      </c>
      <c r="F127" s="194">
        <f t="shared" si="50"/>
        <v>0</v>
      </c>
      <c r="G127" s="216">
        <f>Cen!F405</f>
        <v>737.45001999999988</v>
      </c>
      <c r="H127" s="765">
        <f t="shared" si="56"/>
        <v>0</v>
      </c>
      <c r="I127" s="228"/>
      <c r="J127" s="218">
        <f>Cen!I405</f>
        <v>8741762</v>
      </c>
      <c r="K127" s="218">
        <f>Cen!J405</f>
        <v>227589</v>
      </c>
      <c r="L127" s="214">
        <f t="shared" si="54"/>
        <v>0</v>
      </c>
      <c r="M127" s="789">
        <f t="shared" si="55"/>
        <v>0</v>
      </c>
      <c r="N127" s="219"/>
      <c r="O127" s="219"/>
      <c r="P127" s="219"/>
      <c r="Q127" s="219"/>
      <c r="R127" s="219"/>
      <c r="S127" s="219"/>
      <c r="T127" s="348">
        <f>'7C41VP'!S71</f>
        <v>0</v>
      </c>
      <c r="U127" s="348">
        <f>'7C41VF'!S71</f>
        <v>0</v>
      </c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458"/>
      <c r="AT127" s="219"/>
      <c r="AU127" s="219"/>
      <c r="AV127" s="219"/>
      <c r="AW127" s="219"/>
      <c r="AX127" s="219"/>
      <c r="AY127" s="219"/>
      <c r="AZ127" s="219"/>
      <c r="BA127" s="458"/>
      <c r="BB127" s="219"/>
      <c r="BC127" s="219"/>
      <c r="BD127" s="536">
        <f t="shared" si="47"/>
        <v>0</v>
      </c>
      <c r="BE127" s="210"/>
    </row>
    <row r="128" spans="2:57" x14ac:dyDescent="0.25">
      <c r="B128" s="220" t="str">
        <f>Cen!A406</f>
        <v>Přední zásuvný prvek vysoký, sklo, KB 1200mm</v>
      </c>
      <c r="C128" s="220" t="str">
        <f>Cen!B406</f>
        <v>ZE7W1082G</v>
      </c>
      <c r="D128" s="220" t="str">
        <f>Cen!C406</f>
        <v>KLA</v>
      </c>
      <c r="E128" s="593" t="str">
        <f>Cen!D406</f>
        <v>!</v>
      </c>
      <c r="F128" s="194">
        <f t="shared" si="50"/>
        <v>0</v>
      </c>
      <c r="G128" s="216">
        <f>Cen!F406</f>
        <v>949.83555999999999</v>
      </c>
      <c r="H128" s="765">
        <f t="shared" si="56"/>
        <v>0</v>
      </c>
      <c r="I128" s="228"/>
      <c r="J128" s="218">
        <f>Cen!I406</f>
        <v>1039565</v>
      </c>
      <c r="K128" s="218">
        <f>Cen!J406</f>
        <v>227590</v>
      </c>
      <c r="L128" s="214">
        <f t="shared" si="54"/>
        <v>0</v>
      </c>
      <c r="M128" s="789">
        <f t="shared" si="55"/>
        <v>0</v>
      </c>
      <c r="N128" s="219"/>
      <c r="O128" s="219"/>
      <c r="P128" s="219"/>
      <c r="Q128" s="219"/>
      <c r="R128" s="219"/>
      <c r="S128" s="219"/>
      <c r="T128" s="348">
        <f>'7C41VP'!S72</f>
        <v>0</v>
      </c>
      <c r="U128" s="348">
        <f>'7C41VF'!S72</f>
        <v>0</v>
      </c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458"/>
      <c r="AT128" s="219"/>
      <c r="AU128" s="219"/>
      <c r="AV128" s="219"/>
      <c r="AW128" s="219"/>
      <c r="AX128" s="219"/>
      <c r="AY128" s="219"/>
      <c r="AZ128" s="219"/>
      <c r="BA128" s="458"/>
      <c r="BB128" s="219"/>
      <c r="BC128" s="219"/>
      <c r="BD128" s="536">
        <f t="shared" si="47"/>
        <v>0</v>
      </c>
      <c r="BE128" s="210"/>
    </row>
    <row r="129" spans="2:57" x14ac:dyDescent="0.25">
      <c r="B129" s="220" t="str">
        <f>Cen!A411</f>
        <v>Přední zásuvný prvek nízký, sklo, KB 450mm</v>
      </c>
      <c r="C129" s="220" t="str">
        <f>Cen!B411</f>
        <v>ZE7V332G</v>
      </c>
      <c r="D129" s="220" t="str">
        <f>Cen!C411</f>
        <v>KLA</v>
      </c>
      <c r="E129" s="593">
        <f>Cen!D411</f>
        <v>0</v>
      </c>
      <c r="F129" s="194">
        <f t="shared" si="50"/>
        <v>0</v>
      </c>
      <c r="G129" s="216">
        <f>Cen!F411</f>
        <v>241.88919000000001</v>
      </c>
      <c r="H129" s="765">
        <f t="shared" si="56"/>
        <v>0</v>
      </c>
      <c r="I129" s="228"/>
      <c r="J129" s="218">
        <f>Cen!I411</f>
        <v>9062400</v>
      </c>
      <c r="K129" s="218">
        <f>Cen!J411</f>
        <v>227591</v>
      </c>
      <c r="L129" s="214">
        <f t="shared" si="54"/>
        <v>0</v>
      </c>
      <c r="M129" s="789">
        <f t="shared" si="55"/>
        <v>0</v>
      </c>
      <c r="N129" s="219"/>
      <c r="O129" s="219"/>
      <c r="P129" s="219"/>
      <c r="Q129" s="219"/>
      <c r="R129" s="219"/>
      <c r="S129" s="219"/>
      <c r="T129" s="219"/>
      <c r="U129" s="219"/>
      <c r="V129" s="348">
        <f>'7C41NP'!S69</f>
        <v>0</v>
      </c>
      <c r="W129" s="348">
        <f>'7C41NF'!S69</f>
        <v>0</v>
      </c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348">
        <f>'7STCGP'!S74</f>
        <v>0</v>
      </c>
      <c r="AL129" s="348">
        <f>'7STCGF'!S74</f>
        <v>0</v>
      </c>
      <c r="AM129" s="219"/>
      <c r="AN129" s="219"/>
      <c r="AO129" s="348">
        <f>'7STMGP'!S75</f>
        <v>0</v>
      </c>
      <c r="AP129" s="348">
        <f>'7STMGF'!S75</f>
        <v>0</v>
      </c>
      <c r="AQ129" s="219"/>
      <c r="AR129" s="219"/>
      <c r="AS129" s="458"/>
      <c r="AT129" s="219"/>
      <c r="AU129" s="219"/>
      <c r="AV129" s="219"/>
      <c r="AW129" s="219"/>
      <c r="AX129" s="219"/>
      <c r="AY129" s="219"/>
      <c r="AZ129" s="219"/>
      <c r="BA129" s="458"/>
      <c r="BB129" s="219"/>
      <c r="BC129" s="219"/>
      <c r="BD129" s="536">
        <f t="shared" si="47"/>
        <v>0</v>
      </c>
      <c r="BE129" s="210"/>
    </row>
    <row r="130" spans="2:57" x14ac:dyDescent="0.25">
      <c r="B130" s="220" t="str">
        <f>Cen!A412</f>
        <v>Přední zásuvný prvek nízký, sklo, KB 600mm</v>
      </c>
      <c r="C130" s="220" t="str">
        <f>Cen!B412</f>
        <v>ZE7V482G</v>
      </c>
      <c r="D130" s="220" t="str">
        <f>Cen!C412</f>
        <v>KLA</v>
      </c>
      <c r="E130" s="593">
        <f>Cen!D412</f>
        <v>0</v>
      </c>
      <c r="F130" s="194">
        <f t="shared" si="50"/>
        <v>0</v>
      </c>
      <c r="G130" s="216">
        <f>Cen!F412</f>
        <v>277.28676999999999</v>
      </c>
      <c r="H130" s="765">
        <f t="shared" si="56"/>
        <v>0</v>
      </c>
      <c r="I130" s="228"/>
      <c r="J130" s="218">
        <f>Cen!I412</f>
        <v>7032427</v>
      </c>
      <c r="K130" s="218">
        <f>Cen!J412</f>
        <v>227592</v>
      </c>
      <c r="L130" s="214">
        <f t="shared" si="54"/>
        <v>0</v>
      </c>
      <c r="M130" s="789">
        <f t="shared" si="55"/>
        <v>0</v>
      </c>
      <c r="N130" s="219"/>
      <c r="O130" s="219"/>
      <c r="P130" s="219"/>
      <c r="Q130" s="219"/>
      <c r="R130" s="219"/>
      <c r="S130" s="219"/>
      <c r="T130" s="219"/>
      <c r="U130" s="219"/>
      <c r="V130" s="348">
        <f>'7C41NP'!S70</f>
        <v>0</v>
      </c>
      <c r="W130" s="348">
        <f>'7C41NF'!S70</f>
        <v>0</v>
      </c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709">
        <f>'7STCGP'!S75</f>
        <v>0</v>
      </c>
      <c r="AL130" s="348">
        <f>'7STCGF'!S75</f>
        <v>0</v>
      </c>
      <c r="AM130" s="219"/>
      <c r="AN130" s="219"/>
      <c r="AO130" s="348">
        <f>'7STMGP'!S76</f>
        <v>0</v>
      </c>
      <c r="AP130" s="348">
        <f>'7STMGF'!S76</f>
        <v>0</v>
      </c>
      <c r="AQ130" s="219"/>
      <c r="AR130" s="219"/>
      <c r="AS130" s="458"/>
      <c r="AT130" s="899" t="s">
        <v>742</v>
      </c>
      <c r="AU130" s="899" t="s">
        <v>743</v>
      </c>
      <c r="AV130" s="716"/>
      <c r="AW130" s="899" t="s">
        <v>744</v>
      </c>
      <c r="AX130" s="899" t="s">
        <v>745</v>
      </c>
      <c r="AY130" s="899" t="s">
        <v>919</v>
      </c>
      <c r="AZ130" s="899" t="s">
        <v>746</v>
      </c>
      <c r="BA130" s="458"/>
      <c r="BB130" s="219"/>
      <c r="BC130" s="219"/>
      <c r="BD130" s="536">
        <f t="shared" si="47"/>
        <v>0</v>
      </c>
      <c r="BE130" s="210"/>
    </row>
    <row r="131" spans="2:57" x14ac:dyDescent="0.25">
      <c r="B131" s="220" t="str">
        <f>Cen!A413</f>
        <v>Přední zásuvný prvek nízký, sklo, KB 900mm</v>
      </c>
      <c r="C131" s="220" t="str">
        <f>Cen!B413</f>
        <v>ZE7V782G</v>
      </c>
      <c r="D131" s="220" t="str">
        <f>Cen!C413</f>
        <v>KLA</v>
      </c>
      <c r="E131" s="593" t="str">
        <f>Cen!D413</f>
        <v>!</v>
      </c>
      <c r="F131" s="194">
        <f t="shared" si="50"/>
        <v>0</v>
      </c>
      <c r="G131" s="216">
        <f>Cen!F413</f>
        <v>489.67230000000001</v>
      </c>
      <c r="H131" s="765">
        <f t="shared" si="56"/>
        <v>0</v>
      </c>
      <c r="I131" s="228"/>
      <c r="J131" s="218">
        <f>Cen!I413</f>
        <v>7696491</v>
      </c>
      <c r="K131" s="218">
        <f>Cen!J413</f>
        <v>227593</v>
      </c>
      <c r="L131" s="214">
        <f t="shared" si="54"/>
        <v>0</v>
      </c>
      <c r="M131" s="789">
        <f t="shared" si="55"/>
        <v>0</v>
      </c>
      <c r="N131" s="219"/>
      <c r="O131" s="219"/>
      <c r="P131" s="219"/>
      <c r="Q131" s="219"/>
      <c r="R131" s="219"/>
      <c r="S131" s="219"/>
      <c r="T131" s="219"/>
      <c r="U131" s="219"/>
      <c r="V131" s="348">
        <f>'7C41NP'!S71</f>
        <v>0</v>
      </c>
      <c r="W131" s="348">
        <f>'7C41NF'!S71</f>
        <v>0</v>
      </c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458"/>
      <c r="AT131" s="899"/>
      <c r="AU131" s="899"/>
      <c r="AV131" s="716"/>
      <c r="AW131" s="899"/>
      <c r="AX131" s="899"/>
      <c r="AY131" s="899"/>
      <c r="AZ131" s="899"/>
      <c r="BA131" s="458"/>
      <c r="BB131" s="219"/>
      <c r="BC131" s="219"/>
      <c r="BD131" s="536">
        <f t="shared" si="47"/>
        <v>0</v>
      </c>
      <c r="BE131" s="210"/>
    </row>
    <row r="132" spans="2:57" x14ac:dyDescent="0.25">
      <c r="B132" s="220" t="str">
        <f>Cen!A414</f>
        <v>Přední zásuvný prvek nízký, sklo, KB 1200mm</v>
      </c>
      <c r="C132" s="220" t="str">
        <f>Cen!B414</f>
        <v>ZE7V1082G</v>
      </c>
      <c r="D132" s="220" t="str">
        <f>Cen!C414</f>
        <v>KLA</v>
      </c>
      <c r="E132" s="593" t="str">
        <f>Cen!D414</f>
        <v>!</v>
      </c>
      <c r="F132" s="194">
        <f t="shared" si="50"/>
        <v>0</v>
      </c>
      <c r="G132" s="216">
        <f>Cen!F414</f>
        <v>631.26264000000003</v>
      </c>
      <c r="H132" s="765">
        <f t="shared" si="56"/>
        <v>0</v>
      </c>
      <c r="I132" s="228"/>
      <c r="J132" s="218">
        <f>Cen!I414</f>
        <v>7710993</v>
      </c>
      <c r="K132" s="218">
        <f>Cen!J414</f>
        <v>227594</v>
      </c>
      <c r="L132" s="214">
        <f t="shared" si="54"/>
        <v>0</v>
      </c>
      <c r="M132" s="789">
        <f t="shared" si="55"/>
        <v>0</v>
      </c>
      <c r="N132" s="219"/>
      <c r="O132" s="219"/>
      <c r="P132" s="219"/>
      <c r="Q132" s="219"/>
      <c r="R132" s="219"/>
      <c r="S132" s="219"/>
      <c r="T132" s="219"/>
      <c r="U132" s="219"/>
      <c r="V132" s="348">
        <f>'7C41NP'!S72</f>
        <v>0</v>
      </c>
      <c r="W132" s="348">
        <f>'7C41NF'!S72</f>
        <v>0</v>
      </c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458"/>
      <c r="AT132" s="899"/>
      <c r="AU132" s="899"/>
      <c r="AV132" s="716"/>
      <c r="AW132" s="899"/>
      <c r="AX132" s="899"/>
      <c r="AY132" s="899"/>
      <c r="AZ132" s="899"/>
      <c r="BA132" s="458"/>
      <c r="BB132" s="219"/>
      <c r="BC132" s="219"/>
      <c r="BD132" s="536">
        <f t="shared" ref="BD132:BD172" si="57">IF(AND(E132&gt;0,F132&gt;0),1,0)</f>
        <v>0</v>
      </c>
      <c r="BE132" s="210"/>
    </row>
    <row r="133" spans="2:57" x14ac:dyDescent="0.25">
      <c r="B133" s="220"/>
      <c r="C133" s="220"/>
      <c r="D133" s="220"/>
      <c r="E133" s="593"/>
      <c r="F133" s="194"/>
      <c r="G133" s="216"/>
      <c r="H133" s="765"/>
      <c r="I133" s="217"/>
      <c r="J133" s="218"/>
      <c r="K133" s="218"/>
      <c r="L133" s="214">
        <f t="shared" si="54"/>
        <v>0</v>
      </c>
      <c r="M133" s="789">
        <f t="shared" si="55"/>
        <v>0</v>
      </c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458"/>
      <c r="AT133" s="219"/>
      <c r="AU133" s="219"/>
      <c r="AV133" s="219"/>
      <c r="AW133" s="219"/>
      <c r="AX133" s="219"/>
      <c r="AY133" s="219"/>
      <c r="AZ133" s="219"/>
      <c r="BA133" s="458"/>
      <c r="BB133" s="219"/>
      <c r="BC133" s="219"/>
      <c r="BD133" s="536">
        <f t="shared" si="57"/>
        <v>0</v>
      </c>
      <c r="BE133" s="210"/>
    </row>
    <row r="134" spans="2:57" x14ac:dyDescent="0.25">
      <c r="B134" s="220" t="str">
        <f>Cen!A427</f>
        <v>Příborník, 450mm, Orion šedá</v>
      </c>
      <c r="C134" s="220" t="str">
        <f>Cen!B427</f>
        <v>ZC7S450BS3</v>
      </c>
      <c r="D134" s="220" t="str">
        <f>Cen!C427</f>
        <v>OG-M</v>
      </c>
      <c r="E134" s="593">
        <f>Cen!D427</f>
        <v>0</v>
      </c>
      <c r="F134" s="194">
        <f t="shared" si="50"/>
        <v>0</v>
      </c>
      <c r="G134" s="216">
        <f>Cen!F427</f>
        <v>2198.2389899999998</v>
      </c>
      <c r="H134" s="765">
        <f t="shared" ref="H134:H145" si="58">M134</f>
        <v>0</v>
      </c>
      <c r="I134" s="228"/>
      <c r="J134" s="218">
        <f>Cen!I427</f>
        <v>9653503</v>
      </c>
      <c r="K134" s="218">
        <f>Cen!J427</f>
        <v>227614</v>
      </c>
      <c r="L134" s="214">
        <f t="shared" si="54"/>
        <v>0</v>
      </c>
      <c r="M134" s="789">
        <f t="shared" si="55"/>
        <v>0</v>
      </c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458"/>
      <c r="AT134" s="348">
        <f>ALds!S3</f>
        <v>0</v>
      </c>
      <c r="AU134" s="219"/>
      <c r="AV134" s="219"/>
      <c r="AW134" s="219"/>
      <c r="AX134" s="219"/>
      <c r="AY134" s="219"/>
      <c r="AZ134" s="219"/>
      <c r="BA134" s="458"/>
      <c r="BB134" s="219"/>
      <c r="BC134" s="219"/>
      <c r="BD134" s="536">
        <f t="shared" si="57"/>
        <v>0</v>
      </c>
      <c r="BE134" s="210"/>
    </row>
    <row r="135" spans="2:57" x14ac:dyDescent="0.25">
      <c r="B135" s="220" t="str">
        <f>Cen!A430</f>
        <v>Příborník, 500mm, Orion šedá</v>
      </c>
      <c r="C135" s="220" t="str">
        <f>Cen!B430</f>
        <v>ZC7S500BS3</v>
      </c>
      <c r="D135" s="220" t="str">
        <f>Cen!C430</f>
        <v>OG-M</v>
      </c>
      <c r="E135" s="593">
        <f>Cen!D430</f>
        <v>0</v>
      </c>
      <c r="F135" s="194">
        <f t="shared" si="50"/>
        <v>0</v>
      </c>
      <c r="G135" s="216">
        <f>Cen!F430</f>
        <v>2266.93325</v>
      </c>
      <c r="H135" s="765">
        <f t="shared" si="58"/>
        <v>0</v>
      </c>
      <c r="I135" s="228"/>
      <c r="J135" s="218">
        <f>Cen!I430</f>
        <v>4497947</v>
      </c>
      <c r="K135" s="218">
        <f>Cen!J430</f>
        <v>227617</v>
      </c>
      <c r="L135" s="214">
        <f t="shared" si="54"/>
        <v>0</v>
      </c>
      <c r="M135" s="789">
        <f t="shared" si="55"/>
        <v>0</v>
      </c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458"/>
      <c r="AT135" s="348">
        <f>ALds!S4</f>
        <v>0</v>
      </c>
      <c r="AU135" s="219"/>
      <c r="AV135" s="219"/>
      <c r="AW135" s="219"/>
      <c r="AX135" s="219"/>
      <c r="AY135" s="219"/>
      <c r="AZ135" s="219"/>
      <c r="BA135" s="458"/>
      <c r="BB135" s="219"/>
      <c r="BC135" s="219"/>
      <c r="BD135" s="536">
        <f t="shared" si="57"/>
        <v>0</v>
      </c>
      <c r="BE135" s="210"/>
    </row>
    <row r="136" spans="2:57" x14ac:dyDescent="0.25">
      <c r="B136" s="220" t="str">
        <f>Cen!A433</f>
        <v>Příborník, 550mm, Orion šedá</v>
      </c>
      <c r="C136" s="220" t="str">
        <f>Cen!B433</f>
        <v>ZC7S550BS3</v>
      </c>
      <c r="D136" s="220" t="str">
        <f>Cen!C433</f>
        <v>OG-M</v>
      </c>
      <c r="E136" s="593">
        <f>Cen!D433</f>
        <v>0</v>
      </c>
      <c r="F136" s="194">
        <f t="shared" si="50"/>
        <v>0</v>
      </c>
      <c r="G136" s="216">
        <f>Cen!F433</f>
        <v>3355.7471999999998</v>
      </c>
      <c r="H136" s="765">
        <f t="shared" si="58"/>
        <v>0</v>
      </c>
      <c r="I136" s="228"/>
      <c r="J136" s="218">
        <f>Cen!I433</f>
        <v>5140460</v>
      </c>
      <c r="K136" s="218">
        <f>Cen!J433</f>
        <v>227621</v>
      </c>
      <c r="L136" s="214">
        <f t="shared" si="54"/>
        <v>0</v>
      </c>
      <c r="M136" s="789">
        <f t="shared" si="55"/>
        <v>0</v>
      </c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458"/>
      <c r="AT136" s="348">
        <f>ALds!S5</f>
        <v>0</v>
      </c>
      <c r="AU136" s="219"/>
      <c r="AV136" s="219"/>
      <c r="AW136" s="219"/>
      <c r="AX136" s="219"/>
      <c r="AY136" s="219"/>
      <c r="AZ136" s="219"/>
      <c r="BA136" s="458"/>
      <c r="BB136" s="219"/>
      <c r="BC136" s="219"/>
      <c r="BD136" s="536">
        <f t="shared" si="57"/>
        <v>0</v>
      </c>
      <c r="BE136" s="210"/>
    </row>
    <row r="137" spans="2:57" x14ac:dyDescent="0.25">
      <c r="B137" s="220" t="str">
        <f>Cen!A436</f>
        <v>Příborník, 600mm, Orion šedá</v>
      </c>
      <c r="C137" s="220" t="str">
        <f>Cen!B436</f>
        <v>ZC7S600BS3</v>
      </c>
      <c r="D137" s="220" t="str">
        <f>Cen!C436</f>
        <v>OG-M</v>
      </c>
      <c r="E137" s="593">
        <f>Cen!D436</f>
        <v>0</v>
      </c>
      <c r="F137" s="194">
        <f t="shared" si="50"/>
        <v>0</v>
      </c>
      <c r="G137" s="216">
        <f>Cen!F436</f>
        <v>3424.44146</v>
      </c>
      <c r="H137" s="765">
        <f t="shared" si="58"/>
        <v>0</v>
      </c>
      <c r="I137" s="228"/>
      <c r="J137" s="218">
        <f>Cen!I436</f>
        <v>2003515</v>
      </c>
      <c r="K137" s="218">
        <f>Cen!J436</f>
        <v>227624</v>
      </c>
      <c r="L137" s="214">
        <f t="shared" si="54"/>
        <v>0</v>
      </c>
      <c r="M137" s="789">
        <f t="shared" si="55"/>
        <v>0</v>
      </c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458"/>
      <c r="AT137" s="348">
        <f>ALds!S6</f>
        <v>0</v>
      </c>
      <c r="AU137" s="219"/>
      <c r="AV137" s="219"/>
      <c r="AW137" s="219"/>
      <c r="AX137" s="219"/>
      <c r="AY137" s="219"/>
      <c r="AZ137" s="219"/>
      <c r="BA137" s="458"/>
      <c r="BB137" s="219"/>
      <c r="BC137" s="219"/>
      <c r="BD137" s="536">
        <f t="shared" si="57"/>
        <v>0</v>
      </c>
      <c r="BE137" s="210"/>
    </row>
    <row r="138" spans="2:57" x14ac:dyDescent="0.25">
      <c r="B138" s="220" t="str">
        <f>Cen!A439</f>
        <v>Příborník, 650mm, Orion šedá</v>
      </c>
      <c r="C138" s="220" t="str">
        <f>Cen!B439</f>
        <v>ZC7S650BS3</v>
      </c>
      <c r="D138" s="220" t="str">
        <f>Cen!C439</f>
        <v>OG-M</v>
      </c>
      <c r="E138" s="593">
        <f>Cen!D439</f>
        <v>0</v>
      </c>
      <c r="F138" s="194">
        <f>IF(I138&gt;0,I138,SUM(N138:BC138))</f>
        <v>0</v>
      </c>
      <c r="G138" s="216">
        <f>Cen!F439</f>
        <v>4310.6076300000004</v>
      </c>
      <c r="H138" s="765">
        <f>M138</f>
        <v>0</v>
      </c>
      <c r="I138" s="228"/>
      <c r="J138" s="218">
        <f>Cen!I439</f>
        <v>7864958</v>
      </c>
      <c r="K138" s="218">
        <f>Cen!J439</f>
        <v>279407</v>
      </c>
      <c r="L138" s="214">
        <f>IF(I138="x",0,IF(I138&gt;0,I138,F138))</f>
        <v>0</v>
      </c>
      <c r="M138" s="789">
        <f>PRODUCT(L138,G138)</f>
        <v>0</v>
      </c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458"/>
      <c r="AT138" s="348">
        <f>ALds!S7</f>
        <v>0</v>
      </c>
      <c r="AU138" s="219"/>
      <c r="AV138" s="219"/>
      <c r="AW138" s="219"/>
      <c r="AX138" s="219"/>
      <c r="AY138" s="219"/>
      <c r="AZ138" s="219"/>
      <c r="BA138" s="458"/>
      <c r="BB138" s="219"/>
      <c r="BC138" s="219"/>
      <c r="BD138" s="536">
        <f>IF(AND(E138&gt;0,F138&gt;0),1,0)</f>
        <v>0</v>
      </c>
      <c r="BE138" s="210"/>
    </row>
    <row r="139" spans="2:57" x14ac:dyDescent="0.25">
      <c r="B139" s="220"/>
      <c r="C139" s="220"/>
      <c r="D139" s="220"/>
      <c r="E139" s="593"/>
      <c r="F139" s="194"/>
      <c r="G139" s="216"/>
      <c r="H139" s="765"/>
      <c r="I139" s="217"/>
      <c r="J139" s="218"/>
      <c r="K139" s="218"/>
      <c r="L139" s="214">
        <f t="shared" si="54"/>
        <v>0</v>
      </c>
      <c r="M139" s="789">
        <f t="shared" si="55"/>
        <v>0</v>
      </c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458"/>
      <c r="AT139" s="219"/>
      <c r="AU139" s="219"/>
      <c r="AV139" s="219"/>
      <c r="AW139" s="219"/>
      <c r="AX139" s="219"/>
      <c r="AY139" s="219"/>
      <c r="AZ139" s="219"/>
      <c r="BA139" s="458"/>
      <c r="BB139" s="219"/>
      <c r="BC139" s="219"/>
      <c r="BD139" s="536">
        <f t="shared" si="57"/>
        <v>0</v>
      </c>
      <c r="BE139" s="210"/>
    </row>
    <row r="140" spans="2:57" x14ac:dyDescent="0.25">
      <c r="B140" s="220" t="str">
        <f>Cen!A443</f>
        <v>Zásuvkové rámečky úzké, 450mm, Orion šedá</v>
      </c>
      <c r="C140" s="220" t="str">
        <f>Cen!B443</f>
        <v>ZC7S450RS1</v>
      </c>
      <c r="D140" s="220" t="str">
        <f>Cen!C443</f>
        <v>OG-M</v>
      </c>
      <c r="E140" s="593">
        <f>Cen!D443</f>
        <v>0</v>
      </c>
      <c r="F140" s="194">
        <f t="shared" ref="F140:F169" si="59">IF(I140&gt;0,I140,SUM(N140:BC140))</f>
        <v>0</v>
      </c>
      <c r="G140" s="216">
        <f>Cen!F443</f>
        <v>609.31690000000003</v>
      </c>
      <c r="H140" s="765">
        <f t="shared" si="58"/>
        <v>0</v>
      </c>
      <c r="I140" s="228"/>
      <c r="J140" s="218">
        <f>Cen!I443</f>
        <v>3560959</v>
      </c>
      <c r="K140" s="218">
        <f>Cen!J443</f>
        <v>227636</v>
      </c>
      <c r="L140" s="214">
        <f t="shared" si="54"/>
        <v>0</v>
      </c>
      <c r="M140" s="789">
        <f t="shared" si="55"/>
        <v>0</v>
      </c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458"/>
      <c r="AT140" s="348">
        <f>ALds!S9</f>
        <v>0</v>
      </c>
      <c r="AU140" s="219"/>
      <c r="AV140" s="219"/>
      <c r="AW140" s="219"/>
      <c r="AX140" s="219"/>
      <c r="AY140" s="219"/>
      <c r="AZ140" s="219"/>
      <c r="BA140" s="458"/>
      <c r="BB140" s="219"/>
      <c r="BC140" s="219"/>
      <c r="BD140" s="536">
        <f t="shared" si="57"/>
        <v>0</v>
      </c>
      <c r="BE140" s="210"/>
    </row>
    <row r="141" spans="2:57" x14ac:dyDescent="0.25">
      <c r="B141" s="220" t="str">
        <f>Cen!A446</f>
        <v>Zásuvkové rámečky úzké, 500mm, Orion šedá</v>
      </c>
      <c r="C141" s="220" t="str">
        <f>Cen!B446</f>
        <v>ZC7S500RS1</v>
      </c>
      <c r="D141" s="220" t="str">
        <f>Cen!C446</f>
        <v>OG-M</v>
      </c>
      <c r="E141" s="593">
        <f>Cen!D446</f>
        <v>0</v>
      </c>
      <c r="F141" s="194">
        <f t="shared" si="59"/>
        <v>0</v>
      </c>
      <c r="G141" s="216">
        <f>Cen!F446</f>
        <v>618.24832000000004</v>
      </c>
      <c r="H141" s="765">
        <f t="shared" si="58"/>
        <v>0</v>
      </c>
      <c r="I141" s="228"/>
      <c r="J141" s="218">
        <f>Cen!I446</f>
        <v>8693820</v>
      </c>
      <c r="K141" s="218">
        <f>Cen!J446</f>
        <v>227639</v>
      </c>
      <c r="L141" s="214">
        <f t="shared" si="54"/>
        <v>0</v>
      </c>
      <c r="M141" s="789">
        <f t="shared" si="55"/>
        <v>0</v>
      </c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458"/>
      <c r="AT141" s="348">
        <f>ALds!S10</f>
        <v>0</v>
      </c>
      <c r="AU141" s="219"/>
      <c r="AV141" s="219"/>
      <c r="AW141" s="219"/>
      <c r="AX141" s="219"/>
      <c r="AY141" s="219"/>
      <c r="AZ141" s="219"/>
      <c r="BA141" s="458"/>
      <c r="BB141" s="219"/>
      <c r="BC141" s="219"/>
      <c r="BD141" s="536">
        <f t="shared" si="57"/>
        <v>0</v>
      </c>
      <c r="BE141" s="210"/>
    </row>
    <row r="142" spans="2:57" x14ac:dyDescent="0.25">
      <c r="B142" s="220" t="str">
        <f>Cen!A449</f>
        <v>Zásuvkové rámečky úzké, 550mm, Orion šedá</v>
      </c>
      <c r="C142" s="220" t="str">
        <f>Cen!B449</f>
        <v>ZC7S550RS1</v>
      </c>
      <c r="D142" s="220" t="str">
        <f>Cen!C449</f>
        <v>OG-M</v>
      </c>
      <c r="E142" s="593">
        <f>Cen!D449</f>
        <v>0</v>
      </c>
      <c r="F142" s="194">
        <f t="shared" si="59"/>
        <v>0</v>
      </c>
      <c r="G142" s="216">
        <f>Cen!F449</f>
        <v>634.03956000000005</v>
      </c>
      <c r="H142" s="765">
        <f t="shared" si="58"/>
        <v>0</v>
      </c>
      <c r="I142" s="228"/>
      <c r="J142" s="218">
        <f>Cen!I449</f>
        <v>7888159</v>
      </c>
      <c r="K142" s="218">
        <f>Cen!J449</f>
        <v>227642</v>
      </c>
      <c r="L142" s="214">
        <f t="shared" si="54"/>
        <v>0</v>
      </c>
      <c r="M142" s="789">
        <f t="shared" si="55"/>
        <v>0</v>
      </c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458"/>
      <c r="AT142" s="348">
        <f>ALds!S11</f>
        <v>0</v>
      </c>
      <c r="AU142" s="219"/>
      <c r="AV142" s="219"/>
      <c r="AW142" s="219"/>
      <c r="AX142" s="219"/>
      <c r="AY142" s="219"/>
      <c r="AZ142" s="219"/>
      <c r="BA142" s="458"/>
      <c r="BB142" s="219"/>
      <c r="BC142" s="219"/>
      <c r="BD142" s="536">
        <f t="shared" si="57"/>
        <v>0</v>
      </c>
      <c r="BE142" s="210"/>
    </row>
    <row r="143" spans="2:57" x14ac:dyDescent="0.25">
      <c r="B143" s="220" t="str">
        <f>Cen!A452</f>
        <v>Zásuvkové rámečky úzké, 600mm, Orion šedá</v>
      </c>
      <c r="C143" s="220" t="str">
        <f>Cen!B452</f>
        <v>ZC7S600RS1</v>
      </c>
      <c r="D143" s="220" t="str">
        <f>Cen!C452</f>
        <v>OG-M</v>
      </c>
      <c r="E143" s="593">
        <f>Cen!D452</f>
        <v>0</v>
      </c>
      <c r="F143" s="194">
        <f t="shared" si="59"/>
        <v>0</v>
      </c>
      <c r="G143" s="216">
        <f>Cen!F452</f>
        <v>649.83617000000004</v>
      </c>
      <c r="H143" s="765">
        <f t="shared" si="58"/>
        <v>0</v>
      </c>
      <c r="I143" s="228"/>
      <c r="J143" s="218">
        <f>Cen!I452</f>
        <v>5406259</v>
      </c>
      <c r="K143" s="218">
        <f>Cen!J452</f>
        <v>227645</v>
      </c>
      <c r="L143" s="214">
        <f t="shared" si="54"/>
        <v>0</v>
      </c>
      <c r="M143" s="789">
        <f t="shared" si="55"/>
        <v>0</v>
      </c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458"/>
      <c r="AT143" s="348">
        <f>ALds!S12</f>
        <v>0</v>
      </c>
      <c r="AU143" s="219"/>
      <c r="AV143" s="219"/>
      <c r="AW143" s="219"/>
      <c r="AX143" s="219"/>
      <c r="AY143" s="219"/>
      <c r="AZ143" s="219"/>
      <c r="BA143" s="458"/>
      <c r="BB143" s="219"/>
      <c r="BC143" s="219"/>
      <c r="BD143" s="536">
        <f t="shared" si="57"/>
        <v>0</v>
      </c>
      <c r="BE143" s="210"/>
    </row>
    <row r="144" spans="2:57" x14ac:dyDescent="0.25">
      <c r="B144" s="220" t="str">
        <f>Cen!A455</f>
        <v>Zásuvkové rámečky úzké, 650mm, Orion šedá</v>
      </c>
      <c r="C144" s="220" t="str">
        <f>Cen!B455</f>
        <v>ZC7S650RS1</v>
      </c>
      <c r="D144" s="220" t="str">
        <f>Cen!C455</f>
        <v>OG-M</v>
      </c>
      <c r="E144" s="593">
        <f>Cen!D455</f>
        <v>0</v>
      </c>
      <c r="F144" s="194">
        <f>IF(I144&gt;0,I144,SUM(N144:BC144))</f>
        <v>0</v>
      </c>
      <c r="G144" s="216">
        <f>Cen!F455</f>
        <v>665.62681999999995</v>
      </c>
      <c r="H144" s="765">
        <f>M144</f>
        <v>0</v>
      </c>
      <c r="I144" s="228"/>
      <c r="J144" s="218">
        <f>Cen!I455</f>
        <v>9535897</v>
      </c>
      <c r="K144" s="218">
        <f>Cen!J455</f>
        <v>275842</v>
      </c>
      <c r="L144" s="214">
        <f>IF(I144="x",0,IF(I144&gt;0,I144,F144))</f>
        <v>0</v>
      </c>
      <c r="M144" s="789">
        <f>PRODUCT(L144,G144)</f>
        <v>0</v>
      </c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458"/>
      <c r="AT144" s="348">
        <f>ALds!S13</f>
        <v>0</v>
      </c>
      <c r="AU144" s="219"/>
      <c r="AV144" s="219"/>
      <c r="AW144" s="219"/>
      <c r="AX144" s="219"/>
      <c r="AY144" s="219"/>
      <c r="AZ144" s="219"/>
      <c r="BA144" s="458"/>
      <c r="BB144" s="219"/>
      <c r="BC144" s="219"/>
      <c r="BD144" s="536">
        <f>IF(AND(E144&gt;0,F144&gt;0),1,0)</f>
        <v>0</v>
      </c>
      <c r="BE144" s="210"/>
    </row>
    <row r="145" spans="2:57" x14ac:dyDescent="0.25">
      <c r="B145" s="220" t="str">
        <f>Cen!A458</f>
        <v>Samostatná příčka, 50/100mm, Orion šedá</v>
      </c>
      <c r="C145" s="220" t="str">
        <f>Cen!B458</f>
        <v>ZC7Q010SS</v>
      </c>
      <c r="D145" s="220" t="str">
        <f>Cen!C458</f>
        <v>OG-M</v>
      </c>
      <c r="E145" s="593" t="str">
        <f>Cen!D458</f>
        <v>!</v>
      </c>
      <c r="F145" s="194">
        <f t="shared" si="59"/>
        <v>0</v>
      </c>
      <c r="G145" s="216">
        <f>Cen!F458</f>
        <v>99.606099999999998</v>
      </c>
      <c r="H145" s="765">
        <f t="shared" si="58"/>
        <v>0</v>
      </c>
      <c r="I145" s="228"/>
      <c r="J145" s="218">
        <f>Cen!I458</f>
        <v>1842247</v>
      </c>
      <c r="K145" s="218">
        <f>Cen!J458</f>
        <v>227648</v>
      </c>
      <c r="L145" s="214">
        <f t="shared" si="54"/>
        <v>0</v>
      </c>
      <c r="M145" s="789">
        <f t="shared" si="55"/>
        <v>0</v>
      </c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458"/>
      <c r="AT145" s="219"/>
      <c r="AU145" s="219"/>
      <c r="AV145" s="219"/>
      <c r="AW145" s="219"/>
      <c r="AX145" s="219"/>
      <c r="AY145" s="219"/>
      <c r="AZ145" s="219"/>
      <c r="BA145" s="458"/>
      <c r="BB145" s="348"/>
      <c r="BC145" s="219"/>
      <c r="BD145" s="536">
        <f t="shared" si="57"/>
        <v>0</v>
      </c>
      <c r="BE145" s="210"/>
    </row>
    <row r="146" spans="2:57" x14ac:dyDescent="0.25">
      <c r="B146" s="220"/>
      <c r="C146" s="215"/>
      <c r="D146" s="215"/>
      <c r="E146" s="593"/>
      <c r="F146" s="194">
        <f t="shared" si="59"/>
        <v>0</v>
      </c>
      <c r="G146" s="215"/>
      <c r="H146" s="765"/>
      <c r="I146" s="238"/>
      <c r="J146" s="215"/>
      <c r="K146" s="215"/>
      <c r="L146" s="214">
        <f t="shared" ref="L146:L227" si="60">IF(I146="x",0,IF(I146&gt;0,I146,F146))</f>
        <v>0</v>
      </c>
      <c r="M146" s="789">
        <f t="shared" ref="M146:M227" si="61">PRODUCT(L146,G146)</f>
        <v>0</v>
      </c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458"/>
      <c r="AT146" s="219"/>
      <c r="AU146" s="219"/>
      <c r="AV146" s="219"/>
      <c r="AW146" s="219"/>
      <c r="AX146" s="219"/>
      <c r="AY146" s="219"/>
      <c r="AZ146" s="219"/>
      <c r="BA146" s="458"/>
      <c r="BB146" s="219"/>
      <c r="BC146" s="219"/>
      <c r="BD146" s="536">
        <f t="shared" si="57"/>
        <v>0</v>
      </c>
      <c r="BE146" s="210"/>
    </row>
    <row r="147" spans="2:57" x14ac:dyDescent="0.25">
      <c r="B147" s="220" t="str">
        <f>Cen!A462</f>
        <v>Zásuvkové rámečky široké, 450mm, Orion šedá</v>
      </c>
      <c r="C147" s="220" t="str">
        <f>Cen!B462</f>
        <v>ZC7S450RS2</v>
      </c>
      <c r="D147" s="220" t="str">
        <f>Cen!C462</f>
        <v>OG-M</v>
      </c>
      <c r="E147" s="593">
        <f>Cen!D462</f>
        <v>0</v>
      </c>
      <c r="F147" s="194">
        <f t="shared" si="59"/>
        <v>0</v>
      </c>
      <c r="G147" s="216">
        <f>Cen!F462</f>
        <v>746.71677999999997</v>
      </c>
      <c r="H147" s="765">
        <f t="shared" ref="H147:H152" si="62">M147</f>
        <v>0</v>
      </c>
      <c r="I147" s="228"/>
      <c r="J147" s="218">
        <f>Cen!I462</f>
        <v>2903985</v>
      </c>
      <c r="K147" s="218">
        <f>Cen!J462</f>
        <v>227651</v>
      </c>
      <c r="L147" s="214">
        <f t="shared" si="60"/>
        <v>0</v>
      </c>
      <c r="M147" s="789">
        <f t="shared" si="61"/>
        <v>0</v>
      </c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458"/>
      <c r="AT147" s="348">
        <f>ALds!S15</f>
        <v>0</v>
      </c>
      <c r="AU147" s="219"/>
      <c r="AV147" s="219"/>
      <c r="AW147" s="219"/>
      <c r="AX147" s="219"/>
      <c r="AY147" s="219"/>
      <c r="AZ147" s="219"/>
      <c r="BA147" s="458"/>
      <c r="BB147" s="219"/>
      <c r="BC147" s="219"/>
      <c r="BD147" s="536">
        <f t="shared" si="57"/>
        <v>0</v>
      </c>
      <c r="BE147" s="210"/>
    </row>
    <row r="148" spans="2:57" x14ac:dyDescent="0.25">
      <c r="B148" s="220" t="str">
        <f>Cen!A465</f>
        <v>Zásuvkové rámečky široké, 500mm, Orion šedá</v>
      </c>
      <c r="C148" s="220" t="str">
        <f>Cen!B465</f>
        <v>ZC7S500RS2</v>
      </c>
      <c r="D148" s="220" t="str">
        <f>Cen!C465</f>
        <v>OG-M</v>
      </c>
      <c r="E148" s="593">
        <f>Cen!D465</f>
        <v>0</v>
      </c>
      <c r="F148" s="194">
        <f t="shared" si="59"/>
        <v>0</v>
      </c>
      <c r="G148" s="216">
        <f>Cen!F465</f>
        <v>755.64283</v>
      </c>
      <c r="H148" s="765">
        <f t="shared" si="62"/>
        <v>0</v>
      </c>
      <c r="I148" s="228"/>
      <c r="J148" s="218">
        <f>Cen!I465</f>
        <v>4595319</v>
      </c>
      <c r="K148" s="218">
        <f>Cen!J465</f>
        <v>227654</v>
      </c>
      <c r="L148" s="214">
        <f t="shared" si="60"/>
        <v>0</v>
      </c>
      <c r="M148" s="789">
        <f t="shared" si="61"/>
        <v>0</v>
      </c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458"/>
      <c r="AT148" s="348">
        <f>ALds!S16</f>
        <v>0</v>
      </c>
      <c r="AU148" s="219"/>
      <c r="AV148" s="219"/>
      <c r="AW148" s="219"/>
      <c r="AX148" s="219"/>
      <c r="AY148" s="219"/>
      <c r="AZ148" s="219"/>
      <c r="BA148" s="458"/>
      <c r="BB148" s="219"/>
      <c r="BC148" s="219"/>
      <c r="BD148" s="536">
        <f t="shared" si="57"/>
        <v>0</v>
      </c>
      <c r="BE148" s="210"/>
    </row>
    <row r="149" spans="2:57" x14ac:dyDescent="0.25">
      <c r="B149" s="220" t="str">
        <f>Cen!A468</f>
        <v>Zásuvkové rámečky široké, 550mm, Orion šedá</v>
      </c>
      <c r="C149" s="220" t="str">
        <f>Cen!B468</f>
        <v>ZC7S550RS2</v>
      </c>
      <c r="D149" s="220" t="str">
        <f>Cen!C468</f>
        <v>OG-M</v>
      </c>
      <c r="E149" s="593">
        <f>Cen!D468</f>
        <v>0</v>
      </c>
      <c r="F149" s="194">
        <f t="shared" si="59"/>
        <v>0</v>
      </c>
      <c r="G149" s="216">
        <f>Cen!F468</f>
        <v>771.43943999999999</v>
      </c>
      <c r="H149" s="765">
        <f t="shared" si="62"/>
        <v>0</v>
      </c>
      <c r="I149" s="228"/>
      <c r="J149" s="218">
        <f>Cen!I468</f>
        <v>4777342</v>
      </c>
      <c r="K149" s="218">
        <f>Cen!J468</f>
        <v>227657</v>
      </c>
      <c r="L149" s="214">
        <f t="shared" si="60"/>
        <v>0</v>
      </c>
      <c r="M149" s="789">
        <f t="shared" si="61"/>
        <v>0</v>
      </c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458"/>
      <c r="AT149" s="348">
        <f>ALds!S17</f>
        <v>0</v>
      </c>
      <c r="AU149" s="219"/>
      <c r="AV149" s="219"/>
      <c r="AW149" s="219"/>
      <c r="AX149" s="219"/>
      <c r="AY149" s="219"/>
      <c r="AZ149" s="219"/>
      <c r="BA149" s="458"/>
      <c r="BB149" s="219"/>
      <c r="BC149" s="219"/>
      <c r="BD149" s="536">
        <f t="shared" si="57"/>
        <v>0</v>
      </c>
      <c r="BE149" s="210"/>
    </row>
    <row r="150" spans="2:57" x14ac:dyDescent="0.25">
      <c r="B150" s="220" t="str">
        <f>Cen!A471</f>
        <v>Zásuvkové rámečky široké, 600mm, Orion šedá</v>
      </c>
      <c r="C150" s="220" t="str">
        <f>Cen!B471</f>
        <v>ZC7S600RS2</v>
      </c>
      <c r="D150" s="220" t="str">
        <f>Cen!C471</f>
        <v>OG-M</v>
      </c>
      <c r="E150" s="593">
        <f>Cen!D471</f>
        <v>0</v>
      </c>
      <c r="F150" s="194">
        <f t="shared" si="59"/>
        <v>0</v>
      </c>
      <c r="G150" s="216">
        <f>Cen!F471</f>
        <v>787.23006999999996</v>
      </c>
      <c r="H150" s="765">
        <f t="shared" si="62"/>
        <v>0</v>
      </c>
      <c r="I150" s="228"/>
      <c r="J150" s="218">
        <f>Cen!I471</f>
        <v>6140227</v>
      </c>
      <c r="K150" s="218">
        <f>Cen!J471</f>
        <v>227661</v>
      </c>
      <c r="L150" s="214">
        <f t="shared" si="60"/>
        <v>0</v>
      </c>
      <c r="M150" s="789">
        <f t="shared" si="61"/>
        <v>0</v>
      </c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458"/>
      <c r="AT150" s="348">
        <f>ALds!S18</f>
        <v>0</v>
      </c>
      <c r="AU150" s="219"/>
      <c r="AV150" s="219"/>
      <c r="AW150" s="219"/>
      <c r="AX150" s="219"/>
      <c r="AY150" s="219"/>
      <c r="AZ150" s="219"/>
      <c r="BA150" s="458"/>
      <c r="BB150" s="219"/>
      <c r="BC150" s="219"/>
      <c r="BD150" s="536">
        <f t="shared" si="57"/>
        <v>0</v>
      </c>
      <c r="BE150" s="210"/>
    </row>
    <row r="151" spans="2:57" x14ac:dyDescent="0.25">
      <c r="B151" s="220" t="str">
        <f>Cen!A474</f>
        <v>Zásuvkové rámečky široké, 650mm, Orion šedá</v>
      </c>
      <c r="C151" s="220" t="str">
        <f>Cen!B474</f>
        <v>ZC7S650RS2</v>
      </c>
      <c r="D151" s="220" t="str">
        <f>Cen!C474</f>
        <v>OG-M</v>
      </c>
      <c r="E151" s="593">
        <f>Cen!D474</f>
        <v>0</v>
      </c>
      <c r="F151" s="194">
        <f>IF(I151&gt;0,I151,SUM(N151:BC151))</f>
        <v>0</v>
      </c>
      <c r="G151" s="216">
        <f>Cen!F474</f>
        <v>803.0213</v>
      </c>
      <c r="H151" s="765">
        <f t="shared" si="62"/>
        <v>0</v>
      </c>
      <c r="I151" s="228"/>
      <c r="J151" s="218">
        <f>Cen!I474</f>
        <v>4781572</v>
      </c>
      <c r="K151" s="218">
        <f>Cen!J474</f>
        <v>275843</v>
      </c>
      <c r="L151" s="214">
        <f>IF(I151="x",0,IF(I151&gt;0,I151,F151))</f>
        <v>0</v>
      </c>
      <c r="M151" s="789">
        <f>PRODUCT(L151,G151)</f>
        <v>0</v>
      </c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458"/>
      <c r="AT151" s="348">
        <f>ALds!S19</f>
        <v>0</v>
      </c>
      <c r="AU151" s="219"/>
      <c r="AV151" s="219"/>
      <c r="AW151" s="219"/>
      <c r="AX151" s="219"/>
      <c r="AY151" s="219"/>
      <c r="AZ151" s="219"/>
      <c r="BA151" s="458"/>
      <c r="BB151" s="219"/>
      <c r="BC151" s="219"/>
      <c r="BD151" s="536">
        <f>IF(AND(E151&gt;0,F151&gt;0),1,0)</f>
        <v>0</v>
      </c>
      <c r="BE151" s="210"/>
    </row>
    <row r="152" spans="2:57" x14ac:dyDescent="0.25">
      <c r="B152" s="220" t="str">
        <f>Cen!A477</f>
        <v>Samostatná příčka, 50/200mm, Orion šedá</v>
      </c>
      <c r="C152" s="220" t="str">
        <f>Cen!B477</f>
        <v>ZC7Q020SS</v>
      </c>
      <c r="D152" s="220" t="str">
        <f>Cen!C477</f>
        <v>OG-M</v>
      </c>
      <c r="E152" s="593" t="str">
        <f>Cen!D477</f>
        <v>!</v>
      </c>
      <c r="F152" s="194">
        <f t="shared" si="59"/>
        <v>0</v>
      </c>
      <c r="G152" s="216">
        <f>Cen!F477</f>
        <v>140.82409999999999</v>
      </c>
      <c r="H152" s="765">
        <f t="shared" si="62"/>
        <v>0</v>
      </c>
      <c r="I152" s="228"/>
      <c r="J152" s="218">
        <f>Cen!I477</f>
        <v>1587698</v>
      </c>
      <c r="K152" s="218">
        <f>Cen!J477</f>
        <v>227664</v>
      </c>
      <c r="L152" s="214">
        <f t="shared" si="60"/>
        <v>0</v>
      </c>
      <c r="M152" s="789">
        <f t="shared" si="61"/>
        <v>0</v>
      </c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458"/>
      <c r="AT152" s="219"/>
      <c r="AU152" s="219"/>
      <c r="AV152" s="219"/>
      <c r="AW152" s="219"/>
      <c r="AX152" s="219"/>
      <c r="AY152" s="219"/>
      <c r="AZ152" s="219"/>
      <c r="BA152" s="458"/>
      <c r="BB152" s="348"/>
      <c r="BC152" s="219"/>
      <c r="BD152" s="536">
        <f t="shared" si="57"/>
        <v>0</v>
      </c>
      <c r="BE152" s="210"/>
    </row>
    <row r="153" spans="2:57" x14ac:dyDescent="0.25">
      <c r="B153" s="220"/>
      <c r="C153" s="220"/>
      <c r="D153" s="220"/>
      <c r="E153" s="593"/>
      <c r="F153" s="194"/>
      <c r="G153" s="216"/>
      <c r="H153" s="765"/>
      <c r="I153" s="217"/>
      <c r="J153" s="218"/>
      <c r="K153" s="218"/>
      <c r="L153" s="214">
        <f t="shared" si="60"/>
        <v>0</v>
      </c>
      <c r="M153" s="789">
        <f t="shared" si="61"/>
        <v>0</v>
      </c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458"/>
      <c r="AT153" s="219"/>
      <c r="AU153" s="219"/>
      <c r="AV153" s="219"/>
      <c r="AW153" s="219"/>
      <c r="AX153" s="219"/>
      <c r="AY153" s="219"/>
      <c r="AZ153" s="219"/>
      <c r="BA153" s="458"/>
      <c r="BB153" s="219"/>
      <c r="BC153" s="219"/>
      <c r="BD153" s="536">
        <f t="shared" si="57"/>
        <v>0</v>
      </c>
      <c r="BE153" s="210"/>
    </row>
    <row r="154" spans="2:57" x14ac:dyDescent="0.25">
      <c r="B154" s="220" t="str">
        <f>Cen!A481</f>
        <v>Zásuvkové rámečky, od 270mm, Orion šedá</v>
      </c>
      <c r="C154" s="220" t="str">
        <f>Cen!B481</f>
        <v>ZC7S300RSU</v>
      </c>
      <c r="D154" s="220" t="str">
        <f>Cen!C481</f>
        <v>OG-M</v>
      </c>
      <c r="E154" s="593">
        <f>Cen!D481</f>
        <v>0</v>
      </c>
      <c r="F154" s="194">
        <f t="shared" si="59"/>
        <v>0</v>
      </c>
      <c r="G154" s="216">
        <f>Cen!F481</f>
        <v>961.73096999999996</v>
      </c>
      <c r="H154" s="765">
        <f>M154</f>
        <v>0</v>
      </c>
      <c r="I154" s="228"/>
      <c r="J154" s="218">
        <f>Cen!I481</f>
        <v>1392076</v>
      </c>
      <c r="K154" s="218">
        <f>Cen!J481</f>
        <v>227627</v>
      </c>
      <c r="L154" s="214">
        <f t="shared" si="60"/>
        <v>0</v>
      </c>
      <c r="M154" s="789">
        <f t="shared" si="61"/>
        <v>0</v>
      </c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458"/>
      <c r="AT154" s="348">
        <f>ALds!S21</f>
        <v>0</v>
      </c>
      <c r="AU154" s="219"/>
      <c r="AV154" s="219"/>
      <c r="AW154" s="219"/>
      <c r="AX154" s="219"/>
      <c r="AY154" s="219"/>
      <c r="AZ154" s="219"/>
      <c r="BA154" s="458"/>
      <c r="BB154" s="219"/>
      <c r="BC154" s="219"/>
      <c r="BD154" s="536">
        <f t="shared" si="57"/>
        <v>0</v>
      </c>
      <c r="BE154" s="210"/>
    </row>
    <row r="155" spans="2:57" x14ac:dyDescent="0.25">
      <c r="B155" s="220" t="str">
        <f>Cen!A484</f>
        <v>Adaptér pro dřevěná záda M, Orion šedá</v>
      </c>
      <c r="C155" s="220" t="str">
        <f>Cen!B484</f>
        <v>ZC7A0U0M</v>
      </c>
      <c r="D155" s="220" t="str">
        <f>Cen!C484</f>
        <v>OG-M</v>
      </c>
      <c r="E155" s="593">
        <f>Cen!D484</f>
        <v>0</v>
      </c>
      <c r="F155" s="194">
        <f t="shared" si="59"/>
        <v>0</v>
      </c>
      <c r="G155" s="216">
        <f>Cen!F484</f>
        <v>123.65338</v>
      </c>
      <c r="H155" s="765">
        <f>M155</f>
        <v>0</v>
      </c>
      <c r="I155" s="228"/>
      <c r="J155" s="218">
        <f>Cen!I484</f>
        <v>3486858</v>
      </c>
      <c r="K155" s="218">
        <f>Cen!J484</f>
        <v>227630</v>
      </c>
      <c r="L155" s="214">
        <f t="shared" si="60"/>
        <v>0</v>
      </c>
      <c r="M155" s="789">
        <f t="shared" si="61"/>
        <v>0</v>
      </c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458"/>
      <c r="AT155" s="348">
        <f>ALds!S22</f>
        <v>0</v>
      </c>
      <c r="AU155" s="219"/>
      <c r="AV155" s="219"/>
      <c r="AW155" s="219"/>
      <c r="AX155" s="219"/>
      <c r="AY155" s="219"/>
      <c r="AZ155" s="219"/>
      <c r="BA155" s="458"/>
      <c r="BB155" s="219"/>
      <c r="BC155" s="219"/>
      <c r="BD155" s="536">
        <f t="shared" si="57"/>
        <v>0</v>
      </c>
      <c r="BE155" s="210"/>
    </row>
    <row r="156" spans="2:57" x14ac:dyDescent="0.25">
      <c r="B156" s="220" t="str">
        <f>Cen!A487</f>
        <v>Adaptér pro dřevěná záda K, Orion šedá</v>
      </c>
      <c r="C156" s="220" t="str">
        <f>Cen!B487</f>
        <v>ZC7A0U0K</v>
      </c>
      <c r="D156" s="220" t="str">
        <f>Cen!C487</f>
        <v>OG-M</v>
      </c>
      <c r="E156" s="593" t="str">
        <f>Cen!D487</f>
        <v>!</v>
      </c>
      <c r="F156" s="194">
        <f t="shared" si="59"/>
        <v>0</v>
      </c>
      <c r="G156" s="216">
        <f>Cen!F487</f>
        <v>137.38853</v>
      </c>
      <c r="H156" s="765">
        <f>M156</f>
        <v>0</v>
      </c>
      <c r="I156" s="228"/>
      <c r="J156" s="218">
        <f>Cen!I487</f>
        <v>9566186</v>
      </c>
      <c r="K156" s="218">
        <f>Cen!J487</f>
        <v>279415</v>
      </c>
      <c r="L156" s="214">
        <f t="shared" si="60"/>
        <v>0</v>
      </c>
      <c r="M156" s="789">
        <f t="shared" si="61"/>
        <v>0</v>
      </c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458"/>
      <c r="AT156" s="348">
        <f>ALds!S23</f>
        <v>0</v>
      </c>
      <c r="AU156" s="219"/>
      <c r="AV156" s="219"/>
      <c r="AW156" s="219"/>
      <c r="AX156" s="219"/>
      <c r="AY156" s="219"/>
      <c r="AZ156" s="219"/>
      <c r="BA156" s="458"/>
      <c r="BB156" s="219"/>
      <c r="BC156" s="219"/>
      <c r="BD156" s="536">
        <f t="shared" si="57"/>
        <v>0</v>
      </c>
      <c r="BE156" s="210"/>
    </row>
    <row r="157" spans="2:57" x14ac:dyDescent="0.25">
      <c r="B157" s="220" t="str">
        <f>Cen!A490</f>
        <v>Samostatná příčka, 50/242mm, Orion šedá</v>
      </c>
      <c r="C157" s="220" t="str">
        <f>Cen!B490</f>
        <v>ZC7Q0U0SS</v>
      </c>
      <c r="D157" s="220" t="str">
        <f>Cen!C490</f>
        <v>OG-M</v>
      </c>
      <c r="E157" s="593" t="str">
        <f>Cen!D490</f>
        <v>!</v>
      </c>
      <c r="F157" s="194">
        <f t="shared" si="59"/>
        <v>0</v>
      </c>
      <c r="G157" s="216">
        <f>Cen!F490</f>
        <v>151.12965</v>
      </c>
      <c r="H157" s="765">
        <f>M157</f>
        <v>0</v>
      </c>
      <c r="I157" s="228"/>
      <c r="J157" s="218">
        <f>Cen!I490</f>
        <v>8022610</v>
      </c>
      <c r="K157" s="218">
        <f>Cen!J490</f>
        <v>227633</v>
      </c>
      <c r="L157" s="214">
        <f t="shared" si="60"/>
        <v>0</v>
      </c>
      <c r="M157" s="789">
        <f t="shared" si="61"/>
        <v>0</v>
      </c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458"/>
      <c r="AT157" s="219"/>
      <c r="AU157" s="219"/>
      <c r="AV157" s="219"/>
      <c r="AW157" s="219"/>
      <c r="AX157" s="219"/>
      <c r="AY157" s="219"/>
      <c r="AZ157" s="219"/>
      <c r="BA157" s="458"/>
      <c r="BB157" s="348"/>
      <c r="BC157" s="219"/>
      <c r="BD157" s="536">
        <f t="shared" si="57"/>
        <v>0</v>
      </c>
      <c r="BE157" s="210"/>
    </row>
    <row r="158" spans="2:57" x14ac:dyDescent="0.25">
      <c r="B158" s="220"/>
      <c r="C158" s="220"/>
      <c r="D158" s="220"/>
      <c r="E158" s="593"/>
      <c r="F158" s="194"/>
      <c r="G158" s="216"/>
      <c r="H158" s="765"/>
      <c r="I158" s="217"/>
      <c r="J158" s="218"/>
      <c r="K158" s="218"/>
      <c r="L158" s="214">
        <f t="shared" si="60"/>
        <v>0</v>
      </c>
      <c r="M158" s="789">
        <f t="shared" si="61"/>
        <v>0</v>
      </c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458"/>
      <c r="AT158" s="219"/>
      <c r="AU158" s="219"/>
      <c r="AV158" s="219"/>
      <c r="AW158" s="219"/>
      <c r="AX158" s="219"/>
      <c r="AY158" s="219"/>
      <c r="AZ158" s="219"/>
      <c r="BA158" s="458"/>
      <c r="BB158" s="219"/>
      <c r="BC158" s="219"/>
      <c r="BD158" s="536">
        <f t="shared" si="57"/>
        <v>0</v>
      </c>
      <c r="BE158" s="210"/>
    </row>
    <row r="159" spans="2:57" x14ac:dyDescent="0.25">
      <c r="B159" s="220" t="str">
        <f>Cen!A496</f>
        <v>Rámečky pro čel. výsuvy, od 270mm, Orion šedá</v>
      </c>
      <c r="C159" s="220" t="str">
        <f>Cen!B496</f>
        <v>ZC7F300RSU</v>
      </c>
      <c r="D159" s="220" t="str">
        <f>Cen!C496</f>
        <v>OG-M</v>
      </c>
      <c r="E159" s="593">
        <f>Cen!D496</f>
        <v>0</v>
      </c>
      <c r="F159" s="194">
        <f t="shared" si="59"/>
        <v>0</v>
      </c>
      <c r="G159" s="216">
        <f>Cen!F496</f>
        <v>1236.50802</v>
      </c>
      <c r="H159" s="765">
        <f t="shared" ref="H159:H169" si="63">M159</f>
        <v>0</v>
      </c>
      <c r="I159" s="228"/>
      <c r="J159" s="218">
        <f>Cen!I496</f>
        <v>7830344</v>
      </c>
      <c r="K159" s="218">
        <f>Cen!J496</f>
        <v>227668</v>
      </c>
      <c r="L159" s="214">
        <f t="shared" si="60"/>
        <v>0</v>
      </c>
      <c r="M159" s="789">
        <f t="shared" si="61"/>
        <v>0</v>
      </c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458"/>
      <c r="AT159" s="219"/>
      <c r="AU159" s="348">
        <f>ALpos!R3</f>
        <v>0</v>
      </c>
      <c r="AV159" s="219"/>
      <c r="AW159" s="219"/>
      <c r="AX159" s="219"/>
      <c r="AY159" s="219"/>
      <c r="AZ159" s="219"/>
      <c r="BA159" s="458"/>
      <c r="BB159" s="219"/>
      <c r="BC159" s="219"/>
      <c r="BD159" s="536">
        <f t="shared" si="57"/>
        <v>0</v>
      </c>
      <c r="BE159" s="210"/>
    </row>
    <row r="160" spans="2:57" x14ac:dyDescent="0.25">
      <c r="B160" s="220" t="str">
        <f>Cen!A499</f>
        <v>Adaptér pro dřevěná záda, š.242mm, Orion šedá</v>
      </c>
      <c r="C160" s="220" t="str">
        <f>Cen!B499</f>
        <v>ZC7A0U0C</v>
      </c>
      <c r="D160" s="220" t="str">
        <f>Cen!C499</f>
        <v>OG-M</v>
      </c>
      <c r="E160" s="593">
        <f>Cen!D499</f>
        <v>0</v>
      </c>
      <c r="F160" s="194">
        <f t="shared" si="59"/>
        <v>0</v>
      </c>
      <c r="G160" s="216">
        <f>Cen!F499</f>
        <v>147.69466</v>
      </c>
      <c r="H160" s="765">
        <f t="shared" si="63"/>
        <v>0</v>
      </c>
      <c r="I160" s="228"/>
      <c r="J160" s="218">
        <f>Cen!I499</f>
        <v>4293657</v>
      </c>
      <c r="K160" s="218">
        <f>Cen!J499</f>
        <v>227671</v>
      </c>
      <c r="L160" s="214">
        <f t="shared" si="60"/>
        <v>0</v>
      </c>
      <c r="M160" s="789">
        <f t="shared" si="61"/>
        <v>0</v>
      </c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458"/>
      <c r="AT160" s="219"/>
      <c r="AU160" s="348">
        <f>ALpos!R4</f>
        <v>0</v>
      </c>
      <c r="AV160" s="219"/>
      <c r="AW160" s="219"/>
      <c r="AX160" s="219"/>
      <c r="AY160" s="219"/>
      <c r="AZ160" s="219"/>
      <c r="BA160" s="458"/>
      <c r="BB160" s="219"/>
      <c r="BC160" s="219"/>
      <c r="BD160" s="536">
        <f t="shared" si="57"/>
        <v>0</v>
      </c>
      <c r="BE160" s="210"/>
    </row>
    <row r="161" spans="2:57" x14ac:dyDescent="0.25">
      <c r="B161" s="220" t="str">
        <f>Cen!A502</f>
        <v>Samostatná příčka,110/242mm, Orion šedá</v>
      </c>
      <c r="C161" s="220" t="str">
        <f>Cen!B502</f>
        <v>ZC7Q0U0FS</v>
      </c>
      <c r="D161" s="220" t="str">
        <f>Cen!C502</f>
        <v>OG-M</v>
      </c>
      <c r="E161" s="593" t="str">
        <f>Cen!D502</f>
        <v>!</v>
      </c>
      <c r="F161" s="194">
        <f t="shared" si="59"/>
        <v>0</v>
      </c>
      <c r="G161" s="216">
        <f>Cen!F502</f>
        <v>182.04149000000001</v>
      </c>
      <c r="H161" s="765">
        <f t="shared" si="63"/>
        <v>0</v>
      </c>
      <c r="I161" s="228"/>
      <c r="J161" s="218">
        <f>Cen!I502</f>
        <v>9384548</v>
      </c>
      <c r="K161" s="218">
        <f>Cen!J502</f>
        <v>227674</v>
      </c>
      <c r="L161" s="214">
        <f t="shared" si="60"/>
        <v>0</v>
      </c>
      <c r="M161" s="789">
        <f t="shared" si="61"/>
        <v>0</v>
      </c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458"/>
      <c r="AT161" s="219"/>
      <c r="AU161" s="219"/>
      <c r="AV161" s="219"/>
      <c r="AW161" s="219"/>
      <c r="AX161" s="219"/>
      <c r="AY161" s="219"/>
      <c r="AZ161" s="219"/>
      <c r="BA161" s="458"/>
      <c r="BB161" s="219"/>
      <c r="BC161" s="219"/>
      <c r="BD161" s="536">
        <f t="shared" si="57"/>
        <v>0</v>
      </c>
      <c r="BE161" s="210"/>
    </row>
    <row r="162" spans="2:57" x14ac:dyDescent="0.25">
      <c r="B162" s="220" t="str">
        <f>Cen!A506</f>
        <v>Rámečky pro čel. výsuvy, od 400mm, Orion šedá</v>
      </c>
      <c r="C162" s="220" t="str">
        <f>Cen!B506</f>
        <v>ZC7F400RSP</v>
      </c>
      <c r="D162" s="220" t="str">
        <f>Cen!C506</f>
        <v>OG-M</v>
      </c>
      <c r="E162" s="593">
        <f>Cen!D506</f>
        <v>0</v>
      </c>
      <c r="F162" s="194">
        <f t="shared" si="59"/>
        <v>0</v>
      </c>
      <c r="G162" s="216">
        <f>Cen!F506</f>
        <v>1305.20226</v>
      </c>
      <c r="H162" s="765">
        <f t="shared" si="63"/>
        <v>0</v>
      </c>
      <c r="I162" s="228"/>
      <c r="J162" s="218">
        <f>Cen!I506</f>
        <v>7649432</v>
      </c>
      <c r="K162" s="218">
        <f>Cen!J506</f>
        <v>227677</v>
      </c>
      <c r="L162" s="214">
        <f t="shared" si="60"/>
        <v>0</v>
      </c>
      <c r="M162" s="789">
        <f t="shared" si="61"/>
        <v>0</v>
      </c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458"/>
      <c r="AT162" s="219"/>
      <c r="AU162" s="348">
        <f>ALpos!R8</f>
        <v>0</v>
      </c>
      <c r="AV162" s="219"/>
      <c r="AW162" s="219"/>
      <c r="AX162" s="219"/>
      <c r="AY162" s="219"/>
      <c r="AZ162" s="219"/>
      <c r="BA162" s="458"/>
      <c r="BB162" s="219"/>
      <c r="BC162" s="219"/>
      <c r="BD162" s="536">
        <f t="shared" si="57"/>
        <v>0</v>
      </c>
      <c r="BE162" s="210"/>
    </row>
    <row r="163" spans="2:57" x14ac:dyDescent="0.25">
      <c r="B163" s="220" t="str">
        <f>Cen!A509</f>
        <v>Adaptér pro dřevěná záda C, Orion šedá</v>
      </c>
      <c r="C163" s="220" t="str">
        <f>Cen!B509</f>
        <v>ZC7A0P0C</v>
      </c>
      <c r="D163" s="220" t="str">
        <f>Cen!C509</f>
        <v>OG-M</v>
      </c>
      <c r="E163" s="593">
        <f>Cen!D509</f>
        <v>0</v>
      </c>
      <c r="F163" s="194">
        <f t="shared" si="59"/>
        <v>0</v>
      </c>
      <c r="G163" s="216">
        <f>Cen!F509</f>
        <v>147.69466</v>
      </c>
      <c r="H163" s="765">
        <f t="shared" si="63"/>
        <v>0</v>
      </c>
      <c r="I163" s="228"/>
      <c r="J163" s="218">
        <f>Cen!I509</f>
        <v>2258290</v>
      </c>
      <c r="K163" s="218">
        <f>Cen!J509</f>
        <v>227680</v>
      </c>
      <c r="L163" s="214">
        <f t="shared" si="60"/>
        <v>0</v>
      </c>
      <c r="M163" s="789">
        <f t="shared" si="61"/>
        <v>0</v>
      </c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458"/>
      <c r="AT163" s="219"/>
      <c r="AU163" s="348">
        <f>ALpos!R9</f>
        <v>0</v>
      </c>
      <c r="AV163" s="219"/>
      <c r="AW163" s="219"/>
      <c r="AX163" s="219"/>
      <c r="AY163" s="219"/>
      <c r="AZ163" s="219"/>
      <c r="BA163" s="458"/>
      <c r="BB163" s="219"/>
      <c r="BC163" s="219"/>
      <c r="BD163" s="536">
        <f t="shared" si="57"/>
        <v>0</v>
      </c>
      <c r="BE163" s="210"/>
    </row>
    <row r="164" spans="2:57" x14ac:dyDescent="0.25">
      <c r="B164" s="220" t="str">
        <f>Cen!A512</f>
        <v>Adaptér pro dřevěná záda F, Orion šedá</v>
      </c>
      <c r="C164" s="220" t="str">
        <f>Cen!B512</f>
        <v>ZC7A0P0F</v>
      </c>
      <c r="D164" s="220" t="str">
        <f>Cen!C512</f>
        <v>OG-M</v>
      </c>
      <c r="E164" s="593">
        <f>Cen!D512</f>
        <v>0</v>
      </c>
      <c r="F164" s="194">
        <f t="shared" si="59"/>
        <v>0</v>
      </c>
      <c r="G164" s="216">
        <f>Cen!F512</f>
        <v>164.87076999999999</v>
      </c>
      <c r="H164" s="765">
        <f t="shared" si="63"/>
        <v>0</v>
      </c>
      <c r="I164" s="228"/>
      <c r="J164" s="218">
        <f>Cen!I512</f>
        <v>3677745</v>
      </c>
      <c r="K164" s="218">
        <f>Cen!J512</f>
        <v>227683</v>
      </c>
      <c r="L164" s="214">
        <f t="shared" si="60"/>
        <v>0</v>
      </c>
      <c r="M164" s="789">
        <f t="shared" si="61"/>
        <v>0</v>
      </c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458"/>
      <c r="AT164" s="219"/>
      <c r="AU164" s="348">
        <f>ALpos!R10</f>
        <v>0</v>
      </c>
      <c r="AV164" s="219"/>
      <c r="AW164" s="219"/>
      <c r="AX164" s="219"/>
      <c r="AY164" s="219"/>
      <c r="AZ164" s="219"/>
      <c r="BA164" s="458"/>
      <c r="BB164" s="219"/>
      <c r="BC164" s="219"/>
      <c r="BD164" s="536">
        <f t="shared" si="57"/>
        <v>0</v>
      </c>
      <c r="BE164" s="210"/>
    </row>
    <row r="165" spans="2:57" x14ac:dyDescent="0.25">
      <c r="B165" s="220" t="str">
        <f>Cen!A515</f>
        <v>Samostatná příčka,110/218mm, Orion šedá</v>
      </c>
      <c r="C165" s="220" t="str">
        <f>Cen!B515</f>
        <v>ZC7Q0P0FS</v>
      </c>
      <c r="D165" s="220" t="str">
        <f>Cen!C515</f>
        <v>OG-M</v>
      </c>
      <c r="E165" s="593" t="str">
        <f>Cen!D515</f>
        <v>!</v>
      </c>
      <c r="F165" s="194">
        <f t="shared" si="59"/>
        <v>0</v>
      </c>
      <c r="G165" s="216">
        <f>Cen!F515</f>
        <v>182.04149000000001</v>
      </c>
      <c r="H165" s="765">
        <f t="shared" si="63"/>
        <v>0</v>
      </c>
      <c r="I165" s="228"/>
      <c r="J165" s="218">
        <f>Cen!I515</f>
        <v>8999239</v>
      </c>
      <c r="K165" s="218">
        <f>Cen!J515</f>
        <v>227686</v>
      </c>
      <c r="L165" s="214">
        <f t="shared" si="60"/>
        <v>0</v>
      </c>
      <c r="M165" s="789">
        <f t="shared" si="61"/>
        <v>0</v>
      </c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458"/>
      <c r="AT165" s="219"/>
      <c r="AU165" s="219"/>
      <c r="AV165" s="219"/>
      <c r="AW165" s="219"/>
      <c r="AX165" s="219"/>
      <c r="AY165" s="219"/>
      <c r="AZ165" s="219"/>
      <c r="BA165" s="458"/>
      <c r="BB165" s="348"/>
      <c r="BC165" s="219"/>
      <c r="BD165" s="536">
        <f t="shared" si="57"/>
        <v>0</v>
      </c>
      <c r="BE165" s="210"/>
    </row>
    <row r="166" spans="2:57" x14ac:dyDescent="0.25">
      <c r="B166" s="220"/>
      <c r="C166" s="220"/>
      <c r="D166" s="220"/>
      <c r="E166" s="593"/>
      <c r="F166" s="194"/>
      <c r="G166" s="216"/>
      <c r="H166" s="765"/>
      <c r="I166" s="217"/>
      <c r="J166" s="218"/>
      <c r="K166" s="218"/>
      <c r="L166" s="214">
        <f t="shared" si="60"/>
        <v>0</v>
      </c>
      <c r="M166" s="789">
        <f t="shared" si="61"/>
        <v>0</v>
      </c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458"/>
      <c r="AT166" s="219"/>
      <c r="AU166" s="219"/>
      <c r="AV166" s="219"/>
      <c r="AW166" s="219"/>
      <c r="AX166" s="219"/>
      <c r="AY166" s="219"/>
      <c r="AZ166" s="219"/>
      <c r="BA166" s="458"/>
      <c r="BB166" s="219"/>
      <c r="BC166" s="219"/>
      <c r="BD166" s="536">
        <f t="shared" si="57"/>
        <v>0</v>
      </c>
      <c r="BE166" s="210"/>
    </row>
    <row r="167" spans="2:57" x14ac:dyDescent="0.25">
      <c r="B167" s="220" t="str">
        <f>Cen!A520</f>
        <v>Držák příčného relingu pro pure, Orion šedá</v>
      </c>
      <c r="C167" s="220" t="str">
        <f>Cen!B520</f>
        <v>ZC7U10E0</v>
      </c>
      <c r="D167" s="220" t="str">
        <f>Cen!C520</f>
        <v>OG-M</v>
      </c>
      <c r="E167" s="593">
        <f>Cen!D520</f>
        <v>0</v>
      </c>
      <c r="F167" s="194">
        <f t="shared" si="59"/>
        <v>0</v>
      </c>
      <c r="G167" s="220">
        <f>Cen!F520</f>
        <v>61.823700000000002</v>
      </c>
      <c r="H167" s="765">
        <f t="shared" si="63"/>
        <v>0</v>
      </c>
      <c r="I167" s="228"/>
      <c r="J167" s="218">
        <f>Cen!I520</f>
        <v>6678082</v>
      </c>
      <c r="K167" s="218">
        <f>Cen!J520</f>
        <v>265028</v>
      </c>
      <c r="L167" s="214">
        <f t="shared" si="60"/>
        <v>0</v>
      </c>
      <c r="M167" s="789">
        <f t="shared" si="61"/>
        <v>0</v>
      </c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458"/>
      <c r="AT167" s="219"/>
      <c r="AU167" s="219"/>
      <c r="AV167" s="219"/>
      <c r="AW167" s="219"/>
      <c r="AX167" s="219"/>
      <c r="AY167" s="348">
        <f>ALrel!R6</f>
        <v>0</v>
      </c>
      <c r="AZ167" s="219"/>
      <c r="BA167" s="458"/>
      <c r="BB167" s="219"/>
      <c r="BC167" s="219"/>
      <c r="BD167" s="536">
        <f t="shared" si="57"/>
        <v>0</v>
      </c>
      <c r="BE167" s="210"/>
    </row>
    <row r="168" spans="2:57" x14ac:dyDescent="0.25">
      <c r="B168" s="220" t="str">
        <f>Cen!A524</f>
        <v>Držák příčného relingu pro free, Orion šedá</v>
      </c>
      <c r="C168" s="220" t="str">
        <f>Cen!B524</f>
        <v>ZC7U11E0</v>
      </c>
      <c r="D168" s="220" t="str">
        <f>Cen!C524</f>
        <v>OG-M</v>
      </c>
      <c r="E168" s="593">
        <f>Cen!D524</f>
        <v>0</v>
      </c>
      <c r="F168" s="194">
        <f t="shared" si="59"/>
        <v>0</v>
      </c>
      <c r="G168" s="220">
        <f>Cen!F524</f>
        <v>92.849100000000007</v>
      </c>
      <c r="H168" s="765">
        <f t="shared" si="63"/>
        <v>0</v>
      </c>
      <c r="I168" s="228"/>
      <c r="J168" s="218">
        <f>Cen!I524</f>
        <v>1032061</v>
      </c>
      <c r="K168" s="218">
        <f>Cen!J524</f>
        <v>279375</v>
      </c>
      <c r="L168" s="214">
        <f t="shared" ref="L168" si="64">IF(I168="x",0,IF(I168&gt;0,I168,F168))</f>
        <v>0</v>
      </c>
      <c r="M168" s="789">
        <f t="shared" ref="M168" si="65">PRODUCT(L168,G168)</f>
        <v>0</v>
      </c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458"/>
      <c r="AT168" s="219"/>
      <c r="AU168" s="219"/>
      <c r="AV168" s="219"/>
      <c r="AW168" s="219"/>
      <c r="AX168" s="219"/>
      <c r="AY168" s="348">
        <f>ALrel!R9</f>
        <v>0</v>
      </c>
      <c r="AZ168" s="219"/>
      <c r="BA168" s="458"/>
      <c r="BB168" s="219"/>
      <c r="BC168" s="219"/>
      <c r="BD168" s="536">
        <f t="shared" si="57"/>
        <v>0</v>
      </c>
      <c r="BE168" s="210"/>
    </row>
    <row r="169" spans="2:57" x14ac:dyDescent="0.25">
      <c r="B169" s="220" t="str">
        <f>Cen!A528</f>
        <v>Podélné dělení pro reling, Orion šedá</v>
      </c>
      <c r="C169" s="220" t="str">
        <f>Cen!B528</f>
        <v>ZC7U10F0</v>
      </c>
      <c r="D169" s="220" t="str">
        <f>Cen!C528</f>
        <v>OG-M</v>
      </c>
      <c r="E169" s="593">
        <f>Cen!D528</f>
        <v>0</v>
      </c>
      <c r="F169" s="194">
        <f t="shared" si="59"/>
        <v>0</v>
      </c>
      <c r="G169" s="220">
        <f>Cen!F528</f>
        <v>27.476870000000002</v>
      </c>
      <c r="H169" s="765">
        <f t="shared" si="63"/>
        <v>0</v>
      </c>
      <c r="I169" s="228"/>
      <c r="J169" s="218">
        <f>Cen!I528</f>
        <v>6297748</v>
      </c>
      <c r="K169" s="218">
        <f>Cen!J528</f>
        <v>267756</v>
      </c>
      <c r="L169" s="214">
        <f t="shared" si="60"/>
        <v>0</v>
      </c>
      <c r="M169" s="789">
        <f t="shared" si="61"/>
        <v>0</v>
      </c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458"/>
      <c r="AT169" s="219"/>
      <c r="AU169" s="219"/>
      <c r="AV169" s="219"/>
      <c r="AW169" s="219"/>
      <c r="AX169" s="219"/>
      <c r="AY169" s="348">
        <f>ALrel!R12</f>
        <v>0</v>
      </c>
      <c r="AZ169" s="219"/>
      <c r="BA169" s="458"/>
      <c r="BB169" s="219"/>
      <c r="BC169" s="219"/>
      <c r="BD169" s="536">
        <f t="shared" si="57"/>
        <v>0</v>
      </c>
      <c r="BE169" s="210"/>
    </row>
    <row r="170" spans="2:57" x14ac:dyDescent="0.25">
      <c r="B170" s="220"/>
      <c r="C170" s="220"/>
      <c r="D170" s="220"/>
      <c r="E170" s="593"/>
      <c r="F170" s="194"/>
      <c r="G170" s="216"/>
      <c r="H170" s="765"/>
      <c r="I170" s="217"/>
      <c r="J170" s="218"/>
      <c r="K170" s="218"/>
      <c r="L170" s="214">
        <f t="shared" si="60"/>
        <v>0</v>
      </c>
      <c r="M170" s="789">
        <f t="shared" si="61"/>
        <v>0</v>
      </c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458"/>
      <c r="AT170" s="219"/>
      <c r="AU170" s="219"/>
      <c r="AV170" s="219"/>
      <c r="AW170" s="219"/>
      <c r="AX170" s="219"/>
      <c r="AY170" s="219"/>
      <c r="AZ170" s="219"/>
      <c r="BA170" s="458"/>
      <c r="BB170" s="219"/>
      <c r="BC170" s="219"/>
      <c r="BD170" s="536">
        <f t="shared" si="57"/>
        <v>0</v>
      </c>
      <c r="BE170" s="210"/>
    </row>
    <row r="171" spans="2:57" x14ac:dyDescent="0.25">
      <c r="B171" s="220"/>
      <c r="C171" s="220"/>
      <c r="D171" s="220"/>
      <c r="E171" s="593"/>
      <c r="F171" s="194"/>
      <c r="G171" s="216"/>
      <c r="H171" s="765"/>
      <c r="I171" s="217"/>
      <c r="J171" s="218"/>
      <c r="K171" s="218"/>
      <c r="L171" s="214"/>
      <c r="M171" s="789">
        <f t="shared" si="61"/>
        <v>0</v>
      </c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458"/>
      <c r="AT171" s="219"/>
      <c r="AU171" s="219"/>
      <c r="AV171" s="219"/>
      <c r="AW171" s="219"/>
      <c r="AX171" s="219"/>
      <c r="AY171" s="219"/>
      <c r="AZ171" s="219"/>
      <c r="BA171" s="458"/>
      <c r="BB171" s="219"/>
      <c r="BC171" s="219"/>
      <c r="BD171" s="536">
        <f t="shared" si="57"/>
        <v>0</v>
      </c>
      <c r="BE171" s="210"/>
    </row>
    <row r="172" spans="2:57" x14ac:dyDescent="0.25">
      <c r="B172" s="220" t="str">
        <f>Cen!A534</f>
        <v>Příborník, 450mm, Nebraska dub/OG-M</v>
      </c>
      <c r="C172" s="220" t="str">
        <f>Cen!B534</f>
        <v>ZC7S450BH3</v>
      </c>
      <c r="D172" s="220" t="str">
        <f>Cen!C534</f>
        <v>E02G</v>
      </c>
      <c r="E172" s="593">
        <f>Cen!D534</f>
        <v>0</v>
      </c>
      <c r="F172" s="194">
        <f t="shared" ref="F172:F207" si="66">IF(I172&gt;0,I172,SUM(N172:BC172))</f>
        <v>0</v>
      </c>
      <c r="G172" s="216">
        <f>Cen!F534</f>
        <v>1549.76018</v>
      </c>
      <c r="H172" s="765">
        <f>M172</f>
        <v>0</v>
      </c>
      <c r="I172" s="228"/>
      <c r="J172" s="218">
        <f>Cen!I534</f>
        <v>7178662</v>
      </c>
      <c r="K172" s="218">
        <f>Cen!J534</f>
        <v>227696</v>
      </c>
      <c r="L172" s="214">
        <f t="shared" si="60"/>
        <v>0</v>
      </c>
      <c r="M172" s="789">
        <f t="shared" si="61"/>
        <v>0</v>
      </c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458"/>
      <c r="AT172" s="219"/>
      <c r="AU172" s="219"/>
      <c r="AV172" s="219"/>
      <c r="AW172" s="348">
        <f>ALdw!S3</f>
        <v>0</v>
      </c>
      <c r="AX172" s="219"/>
      <c r="AY172" s="219"/>
      <c r="AZ172" s="219"/>
      <c r="BA172" s="458"/>
      <c r="BB172" s="219"/>
      <c r="BC172" s="219"/>
      <c r="BD172" s="536">
        <f t="shared" si="57"/>
        <v>0</v>
      </c>
      <c r="BE172" s="210"/>
    </row>
    <row r="173" spans="2:57" x14ac:dyDescent="0.25">
      <c r="B173" s="220" t="str">
        <f>Cen!A537</f>
        <v>Příborník, 500mm, Nebraska dub/OG-M</v>
      </c>
      <c r="C173" s="220" t="str">
        <f>Cen!B537</f>
        <v>ZC7S500BH3</v>
      </c>
      <c r="D173" s="220" t="str">
        <f>Cen!C537</f>
        <v>E02G</v>
      </c>
      <c r="E173" s="593">
        <f>Cen!D537</f>
        <v>0</v>
      </c>
      <c r="F173" s="194">
        <f t="shared" si="66"/>
        <v>0</v>
      </c>
      <c r="G173" s="216">
        <f>Cen!F537</f>
        <v>1579.9852900000001</v>
      </c>
      <c r="H173" s="765">
        <f>M173</f>
        <v>0</v>
      </c>
      <c r="I173" s="228"/>
      <c r="J173" s="218">
        <f>Cen!I537</f>
        <v>1520200</v>
      </c>
      <c r="K173" s="218">
        <f>Cen!J537</f>
        <v>227699</v>
      </c>
      <c r="L173" s="214">
        <f t="shared" si="60"/>
        <v>0</v>
      </c>
      <c r="M173" s="789">
        <f t="shared" si="61"/>
        <v>0</v>
      </c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458"/>
      <c r="AT173" s="219"/>
      <c r="AU173" s="219"/>
      <c r="AV173" s="219"/>
      <c r="AW173" s="348">
        <f>ALdw!S4</f>
        <v>0</v>
      </c>
      <c r="AX173" s="219"/>
      <c r="AY173" s="219"/>
      <c r="AZ173" s="219"/>
      <c r="BA173" s="458"/>
      <c r="BB173" s="219"/>
      <c r="BC173" s="219"/>
      <c r="BD173" s="536">
        <f t="shared" ref="BD173:BD209" si="67">IF(AND(E173&gt;0,F173&gt;0),1,0)</f>
        <v>0</v>
      </c>
      <c r="BE173" s="210"/>
    </row>
    <row r="174" spans="2:57" x14ac:dyDescent="0.25">
      <c r="B174" s="220" t="str">
        <f>Cen!A540</f>
        <v>Příborník, 550mm, Nebraska dub/OG-M</v>
      </c>
      <c r="C174" s="220" t="str">
        <f>Cen!B540</f>
        <v>ZC7S550BH3</v>
      </c>
      <c r="D174" s="220" t="str">
        <f>Cen!C540</f>
        <v>E02G</v>
      </c>
      <c r="E174" s="593">
        <f>Cen!D540</f>
        <v>0</v>
      </c>
      <c r="F174" s="194">
        <f t="shared" si="66"/>
        <v>0</v>
      </c>
      <c r="G174" s="216">
        <f>Cen!F540</f>
        <v>1623.26415</v>
      </c>
      <c r="H174" s="765">
        <f>M174</f>
        <v>0</v>
      </c>
      <c r="I174" s="228"/>
      <c r="J174" s="218">
        <f>Cen!I540</f>
        <v>4575860</v>
      </c>
      <c r="K174" s="218">
        <f>Cen!J540</f>
        <v>227703</v>
      </c>
      <c r="L174" s="214">
        <f t="shared" si="60"/>
        <v>0</v>
      </c>
      <c r="M174" s="789">
        <f t="shared" si="61"/>
        <v>0</v>
      </c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458"/>
      <c r="AT174" s="219"/>
      <c r="AU174" s="219"/>
      <c r="AV174" s="219"/>
      <c r="AW174" s="348">
        <f>ALdw!S5</f>
        <v>0</v>
      </c>
      <c r="AX174" s="219"/>
      <c r="AY174" s="219"/>
      <c r="AZ174" s="219"/>
      <c r="BA174" s="458"/>
      <c r="BB174" s="219"/>
      <c r="BC174" s="219"/>
      <c r="BD174" s="536">
        <f t="shared" si="67"/>
        <v>0</v>
      </c>
      <c r="BE174" s="210"/>
    </row>
    <row r="175" spans="2:57" x14ac:dyDescent="0.25">
      <c r="B175" s="220" t="str">
        <f>Cen!A543</f>
        <v>Příborník, 600mm, Nebraska dub/OG-M</v>
      </c>
      <c r="C175" s="220" t="str">
        <f>Cen!B543</f>
        <v>ZC7S600BH3</v>
      </c>
      <c r="D175" s="220" t="str">
        <f>Cen!C543</f>
        <v>E02G</v>
      </c>
      <c r="E175" s="593">
        <f>Cen!D543</f>
        <v>0</v>
      </c>
      <c r="F175" s="194">
        <f t="shared" si="66"/>
        <v>0</v>
      </c>
      <c r="G175" s="216">
        <f>Cen!F543</f>
        <v>1748.9724100000001</v>
      </c>
      <c r="H175" s="765">
        <f>M175</f>
        <v>0</v>
      </c>
      <c r="I175" s="228"/>
      <c r="J175" s="218">
        <f>Cen!I543</f>
        <v>1717256</v>
      </c>
      <c r="K175" s="218">
        <f>Cen!J543</f>
        <v>227707</v>
      </c>
      <c r="L175" s="214">
        <f t="shared" si="60"/>
        <v>0</v>
      </c>
      <c r="M175" s="789">
        <f t="shared" si="61"/>
        <v>0</v>
      </c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458"/>
      <c r="AT175" s="219"/>
      <c r="AU175" s="219"/>
      <c r="AV175" s="219"/>
      <c r="AW175" s="348">
        <f>ALdw!S6</f>
        <v>0</v>
      </c>
      <c r="AX175" s="219"/>
      <c r="AY175" s="219"/>
      <c r="AZ175" s="219"/>
      <c r="BA175" s="458"/>
      <c r="BB175" s="219"/>
      <c r="BC175" s="219"/>
      <c r="BD175" s="536">
        <f t="shared" si="67"/>
        <v>0</v>
      </c>
      <c r="BE175" s="210"/>
    </row>
    <row r="176" spans="2:57" x14ac:dyDescent="0.25">
      <c r="B176" s="220" t="str">
        <f>Cen!A546</f>
        <v>Příborník, 650mm, Nebraska dub/OG-M</v>
      </c>
      <c r="C176" s="220" t="str">
        <f>Cen!B546</f>
        <v>ZC7S650BH3</v>
      </c>
      <c r="D176" s="220" t="str">
        <f>Cen!C546</f>
        <v>E02G</v>
      </c>
      <c r="E176" s="593">
        <f>Cen!D546</f>
        <v>0</v>
      </c>
      <c r="F176" s="194">
        <f>IF(I176&gt;0,I176,SUM(N176:BC176))</f>
        <v>0</v>
      </c>
      <c r="G176" s="216">
        <f>Cen!F546</f>
        <v>1792.25127</v>
      </c>
      <c r="H176" s="765">
        <f>M176</f>
        <v>0</v>
      </c>
      <c r="I176" s="228"/>
      <c r="J176" s="218">
        <f>Cen!I546</f>
        <v>6270630</v>
      </c>
      <c r="K176" s="218">
        <f>Cen!J546</f>
        <v>279417</v>
      </c>
      <c r="L176" s="214">
        <f>IF(I176="x",0,IF(I176&gt;0,I176,F176))</f>
        <v>0</v>
      </c>
      <c r="M176" s="789">
        <f>PRODUCT(L176,G176)</f>
        <v>0</v>
      </c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458"/>
      <c r="AT176" s="219"/>
      <c r="AU176" s="219"/>
      <c r="AV176" s="219"/>
      <c r="AW176" s="348">
        <f>ALdw!S7</f>
        <v>0</v>
      </c>
      <c r="AX176" s="219"/>
      <c r="AY176" s="219"/>
      <c r="AZ176" s="219"/>
      <c r="BA176" s="458"/>
      <c r="BB176" s="219"/>
      <c r="BC176" s="219"/>
      <c r="BD176" s="536">
        <f>IF(AND(E176&gt;0,F176&gt;0),1,0)</f>
        <v>0</v>
      </c>
      <c r="BE176" s="210"/>
    </row>
    <row r="177" spans="2:57" x14ac:dyDescent="0.25">
      <c r="B177" s="220"/>
      <c r="C177" s="220"/>
      <c r="D177" s="220"/>
      <c r="E177" s="593"/>
      <c r="F177" s="194"/>
      <c r="G177" s="216"/>
      <c r="H177" s="765"/>
      <c r="I177" s="217"/>
      <c r="J177" s="218"/>
      <c r="K177" s="218"/>
      <c r="L177" s="214">
        <f t="shared" si="60"/>
        <v>0</v>
      </c>
      <c r="M177" s="789">
        <f t="shared" si="61"/>
        <v>0</v>
      </c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458"/>
      <c r="AT177" s="219"/>
      <c r="AU177" s="219"/>
      <c r="AV177" s="219"/>
      <c r="AW177" s="219"/>
      <c r="AX177" s="219"/>
      <c r="AY177" s="219"/>
      <c r="AZ177" s="219"/>
      <c r="BA177" s="458"/>
      <c r="BB177" s="219"/>
      <c r="BC177" s="219"/>
      <c r="BD177" s="536">
        <f t="shared" si="67"/>
        <v>0</v>
      </c>
      <c r="BE177" s="210"/>
    </row>
    <row r="178" spans="2:57" x14ac:dyDescent="0.25">
      <c r="B178" s="220" t="str">
        <f>Cen!A550</f>
        <v>Zás.rámečky úzké, 450mm, Nebraska dub/OG-M</v>
      </c>
      <c r="C178" s="220" t="str">
        <f>Cen!B550</f>
        <v>ZC7S450RH1</v>
      </c>
      <c r="D178" s="220" t="str">
        <f>Cen!C550</f>
        <v>E02G</v>
      </c>
      <c r="E178" s="593">
        <f>Cen!D550</f>
        <v>0</v>
      </c>
      <c r="F178" s="194">
        <f t="shared" si="66"/>
        <v>0</v>
      </c>
      <c r="G178" s="216">
        <f>Cen!F550</f>
        <v>1017.37146</v>
      </c>
      <c r="H178" s="765">
        <f t="shared" ref="H178:H183" si="68">M178</f>
        <v>0</v>
      </c>
      <c r="I178" s="228"/>
      <c r="J178" s="218">
        <f>Cen!I550</f>
        <v>3870552</v>
      </c>
      <c r="K178" s="218">
        <f>Cen!J550</f>
        <v>227718</v>
      </c>
      <c r="L178" s="214">
        <f t="shared" si="60"/>
        <v>0</v>
      </c>
      <c r="M178" s="789">
        <f t="shared" si="61"/>
        <v>0</v>
      </c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458"/>
      <c r="AT178" s="219"/>
      <c r="AU178" s="219"/>
      <c r="AV178" s="219"/>
      <c r="AW178" s="348">
        <f>ALdw!S9</f>
        <v>0</v>
      </c>
      <c r="AX178" s="219"/>
      <c r="AY178" s="219"/>
      <c r="AZ178" s="219"/>
      <c r="BA178" s="458"/>
      <c r="BB178" s="219"/>
      <c r="BC178" s="219"/>
      <c r="BD178" s="536">
        <f t="shared" si="67"/>
        <v>0</v>
      </c>
      <c r="BE178" s="210"/>
    </row>
    <row r="179" spans="2:57" x14ac:dyDescent="0.25">
      <c r="B179" s="220" t="str">
        <f>Cen!A553</f>
        <v>Zás.rámečky úzké, 500mm, Nebraska dub/OG-M</v>
      </c>
      <c r="C179" s="220" t="str">
        <f>Cen!B553</f>
        <v>ZC7S500RH1</v>
      </c>
      <c r="D179" s="220" t="str">
        <f>Cen!C553</f>
        <v>E02G</v>
      </c>
      <c r="E179" s="593">
        <f>Cen!D553</f>
        <v>0</v>
      </c>
      <c r="F179" s="194">
        <f t="shared" si="66"/>
        <v>0</v>
      </c>
      <c r="G179" s="216">
        <f>Cen!F553</f>
        <v>1030.4252300000001</v>
      </c>
      <c r="H179" s="765">
        <f t="shared" si="68"/>
        <v>0</v>
      </c>
      <c r="I179" s="228"/>
      <c r="J179" s="218">
        <f>Cen!I553</f>
        <v>9278001</v>
      </c>
      <c r="K179" s="218">
        <f>Cen!J553</f>
        <v>227721</v>
      </c>
      <c r="L179" s="214">
        <f t="shared" si="60"/>
        <v>0</v>
      </c>
      <c r="M179" s="789">
        <f t="shared" si="61"/>
        <v>0</v>
      </c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458"/>
      <c r="AT179" s="219"/>
      <c r="AU179" s="219"/>
      <c r="AV179" s="219"/>
      <c r="AW179" s="348">
        <f>ALdw!S10</f>
        <v>0</v>
      </c>
      <c r="AX179" s="219"/>
      <c r="AY179" s="219"/>
      <c r="AZ179" s="219"/>
      <c r="BA179" s="458"/>
      <c r="BB179" s="219"/>
      <c r="BC179" s="219"/>
      <c r="BD179" s="536">
        <f t="shared" si="67"/>
        <v>0</v>
      </c>
      <c r="BE179" s="210"/>
    </row>
    <row r="180" spans="2:57" x14ac:dyDescent="0.25">
      <c r="B180" s="220" t="str">
        <f>Cen!A556</f>
        <v>Zás.rámečky úzké, 550mm, Nebraska dub/OG-M</v>
      </c>
      <c r="C180" s="220" t="str">
        <f>Cen!B556</f>
        <v>ZC7S550RH1</v>
      </c>
      <c r="D180" s="220" t="str">
        <f>Cen!C556</f>
        <v>E02G</v>
      </c>
      <c r="E180" s="593">
        <f>Cen!D556</f>
        <v>0</v>
      </c>
      <c r="F180" s="194">
        <f t="shared" si="66"/>
        <v>0</v>
      </c>
      <c r="G180" s="216">
        <f>Cen!F556</f>
        <v>1049.65743</v>
      </c>
      <c r="H180" s="765">
        <f t="shared" si="68"/>
        <v>0</v>
      </c>
      <c r="I180" s="228"/>
      <c r="J180" s="218">
        <f>Cen!I556</f>
        <v>5369486</v>
      </c>
      <c r="K180" s="218">
        <f>Cen!J556</f>
        <v>227724</v>
      </c>
      <c r="L180" s="214">
        <f t="shared" si="60"/>
        <v>0</v>
      </c>
      <c r="M180" s="789">
        <f t="shared" si="61"/>
        <v>0</v>
      </c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458"/>
      <c r="AT180" s="219"/>
      <c r="AU180" s="219"/>
      <c r="AV180" s="219"/>
      <c r="AW180" s="348">
        <f>ALdw!S11</f>
        <v>0</v>
      </c>
      <c r="AX180" s="219"/>
      <c r="AY180" s="219"/>
      <c r="AZ180" s="219"/>
      <c r="BA180" s="458"/>
      <c r="BB180" s="219"/>
      <c r="BC180" s="219"/>
      <c r="BD180" s="536">
        <f t="shared" si="67"/>
        <v>0</v>
      </c>
      <c r="BE180" s="210"/>
    </row>
    <row r="181" spans="2:57" x14ac:dyDescent="0.25">
      <c r="B181" s="220" t="str">
        <f>Cen!A559</f>
        <v>Zás.rámečky úzké, 600mm, Nebraska dub/OG-M</v>
      </c>
      <c r="C181" s="220" t="str">
        <f>Cen!B559</f>
        <v>ZC7S600RH1</v>
      </c>
      <c r="D181" s="220" t="str">
        <f>Cen!C559</f>
        <v>E02G</v>
      </c>
      <c r="E181" s="593">
        <f>Cen!D559</f>
        <v>0</v>
      </c>
      <c r="F181" s="194">
        <f t="shared" si="66"/>
        <v>0</v>
      </c>
      <c r="G181" s="216">
        <f>Cen!F559</f>
        <v>1068.89501</v>
      </c>
      <c r="H181" s="765">
        <f t="shared" si="68"/>
        <v>0</v>
      </c>
      <c r="I181" s="228"/>
      <c r="J181" s="218">
        <f>Cen!I559</f>
        <v>9907579</v>
      </c>
      <c r="K181" s="218">
        <f>Cen!J559</f>
        <v>227727</v>
      </c>
      <c r="L181" s="214">
        <f t="shared" si="60"/>
        <v>0</v>
      </c>
      <c r="M181" s="789">
        <f t="shared" si="61"/>
        <v>0</v>
      </c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  <c r="AH181" s="219"/>
      <c r="AI181" s="219"/>
      <c r="AJ181" s="219"/>
      <c r="AK181" s="219"/>
      <c r="AL181" s="219"/>
      <c r="AM181" s="219"/>
      <c r="AN181" s="219"/>
      <c r="AO181" s="219"/>
      <c r="AP181" s="219"/>
      <c r="AQ181" s="219"/>
      <c r="AR181" s="219"/>
      <c r="AS181" s="458"/>
      <c r="AT181" s="219"/>
      <c r="AU181" s="219"/>
      <c r="AV181" s="219"/>
      <c r="AW181" s="348">
        <f>ALdw!S12</f>
        <v>0</v>
      </c>
      <c r="AX181" s="219"/>
      <c r="AY181" s="219"/>
      <c r="AZ181" s="219"/>
      <c r="BA181" s="458"/>
      <c r="BB181" s="219"/>
      <c r="BC181" s="219"/>
      <c r="BD181" s="536">
        <f t="shared" si="67"/>
        <v>0</v>
      </c>
      <c r="BE181" s="210"/>
    </row>
    <row r="182" spans="2:57" x14ac:dyDescent="0.25">
      <c r="B182" s="220" t="str">
        <f>Cen!A562</f>
        <v>Zás.rámečky úzké, 650mm, Nebraska dub/OG-M</v>
      </c>
      <c r="C182" s="220" t="str">
        <f>Cen!B562</f>
        <v>ZC7S650RH1</v>
      </c>
      <c r="D182" s="220" t="str">
        <f>Cen!C562</f>
        <v>E02G</v>
      </c>
      <c r="E182" s="593">
        <f>Cen!D562</f>
        <v>0</v>
      </c>
      <c r="F182" s="194">
        <f>IF(I182&gt;0,I182,SUM(N182:BC182))</f>
        <v>0</v>
      </c>
      <c r="G182" s="216">
        <f>Cen!F562</f>
        <v>1088.1265900000001</v>
      </c>
      <c r="H182" s="765">
        <f t="shared" si="68"/>
        <v>0</v>
      </c>
      <c r="I182" s="228"/>
      <c r="J182" s="218">
        <f>Cen!I562</f>
        <v>8716506</v>
      </c>
      <c r="K182" s="218">
        <f>Cen!J562</f>
        <v>279420</v>
      </c>
      <c r="L182" s="214">
        <f>IF(I182="x",0,IF(I182&gt;0,I182,F182))</f>
        <v>0</v>
      </c>
      <c r="M182" s="789">
        <f>PRODUCT(L182,G182)</f>
        <v>0</v>
      </c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  <c r="AH182" s="219"/>
      <c r="AI182" s="219"/>
      <c r="AJ182" s="219"/>
      <c r="AK182" s="219"/>
      <c r="AL182" s="219"/>
      <c r="AM182" s="219"/>
      <c r="AN182" s="219"/>
      <c r="AO182" s="219"/>
      <c r="AP182" s="219"/>
      <c r="AQ182" s="219"/>
      <c r="AR182" s="219"/>
      <c r="AS182" s="458"/>
      <c r="AT182" s="219"/>
      <c r="AU182" s="219"/>
      <c r="AV182" s="219"/>
      <c r="AW182" s="348">
        <f>ALdw!S13</f>
        <v>0</v>
      </c>
      <c r="AX182" s="219"/>
      <c r="AY182" s="219"/>
      <c r="AZ182" s="219"/>
      <c r="BA182" s="458"/>
      <c r="BB182" s="219"/>
      <c r="BC182" s="219"/>
      <c r="BD182" s="536">
        <f>IF(AND(E182&gt;0,F182&gt;0),1,0)</f>
        <v>0</v>
      </c>
      <c r="BE182" s="210"/>
    </row>
    <row r="183" spans="2:57" x14ac:dyDescent="0.25">
      <c r="B183" s="220" t="str">
        <f>Cen!A565</f>
        <v>Samostatná příčka, 50/100mm, Nebraska dub</v>
      </c>
      <c r="C183" s="220" t="str">
        <f>Cen!B565</f>
        <v>ZC7Q010SH</v>
      </c>
      <c r="D183" s="220" t="str">
        <f>Cen!C565</f>
        <v>E02G</v>
      </c>
      <c r="E183" s="593" t="str">
        <f>Cen!D565</f>
        <v>!</v>
      </c>
      <c r="F183" s="194">
        <f t="shared" si="66"/>
        <v>0</v>
      </c>
      <c r="G183" s="216">
        <f>Cen!F565</f>
        <v>178.60650000000001</v>
      </c>
      <c r="H183" s="765">
        <f t="shared" si="68"/>
        <v>0</v>
      </c>
      <c r="I183" s="228"/>
      <c r="J183" s="218">
        <f>Cen!I565</f>
        <v>1619090</v>
      </c>
      <c r="K183" s="218">
        <f>Cen!J565</f>
        <v>227730</v>
      </c>
      <c r="L183" s="214">
        <f t="shared" si="60"/>
        <v>0</v>
      </c>
      <c r="M183" s="789">
        <f t="shared" si="61"/>
        <v>0</v>
      </c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9"/>
      <c r="AH183" s="219"/>
      <c r="AI183" s="219"/>
      <c r="AJ183" s="219"/>
      <c r="AK183" s="219"/>
      <c r="AL183" s="219"/>
      <c r="AM183" s="219"/>
      <c r="AN183" s="219"/>
      <c r="AO183" s="219"/>
      <c r="AP183" s="219"/>
      <c r="AQ183" s="219"/>
      <c r="AR183" s="219"/>
      <c r="AS183" s="458"/>
      <c r="AT183" s="219"/>
      <c r="AU183" s="219"/>
      <c r="AV183" s="219"/>
      <c r="AW183" s="219"/>
      <c r="AX183" s="219"/>
      <c r="AY183" s="219"/>
      <c r="AZ183" s="219"/>
      <c r="BA183" s="458"/>
      <c r="BB183" s="348"/>
      <c r="BC183" s="219"/>
      <c r="BD183" s="536">
        <f t="shared" si="67"/>
        <v>0</v>
      </c>
      <c r="BE183" s="210"/>
    </row>
    <row r="184" spans="2:57" x14ac:dyDescent="0.25">
      <c r="B184" s="220"/>
      <c r="C184" s="220"/>
      <c r="D184" s="220"/>
      <c r="E184" s="593"/>
      <c r="F184" s="194"/>
      <c r="G184" s="216"/>
      <c r="H184" s="765"/>
      <c r="I184" s="217"/>
      <c r="J184" s="218"/>
      <c r="K184" s="218"/>
      <c r="L184" s="214">
        <f t="shared" si="60"/>
        <v>0</v>
      </c>
      <c r="M184" s="789">
        <f t="shared" si="61"/>
        <v>0</v>
      </c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19"/>
      <c r="AL184" s="219"/>
      <c r="AM184" s="219"/>
      <c r="AN184" s="219"/>
      <c r="AO184" s="219"/>
      <c r="AP184" s="219"/>
      <c r="AQ184" s="219"/>
      <c r="AR184" s="219"/>
      <c r="AS184" s="458"/>
      <c r="AT184" s="219"/>
      <c r="AU184" s="219"/>
      <c r="AV184" s="219"/>
      <c r="AW184" s="219"/>
      <c r="AX184" s="219"/>
      <c r="AY184" s="219"/>
      <c r="AZ184" s="219"/>
      <c r="BA184" s="458"/>
      <c r="BB184" s="219"/>
      <c r="BC184" s="219"/>
      <c r="BD184" s="536">
        <f t="shared" si="67"/>
        <v>0</v>
      </c>
      <c r="BE184" s="210"/>
    </row>
    <row r="185" spans="2:57" x14ac:dyDescent="0.25">
      <c r="B185" s="220" t="str">
        <f>Cen!A569</f>
        <v>Zás.rámečky široké, 450mm, Nebraska dub/OG-M</v>
      </c>
      <c r="C185" s="220" t="str">
        <f>Cen!B569</f>
        <v>ZC7S450RH2</v>
      </c>
      <c r="D185" s="220" t="str">
        <f>Cen!C569</f>
        <v>E02G</v>
      </c>
      <c r="E185" s="593">
        <f>Cen!D569</f>
        <v>0</v>
      </c>
      <c r="F185" s="194">
        <f t="shared" si="66"/>
        <v>0</v>
      </c>
      <c r="G185" s="216">
        <f>Cen!F569</f>
        <v>1154.75999</v>
      </c>
      <c r="H185" s="765">
        <f t="shared" ref="H185:H190" si="69">M185</f>
        <v>0</v>
      </c>
      <c r="I185" s="228"/>
      <c r="J185" s="218">
        <f>Cen!I569</f>
        <v>8122008</v>
      </c>
      <c r="K185" s="218">
        <f>Cen!J569</f>
        <v>227733</v>
      </c>
      <c r="L185" s="214">
        <f t="shared" si="60"/>
        <v>0</v>
      </c>
      <c r="M185" s="789">
        <f t="shared" si="61"/>
        <v>0</v>
      </c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219"/>
      <c r="AH185" s="219"/>
      <c r="AI185" s="219"/>
      <c r="AJ185" s="219"/>
      <c r="AK185" s="219"/>
      <c r="AL185" s="219"/>
      <c r="AM185" s="219"/>
      <c r="AN185" s="219"/>
      <c r="AO185" s="219"/>
      <c r="AP185" s="219"/>
      <c r="AQ185" s="219"/>
      <c r="AR185" s="219"/>
      <c r="AS185" s="458"/>
      <c r="AT185" s="219"/>
      <c r="AU185" s="219"/>
      <c r="AV185" s="219"/>
      <c r="AW185" s="348">
        <f>ALdw!S15</f>
        <v>0</v>
      </c>
      <c r="AX185" s="219"/>
      <c r="AY185" s="219"/>
      <c r="AZ185" s="219"/>
      <c r="BA185" s="458"/>
      <c r="BB185" s="219"/>
      <c r="BC185" s="219"/>
      <c r="BD185" s="536">
        <f t="shared" si="67"/>
        <v>0</v>
      </c>
      <c r="BE185" s="210"/>
    </row>
    <row r="186" spans="2:57" x14ac:dyDescent="0.25">
      <c r="B186" s="220" t="str">
        <f>Cen!A572</f>
        <v>Zás.rámečky široké, 500mm, Nebraska dub/OG-M</v>
      </c>
      <c r="C186" s="220" t="str">
        <f>Cen!B572</f>
        <v>ZC7S500RH2</v>
      </c>
      <c r="D186" s="220" t="str">
        <f>Cen!C572</f>
        <v>E02G</v>
      </c>
      <c r="E186" s="593">
        <f>Cen!D572</f>
        <v>0</v>
      </c>
      <c r="F186" s="194">
        <f t="shared" si="66"/>
        <v>0</v>
      </c>
      <c r="G186" s="216">
        <f>Cen!F572</f>
        <v>1167.81376</v>
      </c>
      <c r="H186" s="765">
        <f t="shared" si="69"/>
        <v>0</v>
      </c>
      <c r="I186" s="228"/>
      <c r="J186" s="218">
        <f>Cen!I572</f>
        <v>7540872</v>
      </c>
      <c r="K186" s="218">
        <f>Cen!J572</f>
        <v>227736</v>
      </c>
      <c r="L186" s="214">
        <f>IF(I186="x",0,IF(I186&gt;0,I186,F186))</f>
        <v>0</v>
      </c>
      <c r="M186" s="789">
        <f>PRODUCT(L186,G186)</f>
        <v>0</v>
      </c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219"/>
      <c r="AH186" s="219"/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458"/>
      <c r="AT186" s="219"/>
      <c r="AU186" s="219"/>
      <c r="AV186" s="219"/>
      <c r="AW186" s="348">
        <f>ALdw!S16</f>
        <v>0</v>
      </c>
      <c r="AX186" s="219"/>
      <c r="AY186" s="219"/>
      <c r="AZ186" s="219"/>
      <c r="BA186" s="458"/>
      <c r="BB186" s="219"/>
      <c r="BC186" s="219"/>
      <c r="BD186" s="536">
        <f t="shared" si="67"/>
        <v>0</v>
      </c>
      <c r="BE186" s="210"/>
    </row>
    <row r="187" spans="2:57" x14ac:dyDescent="0.25">
      <c r="B187" s="220" t="str">
        <f>Cen!A575</f>
        <v>Zás.rámečky široké, 550mm, Nebraska dub/OG-M</v>
      </c>
      <c r="C187" s="220" t="str">
        <f>Cen!B575</f>
        <v>ZC7S550RH2</v>
      </c>
      <c r="D187" s="220" t="str">
        <f>Cen!C575</f>
        <v>E02G</v>
      </c>
      <c r="E187" s="593">
        <f>Cen!D575</f>
        <v>0</v>
      </c>
      <c r="F187" s="194">
        <f t="shared" si="66"/>
        <v>0</v>
      </c>
      <c r="G187" s="216">
        <f>Cen!F575</f>
        <v>1187.04594</v>
      </c>
      <c r="H187" s="765">
        <f t="shared" si="69"/>
        <v>0</v>
      </c>
      <c r="I187" s="228"/>
      <c r="J187" s="218">
        <f>Cen!I575</f>
        <v>5762924</v>
      </c>
      <c r="K187" s="218">
        <f>Cen!J575</f>
        <v>227739</v>
      </c>
      <c r="L187" s="214">
        <f t="shared" si="60"/>
        <v>0</v>
      </c>
      <c r="M187" s="789">
        <f t="shared" si="61"/>
        <v>0</v>
      </c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458"/>
      <c r="AT187" s="219"/>
      <c r="AU187" s="219"/>
      <c r="AV187" s="219"/>
      <c r="AW187" s="348">
        <f>ALdw!S17</f>
        <v>0</v>
      </c>
      <c r="AX187" s="219"/>
      <c r="AY187" s="219"/>
      <c r="AZ187" s="219"/>
      <c r="BA187" s="458"/>
      <c r="BB187" s="219"/>
      <c r="BC187" s="219"/>
      <c r="BD187" s="536">
        <f t="shared" si="67"/>
        <v>0</v>
      </c>
      <c r="BE187" s="210"/>
    </row>
    <row r="188" spans="2:57" x14ac:dyDescent="0.25">
      <c r="B188" s="220" t="str">
        <f>Cen!A578</f>
        <v>Zás.rámečky široké, 600mm, Nebraska dub/OG-M</v>
      </c>
      <c r="C188" s="220" t="str">
        <f>Cen!B578</f>
        <v>ZC7S600RH2</v>
      </c>
      <c r="D188" s="220" t="str">
        <f>Cen!C578</f>
        <v>E02G</v>
      </c>
      <c r="E188" s="593">
        <f>Cen!D578</f>
        <v>0</v>
      </c>
      <c r="F188" s="194">
        <f t="shared" si="66"/>
        <v>0</v>
      </c>
      <c r="G188" s="216">
        <f>Cen!F578</f>
        <v>1206.28352</v>
      </c>
      <c r="H188" s="765">
        <f t="shared" si="69"/>
        <v>0</v>
      </c>
      <c r="I188" s="228"/>
      <c r="J188" s="218">
        <f>Cen!I578</f>
        <v>8044308</v>
      </c>
      <c r="K188" s="218">
        <f>Cen!J578</f>
        <v>227742</v>
      </c>
      <c r="L188" s="214">
        <f t="shared" si="60"/>
        <v>0</v>
      </c>
      <c r="M188" s="789">
        <f t="shared" si="61"/>
        <v>0</v>
      </c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458"/>
      <c r="AT188" s="219"/>
      <c r="AU188" s="219"/>
      <c r="AV188" s="219"/>
      <c r="AW188" s="348">
        <f>ALdw!S18</f>
        <v>0</v>
      </c>
      <c r="AX188" s="219"/>
      <c r="AY188" s="219"/>
      <c r="AZ188" s="219"/>
      <c r="BA188" s="458"/>
      <c r="BB188" s="219"/>
      <c r="BC188" s="219"/>
      <c r="BD188" s="536">
        <f t="shared" si="67"/>
        <v>0</v>
      </c>
      <c r="BE188" s="210"/>
    </row>
    <row r="189" spans="2:57" x14ac:dyDescent="0.25">
      <c r="B189" s="220" t="str">
        <f>Cen!A581</f>
        <v>Zás.rámečky široké, 650mm, Nebraska dub/OG-M</v>
      </c>
      <c r="C189" s="220" t="str">
        <f>Cen!B581</f>
        <v>ZC7S650RH2</v>
      </c>
      <c r="D189" s="220" t="str">
        <f>Cen!C581</f>
        <v>E02G</v>
      </c>
      <c r="E189" s="593">
        <f>Cen!D581</f>
        <v>0</v>
      </c>
      <c r="F189" s="194">
        <f>IF(I189&gt;0,I189,SUM(N189:BC189))</f>
        <v>0</v>
      </c>
      <c r="G189" s="216">
        <f>Cen!F581</f>
        <v>1225.51511</v>
      </c>
      <c r="H189" s="765">
        <f t="shared" si="69"/>
        <v>0</v>
      </c>
      <c r="I189" s="228"/>
      <c r="J189" s="218">
        <f>Cen!I581</f>
        <v>2686598</v>
      </c>
      <c r="K189" s="218">
        <f>Cen!J581</f>
        <v>279423</v>
      </c>
      <c r="L189" s="214">
        <f>IF(I189="x",0,IF(I189&gt;0,I189,F189))</f>
        <v>0</v>
      </c>
      <c r="M189" s="789">
        <f>PRODUCT(L189,G189)</f>
        <v>0</v>
      </c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458"/>
      <c r="AT189" s="219"/>
      <c r="AU189" s="219"/>
      <c r="AV189" s="219"/>
      <c r="AW189" s="348">
        <f>ALdw!S19</f>
        <v>0</v>
      </c>
      <c r="AX189" s="219"/>
      <c r="AY189" s="219"/>
      <c r="AZ189" s="219"/>
      <c r="BA189" s="458"/>
      <c r="BB189" s="219"/>
      <c r="BC189" s="219"/>
      <c r="BD189" s="536">
        <f>IF(AND(E189&gt;0,F189&gt;0),1,0)</f>
        <v>0</v>
      </c>
      <c r="BE189" s="210"/>
    </row>
    <row r="190" spans="2:57" x14ac:dyDescent="0.25">
      <c r="B190" s="220" t="str">
        <f>Cen!A584</f>
        <v>Samostatná příčka, 50/200mm, Nebraska dub</v>
      </c>
      <c r="C190" s="220" t="str">
        <f>Cen!B584</f>
        <v>ZC7Q020SH</v>
      </c>
      <c r="D190" s="220" t="str">
        <f>Cen!C584</f>
        <v>E02G</v>
      </c>
      <c r="E190" s="593" t="str">
        <f>Cen!D584</f>
        <v>!</v>
      </c>
      <c r="F190" s="194">
        <f t="shared" si="66"/>
        <v>0</v>
      </c>
      <c r="G190" s="216">
        <f>Cen!F584</f>
        <v>199.21817999999999</v>
      </c>
      <c r="H190" s="765">
        <f t="shared" si="69"/>
        <v>0</v>
      </c>
      <c r="I190" s="228"/>
      <c r="J190" s="218">
        <f>Cen!I584</f>
        <v>1408697</v>
      </c>
      <c r="K190" s="218">
        <f>Cen!J584</f>
        <v>227745</v>
      </c>
      <c r="L190" s="214">
        <f t="shared" si="60"/>
        <v>0</v>
      </c>
      <c r="M190" s="789">
        <f t="shared" si="61"/>
        <v>0</v>
      </c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458"/>
      <c r="AT190" s="219"/>
      <c r="AU190" s="219"/>
      <c r="AV190" s="219"/>
      <c r="AW190" s="219"/>
      <c r="AX190" s="219"/>
      <c r="AY190" s="219"/>
      <c r="AZ190" s="219"/>
      <c r="BA190" s="458"/>
      <c r="BB190" s="348"/>
      <c r="BC190" s="219"/>
      <c r="BD190" s="536">
        <f t="shared" si="67"/>
        <v>0</v>
      </c>
      <c r="BE190" s="210"/>
    </row>
    <row r="191" spans="2:57" x14ac:dyDescent="0.25">
      <c r="B191" s="220"/>
      <c r="C191" s="220"/>
      <c r="D191" s="220"/>
      <c r="E191" s="593"/>
      <c r="F191" s="194"/>
      <c r="G191" s="216"/>
      <c r="H191" s="765"/>
      <c r="I191" s="217"/>
      <c r="J191" s="218"/>
      <c r="K191" s="218"/>
      <c r="L191" s="214">
        <f t="shared" si="60"/>
        <v>0</v>
      </c>
      <c r="M191" s="789">
        <f t="shared" si="61"/>
        <v>0</v>
      </c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458"/>
      <c r="AT191" s="219"/>
      <c r="AU191" s="219"/>
      <c r="AV191" s="219"/>
      <c r="AW191" s="219"/>
      <c r="AX191" s="219"/>
      <c r="AY191" s="219"/>
      <c r="AZ191" s="219"/>
      <c r="BA191" s="458"/>
      <c r="BB191" s="219"/>
      <c r="BC191" s="219"/>
      <c r="BD191" s="536">
        <f t="shared" si="67"/>
        <v>0</v>
      </c>
      <c r="BE191" s="210"/>
    </row>
    <row r="192" spans="2:57" x14ac:dyDescent="0.25">
      <c r="B192" s="220" t="str">
        <f>Cen!A588</f>
        <v>Zásuvkové rámečky, od 270mm, Nebraska/OG-M</v>
      </c>
      <c r="C192" s="220" t="str">
        <f>Cen!B588</f>
        <v>ZC7S300RHU</v>
      </c>
      <c r="D192" s="220" t="str">
        <f>Cen!C588</f>
        <v>E02G</v>
      </c>
      <c r="E192" s="593">
        <f>Cen!D588</f>
        <v>0</v>
      </c>
      <c r="F192" s="194">
        <f t="shared" si="66"/>
        <v>0</v>
      </c>
      <c r="G192" s="216">
        <f>Cen!F588</f>
        <v>1305.20226</v>
      </c>
      <c r="H192" s="765">
        <f>M192</f>
        <v>0</v>
      </c>
      <c r="I192" s="228"/>
      <c r="J192" s="218">
        <f>Cen!I588</f>
        <v>3149094</v>
      </c>
      <c r="K192" s="218">
        <f>Cen!J588</f>
        <v>227711</v>
      </c>
      <c r="L192" s="214">
        <f t="shared" si="60"/>
        <v>0</v>
      </c>
      <c r="M192" s="789">
        <f t="shared" si="61"/>
        <v>0</v>
      </c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458"/>
      <c r="AT192" s="219"/>
      <c r="AU192" s="219"/>
      <c r="AV192" s="219"/>
      <c r="AW192" s="348">
        <f>ALdw!S21</f>
        <v>0</v>
      </c>
      <c r="AX192" s="219"/>
      <c r="AY192" s="219"/>
      <c r="AZ192" s="219"/>
      <c r="BA192" s="458"/>
      <c r="BB192" s="219"/>
      <c r="BC192" s="219"/>
      <c r="BD192" s="536">
        <f t="shared" si="67"/>
        <v>0</v>
      </c>
      <c r="BE192" s="210"/>
    </row>
    <row r="193" spans="2:57" x14ac:dyDescent="0.25">
      <c r="B193" s="220" t="str">
        <f>Cen!A591</f>
        <v>Samostatná příčka, 50/242mm, Nebraska dub</v>
      </c>
      <c r="C193" s="220" t="str">
        <f>Cen!B591</f>
        <v>ZC7Q0U0SH</v>
      </c>
      <c r="D193" s="220" t="str">
        <f>Cen!C591</f>
        <v>E02G</v>
      </c>
      <c r="E193" s="593" t="str">
        <f>Cen!D591</f>
        <v>!</v>
      </c>
      <c r="F193" s="194">
        <f t="shared" si="66"/>
        <v>0</v>
      </c>
      <c r="G193" s="216">
        <f>Cen!F591</f>
        <v>209.51836</v>
      </c>
      <c r="H193" s="765">
        <f>M193</f>
        <v>0</v>
      </c>
      <c r="I193" s="228"/>
      <c r="J193" s="218">
        <f>Cen!I591</f>
        <v>5670971</v>
      </c>
      <c r="K193" s="218">
        <f>Cen!J591</f>
        <v>227716</v>
      </c>
      <c r="L193" s="214">
        <f t="shared" si="60"/>
        <v>0</v>
      </c>
      <c r="M193" s="789">
        <f t="shared" si="61"/>
        <v>0</v>
      </c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458"/>
      <c r="AT193" s="219"/>
      <c r="AU193" s="219"/>
      <c r="AV193" s="219"/>
      <c r="AW193" s="219"/>
      <c r="AX193" s="219"/>
      <c r="AY193" s="219"/>
      <c r="AZ193" s="219"/>
      <c r="BA193" s="458"/>
      <c r="BB193" s="348"/>
      <c r="BC193" s="219"/>
      <c r="BD193" s="536">
        <f t="shared" si="67"/>
        <v>0</v>
      </c>
      <c r="BE193" s="210"/>
    </row>
    <row r="194" spans="2:57" x14ac:dyDescent="0.25">
      <c r="B194" s="220"/>
      <c r="C194" s="220"/>
      <c r="D194" s="220"/>
      <c r="E194" s="593"/>
      <c r="F194" s="194"/>
      <c r="G194" s="216"/>
      <c r="H194" s="765"/>
      <c r="I194" s="217"/>
      <c r="J194" s="218"/>
      <c r="K194" s="218"/>
      <c r="L194" s="214">
        <f t="shared" si="60"/>
        <v>0</v>
      </c>
      <c r="M194" s="789">
        <f t="shared" si="61"/>
        <v>0</v>
      </c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458"/>
      <c r="AT194" s="219"/>
      <c r="AU194" s="219"/>
      <c r="AV194" s="219"/>
      <c r="AW194" s="219"/>
      <c r="AX194" s="219"/>
      <c r="AY194" s="219"/>
      <c r="AZ194" s="219"/>
      <c r="BA194" s="458"/>
      <c r="BB194" s="219"/>
      <c r="BC194" s="219"/>
      <c r="BD194" s="536">
        <f t="shared" si="67"/>
        <v>0</v>
      </c>
      <c r="BE194" s="210"/>
    </row>
    <row r="195" spans="2:57" x14ac:dyDescent="0.25">
      <c r="B195" s="220" t="str">
        <f>Cen!A597</f>
        <v>Rámečky pro výsuvy, od 270mm, Nebraska/OG-M</v>
      </c>
      <c r="C195" s="220" t="str">
        <f>Cen!B597</f>
        <v>ZC7F300RHU</v>
      </c>
      <c r="D195" s="220" t="str">
        <f>Cen!C597</f>
        <v>E02G</v>
      </c>
      <c r="E195" s="593" t="str">
        <f>Cen!D597</f>
        <v>!</v>
      </c>
      <c r="F195" s="194">
        <f t="shared" si="66"/>
        <v>0</v>
      </c>
      <c r="G195" s="216">
        <f>Cen!F597</f>
        <v>1373.89653</v>
      </c>
      <c r="H195" s="765">
        <f>M195</f>
        <v>0</v>
      </c>
      <c r="I195" s="228"/>
      <c r="J195" s="218">
        <f>Cen!I597</f>
        <v>9613823</v>
      </c>
      <c r="K195" s="218">
        <f>Cen!J597</f>
        <v>227748</v>
      </c>
      <c r="L195" s="214">
        <f t="shared" si="60"/>
        <v>0</v>
      </c>
      <c r="M195" s="789">
        <f t="shared" si="61"/>
        <v>0</v>
      </c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458"/>
      <c r="AT195" s="219"/>
      <c r="AU195" s="219"/>
      <c r="AV195" s="219"/>
      <c r="AW195" s="219"/>
      <c r="AX195" s="348">
        <f>ALpow!R3</f>
        <v>0</v>
      </c>
      <c r="AY195" s="348"/>
      <c r="AZ195" s="219"/>
      <c r="BA195" s="458"/>
      <c r="BB195" s="219"/>
      <c r="BC195" s="219"/>
      <c r="BD195" s="536">
        <f t="shared" si="67"/>
        <v>0</v>
      </c>
      <c r="BE195" s="210"/>
    </row>
    <row r="196" spans="2:57" x14ac:dyDescent="0.25">
      <c r="B196" s="220" t="str">
        <f>Cen!A600</f>
        <v>Samostatná příčka, 100/242mm, Nebraska dub</v>
      </c>
      <c r="C196" s="220" t="str">
        <f>Cen!B600</f>
        <v>ZC7Q0U0FH</v>
      </c>
      <c r="D196" s="220" t="str">
        <f>Cen!C600</f>
        <v>E02G</v>
      </c>
      <c r="E196" s="593" t="str">
        <f>Cen!D600</f>
        <v>!</v>
      </c>
      <c r="F196" s="194">
        <f t="shared" si="66"/>
        <v>0</v>
      </c>
      <c r="G196" s="216">
        <f>Cen!F600</f>
        <v>226.69444999999999</v>
      </c>
      <c r="H196" s="765">
        <f>M196</f>
        <v>0</v>
      </c>
      <c r="I196" s="228"/>
      <c r="J196" s="218">
        <f>Cen!I600</f>
        <v>7307581</v>
      </c>
      <c r="K196" s="218">
        <f>Cen!J600</f>
        <v>227753</v>
      </c>
      <c r="L196" s="214">
        <f t="shared" si="60"/>
        <v>0</v>
      </c>
      <c r="M196" s="789">
        <f t="shared" si="61"/>
        <v>0</v>
      </c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458"/>
      <c r="AT196" s="219"/>
      <c r="AU196" s="219"/>
      <c r="AV196" s="219"/>
      <c r="AW196" s="219"/>
      <c r="AX196" s="219"/>
      <c r="AY196" s="219"/>
      <c r="AZ196" s="219"/>
      <c r="BA196" s="458"/>
      <c r="BB196" s="219"/>
      <c r="BC196" s="219"/>
      <c r="BD196" s="536">
        <f t="shared" si="67"/>
        <v>0</v>
      </c>
      <c r="BE196" s="210"/>
    </row>
    <row r="197" spans="2:57" x14ac:dyDescent="0.25">
      <c r="B197" s="220" t="str">
        <f>Cen!A604</f>
        <v>Rámečky pro výsuvy, od 400mm, Nebraska/OG-M</v>
      </c>
      <c r="C197" s="220" t="str">
        <f>Cen!B604</f>
        <v>ZC7F400RHP</v>
      </c>
      <c r="D197" s="220" t="str">
        <f>Cen!C604</f>
        <v>E02G</v>
      </c>
      <c r="E197" s="593" t="str">
        <f>Cen!D604</f>
        <v>!</v>
      </c>
      <c r="F197" s="194">
        <f t="shared" si="66"/>
        <v>0</v>
      </c>
      <c r="G197" s="216">
        <f>Cen!F604</f>
        <v>1373.89653</v>
      </c>
      <c r="H197" s="765">
        <f>M197</f>
        <v>0</v>
      </c>
      <c r="I197" s="228"/>
      <c r="J197" s="218">
        <f>Cen!I604</f>
        <v>7794799</v>
      </c>
      <c r="K197" s="218">
        <f>Cen!J604</f>
        <v>227756</v>
      </c>
      <c r="L197" s="214">
        <f t="shared" si="60"/>
        <v>0</v>
      </c>
      <c r="M197" s="789">
        <f t="shared" si="61"/>
        <v>0</v>
      </c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458"/>
      <c r="AT197" s="219"/>
      <c r="AU197" s="219"/>
      <c r="AV197" s="219"/>
      <c r="AW197" s="219"/>
      <c r="AX197" s="348">
        <f>ALpow!R8</f>
        <v>0</v>
      </c>
      <c r="AY197" s="348"/>
      <c r="AZ197" s="219"/>
      <c r="BA197" s="458"/>
      <c r="BB197" s="219"/>
      <c r="BC197" s="219"/>
      <c r="BD197" s="536">
        <f t="shared" si="67"/>
        <v>0</v>
      </c>
      <c r="BE197" s="210"/>
    </row>
    <row r="198" spans="2:57" x14ac:dyDescent="0.25">
      <c r="B198" s="220" t="str">
        <f>Cen!A607</f>
        <v>Samostatná příčka, 100/218mm, Nebraska dub</v>
      </c>
      <c r="C198" s="220" t="str">
        <f>Cen!B607</f>
        <v>ZC7Q0P0SH</v>
      </c>
      <c r="D198" s="220" t="str">
        <f>Cen!C607</f>
        <v>E02G</v>
      </c>
      <c r="E198" s="593" t="str">
        <f>Cen!D607</f>
        <v>!</v>
      </c>
      <c r="F198" s="194">
        <f t="shared" si="66"/>
        <v>0</v>
      </c>
      <c r="G198" s="216">
        <f>Cen!F607</f>
        <v>226.69444999999999</v>
      </c>
      <c r="H198" s="765">
        <f>M198</f>
        <v>0</v>
      </c>
      <c r="I198" s="228"/>
      <c r="J198" s="218">
        <f>Cen!I607</f>
        <v>2503742</v>
      </c>
      <c r="K198" s="218">
        <f>Cen!J607</f>
        <v>227759</v>
      </c>
      <c r="L198" s="214">
        <f t="shared" si="60"/>
        <v>0</v>
      </c>
      <c r="M198" s="789">
        <f t="shared" si="61"/>
        <v>0</v>
      </c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458"/>
      <c r="AT198" s="219"/>
      <c r="AU198" s="219"/>
      <c r="AV198" s="219"/>
      <c r="AW198" s="219"/>
      <c r="AX198" s="219"/>
      <c r="AY198" s="219"/>
      <c r="AZ198" s="219"/>
      <c r="BA198" s="458"/>
      <c r="BB198" s="348"/>
      <c r="BC198" s="219"/>
      <c r="BD198" s="536">
        <f t="shared" si="67"/>
        <v>0</v>
      </c>
      <c r="BE198" s="210"/>
    </row>
    <row r="199" spans="2:57" x14ac:dyDescent="0.25">
      <c r="B199" s="220"/>
      <c r="C199" s="220"/>
      <c r="D199" s="220"/>
      <c r="E199" s="593"/>
      <c r="F199" s="194"/>
      <c r="G199" s="216"/>
      <c r="H199" s="765"/>
      <c r="I199" s="217"/>
      <c r="J199" s="218"/>
      <c r="K199" s="218"/>
      <c r="L199" s="214">
        <f t="shared" si="60"/>
        <v>0</v>
      </c>
      <c r="M199" s="789">
        <f t="shared" si="61"/>
        <v>0</v>
      </c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458"/>
      <c r="AT199" s="219"/>
      <c r="AU199" s="219"/>
      <c r="AV199" s="219"/>
      <c r="AW199" s="219"/>
      <c r="AX199" s="219"/>
      <c r="AY199" s="219"/>
      <c r="AZ199" s="219"/>
      <c r="BA199" s="458"/>
      <c r="BB199" s="219"/>
      <c r="BC199" s="219"/>
      <c r="BD199" s="536">
        <f t="shared" si="67"/>
        <v>0</v>
      </c>
      <c r="BE199" s="210"/>
    </row>
    <row r="200" spans="2:57" x14ac:dyDescent="0.25">
      <c r="B200" s="220" t="str">
        <f>Cen!A613</f>
        <v>Souprava na lahve, pro š.rám. 100mm, Orion šedá</v>
      </c>
      <c r="C200" s="220" t="str">
        <f>Cen!B613</f>
        <v>ZC7B0100S</v>
      </c>
      <c r="D200" s="220" t="str">
        <f>Cen!C613</f>
        <v>OG-M</v>
      </c>
      <c r="E200" s="593" t="str">
        <f>Cen!D613</f>
        <v>!</v>
      </c>
      <c r="F200" s="194">
        <f t="shared" si="66"/>
        <v>0</v>
      </c>
      <c r="G200" s="216">
        <f>Cen!F613</f>
        <v>554.96564999999998</v>
      </c>
      <c r="H200" s="765">
        <f t="shared" ref="H200:H201" si="70">M200</f>
        <v>0</v>
      </c>
      <c r="I200" s="228"/>
      <c r="J200" s="218">
        <f>Cen!I613</f>
        <v>5541312</v>
      </c>
      <c r="K200" s="218">
        <f>Cen!J613</f>
        <v>352481</v>
      </c>
      <c r="L200" s="214">
        <f t="shared" si="60"/>
        <v>0</v>
      </c>
      <c r="M200" s="789">
        <f t="shared" si="61"/>
        <v>0</v>
      </c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  <c r="AH200" s="219"/>
      <c r="AI200" s="219"/>
      <c r="AJ200" s="219"/>
      <c r="AK200" s="219"/>
      <c r="AL200" s="219"/>
      <c r="AM200" s="219"/>
      <c r="AN200" s="219"/>
      <c r="AO200" s="219"/>
      <c r="AP200" s="219"/>
      <c r="AQ200" s="219"/>
      <c r="AR200" s="219"/>
      <c r="AS200" s="458"/>
      <c r="AT200" s="219"/>
      <c r="AU200" s="219"/>
      <c r="AV200" s="717">
        <f>ALbot!R3</f>
        <v>0</v>
      </c>
      <c r="AW200" s="219"/>
      <c r="AX200" s="219"/>
      <c r="AY200" s="219"/>
      <c r="AZ200" s="219"/>
      <c r="BA200" s="458"/>
      <c r="BB200" s="219"/>
      <c r="BC200" s="219"/>
      <c r="BD200" s="536"/>
      <c r="BE200" s="210"/>
    </row>
    <row r="201" spans="2:57" x14ac:dyDescent="0.25">
      <c r="B201" s="220" t="str">
        <f>Cen!A616</f>
        <v>Souprava na lahve, pro š.rám. 200mm, Orion šedá</v>
      </c>
      <c r="C201" s="220" t="str">
        <f>Cen!B616</f>
        <v>ZC7B0200S</v>
      </c>
      <c r="D201" s="220" t="str">
        <f>Cen!C616</f>
        <v>OG-M</v>
      </c>
      <c r="E201" s="593">
        <f>Cen!D616</f>
        <v>0</v>
      </c>
      <c r="F201" s="194">
        <f t="shared" si="66"/>
        <v>0</v>
      </c>
      <c r="G201" s="216">
        <f>Cen!F616</f>
        <v>710.47880999999995</v>
      </c>
      <c r="H201" s="765">
        <f t="shared" si="70"/>
        <v>0</v>
      </c>
      <c r="I201" s="228"/>
      <c r="J201" s="218">
        <f>Cen!I616</f>
        <v>4250192</v>
      </c>
      <c r="K201" s="218">
        <f>Cen!J616</f>
        <v>279426</v>
      </c>
      <c r="L201" s="214">
        <f t="shared" si="60"/>
        <v>0</v>
      </c>
      <c r="M201" s="789">
        <f t="shared" si="61"/>
        <v>0</v>
      </c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19"/>
      <c r="AI201" s="219"/>
      <c r="AJ201" s="219"/>
      <c r="AK201" s="219"/>
      <c r="AL201" s="219"/>
      <c r="AM201" s="219"/>
      <c r="AN201" s="219"/>
      <c r="AO201" s="219"/>
      <c r="AP201" s="219"/>
      <c r="AQ201" s="219"/>
      <c r="AR201" s="219"/>
      <c r="AS201" s="458"/>
      <c r="AT201" s="219"/>
      <c r="AU201" s="219"/>
      <c r="AV201" s="717">
        <f>ALbot!R4</f>
        <v>0</v>
      </c>
      <c r="AW201" s="219"/>
      <c r="AX201" s="219"/>
      <c r="AY201" s="219"/>
      <c r="AZ201" s="219"/>
      <c r="BA201" s="458"/>
      <c r="BB201" s="219"/>
      <c r="BC201" s="219"/>
      <c r="BD201" s="536"/>
      <c r="BE201" s="210"/>
    </row>
    <row r="202" spans="2:57" x14ac:dyDescent="0.25">
      <c r="B202" s="220"/>
      <c r="C202" s="220"/>
      <c r="D202" s="220"/>
      <c r="E202" s="593"/>
      <c r="F202" s="194"/>
      <c r="G202" s="216"/>
      <c r="H202" s="765"/>
      <c r="I202" s="217"/>
      <c r="J202" s="218"/>
      <c r="K202" s="218"/>
      <c r="L202" s="214">
        <f t="shared" si="60"/>
        <v>0</v>
      </c>
      <c r="M202" s="789">
        <f t="shared" si="61"/>
        <v>0</v>
      </c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458"/>
      <c r="AT202" s="219"/>
      <c r="AU202" s="219"/>
      <c r="AV202" s="219"/>
      <c r="AW202" s="219"/>
      <c r="AX202" s="219"/>
      <c r="AY202" s="219"/>
      <c r="AZ202" s="219"/>
      <c r="BA202" s="458"/>
      <c r="BB202" s="219"/>
      <c r="BC202" s="219"/>
      <c r="BD202" s="536"/>
      <c r="BE202" s="210"/>
    </row>
    <row r="203" spans="2:57" x14ac:dyDescent="0.25">
      <c r="B203" s="220" t="str">
        <f>Cen!A625</f>
        <v>Držák nožů</v>
      </c>
      <c r="C203" s="220" t="str">
        <f>Cen!B625</f>
        <v>ZC7M0200</v>
      </c>
      <c r="D203" s="220" t="str">
        <f>Cen!C625</f>
        <v>OG-M</v>
      </c>
      <c r="E203" s="593">
        <f>Cen!D625</f>
        <v>0</v>
      </c>
      <c r="F203" s="194">
        <f t="shared" si="66"/>
        <v>0</v>
      </c>
      <c r="G203" s="216">
        <f>Cen!F625</f>
        <v>779.68948</v>
      </c>
      <c r="H203" s="765">
        <f t="shared" ref="H203:H264" si="71">M203</f>
        <v>0</v>
      </c>
      <c r="I203" s="228"/>
      <c r="J203" s="218">
        <f>Cen!I625</f>
        <v>9809820</v>
      </c>
      <c r="K203" s="218">
        <f>Cen!J625</f>
        <v>227688</v>
      </c>
      <c r="L203" s="214">
        <f t="shared" si="60"/>
        <v>0</v>
      </c>
      <c r="M203" s="789">
        <f t="shared" si="61"/>
        <v>0</v>
      </c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458"/>
      <c r="AT203" s="219"/>
      <c r="AU203" s="219"/>
      <c r="AV203" s="219"/>
      <c r="AW203" s="219"/>
      <c r="AX203" s="219"/>
      <c r="AY203" s="219"/>
      <c r="AZ203" s="348">
        <f>ALkh!R18</f>
        <v>0</v>
      </c>
      <c r="BA203" s="458"/>
      <c r="BB203" s="219"/>
      <c r="BC203" s="219"/>
      <c r="BD203" s="536">
        <f t="shared" si="67"/>
        <v>0</v>
      </c>
      <c r="BE203" s="210"/>
    </row>
    <row r="204" spans="2:57" x14ac:dyDescent="0.25">
      <c r="B204" s="220" t="str">
        <f>Cen!A626</f>
        <v>Řezačka na potravinové folie, s folií</v>
      </c>
      <c r="C204" s="220" t="str">
        <f>Cen!B626</f>
        <v>ZC7C000</v>
      </c>
      <c r="D204" s="220" t="str">
        <f>Cen!C626</f>
        <v>OG-M</v>
      </c>
      <c r="E204" s="593">
        <f>Cen!D626</f>
        <v>0</v>
      </c>
      <c r="F204" s="194">
        <f t="shared" si="66"/>
        <v>0</v>
      </c>
      <c r="G204" s="216">
        <f>Cen!F626</f>
        <v>1916.5860199999997</v>
      </c>
      <c r="H204" s="765">
        <f t="shared" si="71"/>
        <v>0</v>
      </c>
      <c r="I204" s="228"/>
      <c r="J204" s="218">
        <f>Cen!I626</f>
        <v>5952958</v>
      </c>
      <c r="K204" s="218">
        <f>Cen!J626</f>
        <v>227689</v>
      </c>
      <c r="L204" s="214">
        <f t="shared" si="60"/>
        <v>0</v>
      </c>
      <c r="M204" s="789">
        <f t="shared" si="61"/>
        <v>0</v>
      </c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458"/>
      <c r="AT204" s="219"/>
      <c r="AU204" s="219"/>
      <c r="AV204" s="219"/>
      <c r="AW204" s="219"/>
      <c r="AX204" s="219"/>
      <c r="AY204" s="219"/>
      <c r="AZ204" s="348">
        <f>ALkh!R19</f>
        <v>0</v>
      </c>
      <c r="BA204" s="458"/>
      <c r="BB204" s="219"/>
      <c r="BC204" s="219"/>
      <c r="BD204" s="536">
        <f t="shared" si="67"/>
        <v>0</v>
      </c>
      <c r="BE204" s="210"/>
    </row>
    <row r="205" spans="2:57" ht="12.75" customHeight="1" x14ac:dyDescent="0.25">
      <c r="B205" s="220" t="str">
        <f>Cen!A627</f>
        <v>Řezačka na potravinové folie, bez folie</v>
      </c>
      <c r="C205" s="220" t="str">
        <f>Cen!B627</f>
        <v>ZC7C001</v>
      </c>
      <c r="D205" s="220" t="str">
        <f>Cen!C627</f>
        <v>OG-M</v>
      </c>
      <c r="E205" s="593" t="str">
        <f>Cen!D627</f>
        <v>!</v>
      </c>
      <c r="F205" s="194">
        <f t="shared" si="66"/>
        <v>0</v>
      </c>
      <c r="G205" s="216">
        <f>Cen!F627</f>
        <v>1916.5860199999997</v>
      </c>
      <c r="H205" s="765">
        <f t="shared" si="71"/>
        <v>0</v>
      </c>
      <c r="I205" s="228"/>
      <c r="J205" s="218">
        <f>Cen!I627</f>
        <v>5241444</v>
      </c>
      <c r="K205" s="218">
        <f>Cen!J627</f>
        <v>227690</v>
      </c>
      <c r="L205" s="214">
        <f t="shared" si="60"/>
        <v>0</v>
      </c>
      <c r="M205" s="789">
        <f t="shared" si="61"/>
        <v>0</v>
      </c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458"/>
      <c r="AT205" s="219"/>
      <c r="AU205" s="219"/>
      <c r="AV205" s="219"/>
      <c r="AW205" s="219"/>
      <c r="AX205" s="219"/>
      <c r="AY205" s="219"/>
      <c r="AZ205" s="348">
        <f>ALkh!R20</f>
        <v>0</v>
      </c>
      <c r="BA205" s="458"/>
      <c r="BB205" s="897" t="s">
        <v>747</v>
      </c>
      <c r="BC205" s="897" t="s">
        <v>748</v>
      </c>
      <c r="BD205" s="536">
        <f t="shared" si="67"/>
        <v>0</v>
      </c>
      <c r="BE205" s="210"/>
    </row>
    <row r="206" spans="2:57" x14ac:dyDescent="0.25">
      <c r="B206" s="220" t="str">
        <f>Cen!A628</f>
        <v>Stojánek na kořenky</v>
      </c>
      <c r="C206" s="220" t="str">
        <f>Cen!B628</f>
        <v>ZC7G0P0I</v>
      </c>
      <c r="D206" s="220" t="str">
        <f>Cen!C628</f>
        <v>INGL</v>
      </c>
      <c r="E206" s="593">
        <f>Cen!D628</f>
        <v>0</v>
      </c>
      <c r="F206" s="194">
        <f t="shared" si="66"/>
        <v>0</v>
      </c>
      <c r="G206" s="216">
        <f>Cen!F628</f>
        <v>1191.8663899999999</v>
      </c>
      <c r="H206" s="765">
        <f t="shared" si="71"/>
        <v>0</v>
      </c>
      <c r="I206" s="228"/>
      <c r="J206" s="218">
        <f>Cen!I628</f>
        <v>8058240</v>
      </c>
      <c r="K206" s="218">
        <f>Cen!J628</f>
        <v>227691</v>
      </c>
      <c r="L206" s="214">
        <f>IF(I206="x",0,IF(I206&gt;0,I206,F206))</f>
        <v>0</v>
      </c>
      <c r="M206" s="789">
        <f>PRODUCT(L206,G206)</f>
        <v>0</v>
      </c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458"/>
      <c r="AT206" s="219"/>
      <c r="AU206" s="219"/>
      <c r="AV206" s="219"/>
      <c r="AW206" s="219"/>
      <c r="AX206" s="219"/>
      <c r="AY206" s="219"/>
      <c r="AZ206" s="348">
        <f>ALkh!R21</f>
        <v>0</v>
      </c>
      <c r="BA206" s="458"/>
      <c r="BB206" s="897"/>
      <c r="BC206" s="897"/>
      <c r="BD206" s="536">
        <f t="shared" si="67"/>
        <v>0</v>
      </c>
      <c r="BE206" s="210"/>
    </row>
    <row r="207" spans="2:57" ht="12.75" customHeight="1" x14ac:dyDescent="0.25">
      <c r="B207" s="220" t="str">
        <f>Cen!A629</f>
        <v>Držák talířů</v>
      </c>
      <c r="C207" s="220" t="str">
        <f>Cen!B629</f>
        <v>ZC7T0350</v>
      </c>
      <c r="D207" s="220" t="str">
        <f>Cen!C629</f>
        <v>OG-M</v>
      </c>
      <c r="E207" s="593">
        <f>Cen!D629</f>
        <v>0</v>
      </c>
      <c r="F207" s="194">
        <f t="shared" si="66"/>
        <v>0</v>
      </c>
      <c r="G207" s="216">
        <f>Cen!F629</f>
        <v>1160.9431999999999</v>
      </c>
      <c r="H207" s="765">
        <f t="shared" si="71"/>
        <v>0</v>
      </c>
      <c r="I207" s="228"/>
      <c r="J207" s="218">
        <f>Cen!I629</f>
        <v>1366848</v>
      </c>
      <c r="K207" s="218">
        <f>Cen!J629</f>
        <v>227693</v>
      </c>
      <c r="L207" s="214">
        <f t="shared" si="60"/>
        <v>0</v>
      </c>
      <c r="M207" s="789">
        <f t="shared" si="61"/>
        <v>0</v>
      </c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458"/>
      <c r="AT207" s="219"/>
      <c r="AU207" s="219"/>
      <c r="AV207" s="219"/>
      <c r="AW207" s="219"/>
      <c r="AX207" s="219"/>
      <c r="AY207" s="219"/>
      <c r="AZ207" s="348">
        <f>ALkh!R22</f>
        <v>0</v>
      </c>
      <c r="BA207" s="458"/>
      <c r="BB207" s="897"/>
      <c r="BC207" s="897"/>
      <c r="BD207" s="536">
        <f t="shared" si="67"/>
        <v>0</v>
      </c>
      <c r="BE207" s="210"/>
    </row>
    <row r="208" spans="2:57" x14ac:dyDescent="0.25">
      <c r="B208" s="220"/>
      <c r="C208" s="220"/>
      <c r="D208" s="220"/>
      <c r="E208" s="593"/>
      <c r="F208" s="194"/>
      <c r="G208" s="216"/>
      <c r="H208" s="765"/>
      <c r="I208" s="217"/>
      <c r="J208" s="218"/>
      <c r="K208" s="218"/>
      <c r="L208" s="214">
        <f t="shared" si="60"/>
        <v>0</v>
      </c>
      <c r="M208" s="789">
        <f t="shared" si="61"/>
        <v>0</v>
      </c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458"/>
      <c r="AT208" s="219"/>
      <c r="AU208" s="219"/>
      <c r="AV208" s="219"/>
      <c r="AW208" s="219"/>
      <c r="AX208" s="219"/>
      <c r="AY208" s="219"/>
      <c r="AZ208" s="219"/>
      <c r="BA208" s="458"/>
      <c r="BB208" s="219"/>
      <c r="BC208" s="219"/>
      <c r="BD208" s="536">
        <f t="shared" si="67"/>
        <v>0</v>
      </c>
      <c r="BE208" s="210"/>
    </row>
    <row r="209" spans="2:57" x14ac:dyDescent="0.25">
      <c r="B209" s="220" t="str">
        <f>Cen!A633</f>
        <v>Upevňovací šrouby s plochou hlavou 4x15mm</v>
      </c>
      <c r="C209" s="220" t="str">
        <f>Cen!B633</f>
        <v>61D.1500</v>
      </c>
      <c r="D209" s="220" t="str">
        <f>Cen!C633</f>
        <v>ZN</v>
      </c>
      <c r="E209" s="593">
        <f>Cen!D633</f>
        <v>0</v>
      </c>
      <c r="F209" s="194">
        <f>IF(I209="x",0,ROUNDUP(IF(I209&gt;0,I209,SUM(N209:BC209)),-2))</f>
        <v>0</v>
      </c>
      <c r="G209" s="216">
        <f>Cen!F633</f>
        <v>1.8800600000000001</v>
      </c>
      <c r="H209" s="765">
        <f t="shared" si="71"/>
        <v>0</v>
      </c>
      <c r="I209" s="228"/>
      <c r="J209" s="218">
        <f>Cen!I633</f>
        <v>9508739</v>
      </c>
      <c r="K209" s="218">
        <f>Cen!J633</f>
        <v>237597</v>
      </c>
      <c r="L209" s="214">
        <f t="shared" ref="L209" si="72">IF(I209="x",0,IF(I209&gt;0,I209,F209))</f>
        <v>0</v>
      </c>
      <c r="M209" s="789">
        <f t="shared" ref="M209" si="73">PRODUCT(L209,G209)</f>
        <v>0</v>
      </c>
      <c r="N209" s="802">
        <f>SUM(N$12:N$13)*12</f>
        <v>0</v>
      </c>
      <c r="O209" s="802">
        <f>SUM(O$15:O$23)*12</f>
        <v>0</v>
      </c>
      <c r="P209" s="802">
        <f>SUM(P$15:P$23)*12</f>
        <v>0</v>
      </c>
      <c r="Q209" s="802">
        <f>SUM(Q$25:Q$29)*14</f>
        <v>0</v>
      </c>
      <c r="R209" s="802">
        <f>SUM(R$31:R$46)*16</f>
        <v>0</v>
      </c>
      <c r="S209" s="802">
        <f t="shared" ref="S209:Y209" si="74">SUM(S$31:S$46)*16</f>
        <v>0</v>
      </c>
      <c r="T209" s="802">
        <f t="shared" si="74"/>
        <v>0</v>
      </c>
      <c r="U209" s="802">
        <f t="shared" si="74"/>
        <v>0</v>
      </c>
      <c r="V209" s="802">
        <f t="shared" si="74"/>
        <v>0</v>
      </c>
      <c r="W209" s="802">
        <f t="shared" si="74"/>
        <v>0</v>
      </c>
      <c r="X209" s="802">
        <f t="shared" si="74"/>
        <v>0</v>
      </c>
      <c r="Y209" s="802">
        <f t="shared" si="74"/>
        <v>0</v>
      </c>
      <c r="Z209" s="802">
        <f>SUM(Z$48:Z$52)*16</f>
        <v>0</v>
      </c>
      <c r="AA209" s="219"/>
      <c r="AB209" s="802">
        <f>SUM(AB$15:AB$23)*12</f>
        <v>0</v>
      </c>
      <c r="AC209" s="802">
        <f>SUM(AC$31:AC$46)*16</f>
        <v>0</v>
      </c>
      <c r="AD209" s="802">
        <f>SUM(AD$31:AD$46)*16</f>
        <v>0</v>
      </c>
      <c r="AE209" s="802">
        <f>SUM(AE$31:AE$46)*16</f>
        <v>0</v>
      </c>
      <c r="AF209" s="802">
        <f>SUM(AF$31:AF$46)*16</f>
        <v>0</v>
      </c>
      <c r="AG209" s="219"/>
      <c r="AH209" s="802">
        <f>SUM(SUM(AH$15:AH$23)*12,SUM(AH$31:AH$46)*16)</f>
        <v>0</v>
      </c>
      <c r="AI209" s="802">
        <f>SUM(SUM(AI$15:AI$23)*12,SUM(AI$31:AI$46)*16)</f>
        <v>0</v>
      </c>
      <c r="AJ209" s="219"/>
      <c r="AK209" s="802">
        <f>SUM(AK$31:AK$46)*16</f>
        <v>0</v>
      </c>
      <c r="AL209" s="802">
        <f>SUM(AL$31:AL$46)*16</f>
        <v>0</v>
      </c>
      <c r="AM209" s="802">
        <f>SUM(AM$31:AM$46)*16</f>
        <v>0</v>
      </c>
      <c r="AN209" s="802">
        <f>SUM(AN$31:AN$46)*16</f>
        <v>0</v>
      </c>
      <c r="AO209" s="802">
        <f>SUM(SUM(AO$16:AO$23)*12,SUM(AO$35:AO$46)*16)</f>
        <v>0</v>
      </c>
      <c r="AP209" s="802">
        <f>SUM(SUM(AP$16:AP$23)*12,SUM(AP$35:AP$46)*16)</f>
        <v>0</v>
      </c>
      <c r="AQ209" s="802">
        <f>SUM(SUM(AQ$16:AQ$23)*12,SUM(AQ$35:AQ$46)*16)</f>
        <v>0</v>
      </c>
      <c r="AR209" s="802">
        <f>SUM(SUM(AR$16:AR$23)*12,SUM(AR$35:AR$46)*16)</f>
        <v>0</v>
      </c>
      <c r="AS209" s="458"/>
      <c r="AT209" s="219"/>
      <c r="AU209" s="219"/>
      <c r="AV209" s="219"/>
      <c r="AW209" s="219"/>
      <c r="AX209" s="219"/>
      <c r="AY209" s="219"/>
      <c r="AZ209" s="219"/>
      <c r="BA209" s="458"/>
      <c r="BB209" s="348">
        <f>Acs!E14</f>
        <v>0</v>
      </c>
      <c r="BC209" s="219"/>
      <c r="BD209" s="536">
        <f t="shared" si="67"/>
        <v>0</v>
      </c>
      <c r="BE209" s="210"/>
    </row>
    <row r="210" spans="2:57" x14ac:dyDescent="0.25">
      <c r="B210" s="220" t="str">
        <f>Cen!A634</f>
        <v>Stabilizace čel</v>
      </c>
      <c r="C210" s="220" t="str">
        <f>Cen!B634</f>
        <v>Z96.10E1</v>
      </c>
      <c r="D210" s="220" t="str">
        <f>Cen!C634</f>
        <v>R737</v>
      </c>
      <c r="E210" s="593">
        <f>Cen!D634</f>
        <v>0</v>
      </c>
      <c r="F210" s="194">
        <f t="shared" ref="F210:F242" si="75">IF(I210&gt;0,I210,SUM(N210:BC210))</f>
        <v>0</v>
      </c>
      <c r="G210" s="216">
        <f>Cen!F634</f>
        <v>35.153820000000003</v>
      </c>
      <c r="H210" s="765">
        <f t="shared" si="71"/>
        <v>0</v>
      </c>
      <c r="I210" s="228"/>
      <c r="J210" s="218">
        <f>Cen!I634</f>
        <v>6448980</v>
      </c>
      <c r="K210" s="218">
        <f>Cen!J634</f>
        <v>12839</v>
      </c>
      <c r="L210" s="214">
        <f t="shared" si="60"/>
        <v>0</v>
      </c>
      <c r="M210" s="789">
        <f t="shared" si="61"/>
        <v>0</v>
      </c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458"/>
      <c r="AT210" s="219"/>
      <c r="AU210" s="219"/>
      <c r="AV210" s="219"/>
      <c r="AW210" s="219"/>
      <c r="AX210" s="219"/>
      <c r="AY210" s="219"/>
      <c r="AZ210" s="219"/>
      <c r="BA210" s="458"/>
      <c r="BB210" s="348">
        <f>Acs!E12</f>
        <v>0</v>
      </c>
      <c r="BC210" s="348">
        <f>SD!E24</f>
        <v>0</v>
      </c>
      <c r="BD210" s="536">
        <f t="shared" ref="BD210:BD242" si="76">IF(AND(E210&gt;0,F210&gt;0),1,0)</f>
        <v>0</v>
      </c>
      <c r="BE210" s="210"/>
    </row>
    <row r="211" spans="2:57" x14ac:dyDescent="0.25">
      <c r="B211" s="220" t="str">
        <f>Cen!A635</f>
        <v>Tlumící čočka k zavrtání</v>
      </c>
      <c r="C211" s="220" t="str">
        <f>Cen!B635</f>
        <v>993.706</v>
      </c>
      <c r="D211" s="220" t="str">
        <f>Cen!C635</f>
        <v>R906</v>
      </c>
      <c r="E211" s="593">
        <f>Cen!D635</f>
        <v>0</v>
      </c>
      <c r="F211" s="194">
        <f t="shared" si="75"/>
        <v>0</v>
      </c>
      <c r="G211" s="216">
        <f>Cen!F635</f>
        <v>4.1288499999999999</v>
      </c>
      <c r="H211" s="765">
        <f t="shared" si="71"/>
        <v>0</v>
      </c>
      <c r="I211" s="228"/>
      <c r="J211" s="218">
        <f>Cen!I635</f>
        <v>3283090</v>
      </c>
      <c r="K211" s="218">
        <f>Cen!J635</f>
        <v>12388</v>
      </c>
      <c r="L211" s="214">
        <f t="shared" si="60"/>
        <v>0</v>
      </c>
      <c r="M211" s="789">
        <f t="shared" si="61"/>
        <v>0</v>
      </c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458"/>
      <c r="AT211" s="219"/>
      <c r="AU211" s="219"/>
      <c r="AV211" s="219"/>
      <c r="AW211" s="219"/>
      <c r="AX211" s="219"/>
      <c r="AY211" s="219"/>
      <c r="AZ211" s="219"/>
      <c r="BA211" s="458"/>
      <c r="BB211" s="348">
        <f>Acs!E13</f>
        <v>0</v>
      </c>
      <c r="BC211" s="219"/>
      <c r="BD211" s="536">
        <f t="shared" si="76"/>
        <v>0</v>
      </c>
      <c r="BE211" s="210"/>
    </row>
    <row r="212" spans="2:57" x14ac:dyDescent="0.25">
      <c r="B212" s="220" t="str">
        <f>Cen!A636</f>
        <v>Torxový šroubovák, T20</v>
      </c>
      <c r="C212" s="220" t="str">
        <f>Cen!B636</f>
        <v>209.093.7</v>
      </c>
      <c r="D212" s="220" t="str">
        <f>Cen!C636</f>
        <v>OR</v>
      </c>
      <c r="E212" s="593">
        <f>Cen!D636</f>
        <v>0</v>
      </c>
      <c r="F212" s="194">
        <f t="shared" si="75"/>
        <v>0</v>
      </c>
      <c r="G212" s="216">
        <f>Cen!F636</f>
        <v>165</v>
      </c>
      <c r="H212" s="765">
        <f t="shared" si="71"/>
        <v>0</v>
      </c>
      <c r="I212" s="228"/>
      <c r="J212" s="218">
        <f>Cen!I636</f>
        <v>2090937</v>
      </c>
      <c r="K212" s="218">
        <f>Cen!J636</f>
        <v>236550</v>
      </c>
      <c r="L212" s="214">
        <f t="shared" si="60"/>
        <v>0</v>
      </c>
      <c r="M212" s="789">
        <f t="shared" si="61"/>
        <v>0</v>
      </c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458"/>
      <c r="AT212" s="219"/>
      <c r="AU212" s="219"/>
      <c r="AV212" s="219"/>
      <c r="AW212" s="219"/>
      <c r="AX212" s="219"/>
      <c r="AY212" s="219"/>
      <c r="AZ212" s="219"/>
      <c r="BA212" s="458"/>
      <c r="BB212" s="348">
        <f>Acs!E15</f>
        <v>0</v>
      </c>
      <c r="BC212" s="219"/>
      <c r="BD212" s="536">
        <f t="shared" si="76"/>
        <v>0</v>
      </c>
      <c r="BE212" s="210"/>
    </row>
    <row r="213" spans="2:57" x14ac:dyDescent="0.25">
      <c r="B213" s="220" t="str">
        <f>Cen!A637</f>
        <v>Transportní pojistka</v>
      </c>
      <c r="C213" s="220" t="str">
        <f>Cen!B637</f>
        <v>780C0009</v>
      </c>
      <c r="D213" s="220" t="str">
        <f>Cen!C637</f>
        <v>GELB</v>
      </c>
      <c r="E213" s="593">
        <f>Cen!D637</f>
        <v>0</v>
      </c>
      <c r="F213" s="194">
        <f t="shared" si="75"/>
        <v>0</v>
      </c>
      <c r="G213" s="216">
        <f>Cen!F637</f>
        <v>33.796340000000001</v>
      </c>
      <c r="H213" s="765">
        <f>M213</f>
        <v>0</v>
      </c>
      <c r="I213" s="228"/>
      <c r="J213" s="218">
        <f>Cen!I637</f>
        <v>1290697</v>
      </c>
      <c r="K213" s="218">
        <f>Cen!J637</f>
        <v>267764</v>
      </c>
      <c r="L213" s="214">
        <f>IF(I213="x",0,IF(I213&gt;0,I213,F213))</f>
        <v>0</v>
      </c>
      <c r="M213" s="789">
        <f>PRODUCT(L213,G213)</f>
        <v>0</v>
      </c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458"/>
      <c r="AT213" s="219"/>
      <c r="AU213" s="219"/>
      <c r="AV213" s="219"/>
      <c r="AW213" s="219"/>
      <c r="AX213" s="219"/>
      <c r="AY213" s="219"/>
      <c r="AZ213" s="219"/>
      <c r="BA213" s="458"/>
      <c r="BB213" s="348">
        <f>Acs!E16</f>
        <v>0</v>
      </c>
      <c r="BC213" s="219"/>
      <c r="BD213" s="536">
        <f>IF(AND(E213&gt;0,F213&gt;0),1,0)</f>
        <v>0</v>
      </c>
      <c r="BE213" s="210"/>
    </row>
    <row r="214" spans="2:57" x14ac:dyDescent="0.25">
      <c r="B214" s="220" t="str">
        <f>Cen!A638</f>
        <v>Šablona pro nastavení mezery čela</v>
      </c>
      <c r="C214" s="220" t="str">
        <f>Cen!B638</f>
        <v>65.5631</v>
      </c>
      <c r="D214" s="220" t="str">
        <f>Cen!C638</f>
        <v>OR</v>
      </c>
      <c r="E214" s="593">
        <f>Cen!D638</f>
        <v>0</v>
      </c>
      <c r="F214" s="194">
        <f t="shared" si="75"/>
        <v>0</v>
      </c>
      <c r="G214" s="216">
        <f>Cen!F638</f>
        <v>161.81934999999999</v>
      </c>
      <c r="H214" s="765">
        <f>M214</f>
        <v>0</v>
      </c>
      <c r="I214" s="228"/>
      <c r="J214" s="218">
        <f>Cen!I638</f>
        <v>8946234</v>
      </c>
      <c r="K214" s="218">
        <f>Cen!J638</f>
        <v>275419</v>
      </c>
      <c r="L214" s="214">
        <f>IF(I214="x",0,IF(I214&gt;0,I214,F214))</f>
        <v>0</v>
      </c>
      <c r="M214" s="789">
        <f>PRODUCT(L214,G214)</f>
        <v>0</v>
      </c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458"/>
      <c r="AT214" s="219"/>
      <c r="AU214" s="219"/>
      <c r="AV214" s="219"/>
      <c r="AW214" s="219"/>
      <c r="AX214" s="219"/>
      <c r="AY214" s="219"/>
      <c r="AZ214" s="219"/>
      <c r="BA214" s="458"/>
      <c r="BB214" s="348">
        <f>Acs!E17</f>
        <v>0</v>
      </c>
      <c r="BC214" s="219"/>
      <c r="BD214" s="536">
        <f>IF(AND(E214&gt;0,F214&gt;0),1,0)</f>
        <v>0</v>
      </c>
      <c r="BE214" s="210"/>
    </row>
    <row r="215" spans="2:57" x14ac:dyDescent="0.25">
      <c r="B215" s="220" t="str">
        <f>Cen!A639</f>
        <v>Stabilizace čel, pro tenké materiály</v>
      </c>
      <c r="C215" s="220" t="str">
        <f>Cen!B639</f>
        <v>Z96.00T1</v>
      </c>
      <c r="D215" s="220" t="str">
        <f>Cen!C639</f>
        <v>R737</v>
      </c>
      <c r="E215" s="593">
        <f>Cen!D639</f>
        <v>0</v>
      </c>
      <c r="F215" s="194">
        <f t="shared" ref="F215:F216" si="77">IF(I215&gt;0,I215,SUM(N215:BC215))</f>
        <v>0</v>
      </c>
      <c r="G215" s="216">
        <f>Cen!F639</f>
        <v>90.96396</v>
      </c>
      <c r="H215" s="765">
        <f t="shared" ref="H215:H216" si="78">M215</f>
        <v>0</v>
      </c>
      <c r="I215" s="228"/>
      <c r="J215" s="218">
        <f>Cen!I639</f>
        <v>7654487</v>
      </c>
      <c r="K215" s="218">
        <f>Cen!J639</f>
        <v>347998</v>
      </c>
      <c r="L215" s="214">
        <f t="shared" ref="L215:L216" si="79">IF(I215="x",0,IF(I215&gt;0,I215,F215))</f>
        <v>0</v>
      </c>
      <c r="M215" s="789">
        <f t="shared" ref="M215:M216" si="80">PRODUCT(L215,G215)</f>
        <v>0</v>
      </c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458"/>
      <c r="AT215" s="219"/>
      <c r="AU215" s="219"/>
      <c r="AV215" s="219"/>
      <c r="AW215" s="219"/>
      <c r="AX215" s="219"/>
      <c r="AY215" s="219"/>
      <c r="AZ215" s="219"/>
      <c r="BA215" s="458"/>
      <c r="BB215" s="792">
        <f>Acs!E18</f>
        <v>0</v>
      </c>
      <c r="BC215" s="219"/>
      <c r="BD215" s="536">
        <f t="shared" ref="BD215:BD216" si="81">IF(AND(E215&gt;0,F215&gt;0),1,0)</f>
        <v>0</v>
      </c>
      <c r="BE215" s="210"/>
    </row>
    <row r="216" spans="2:57" x14ac:dyDescent="0.25">
      <c r="B216" s="220" t="str">
        <f>Cen!A640</f>
        <v>EXPANDO T, samostatná hmoždinka</v>
      </c>
      <c r="C216" s="220" t="str">
        <f>Cen!B640</f>
        <v>70T4532T</v>
      </c>
      <c r="D216" s="220" t="str">
        <f>Cen!C640</f>
        <v>DGR</v>
      </c>
      <c r="E216" s="593">
        <f>Cen!D640</f>
        <v>0</v>
      </c>
      <c r="F216" s="194">
        <f t="shared" si="77"/>
        <v>0</v>
      </c>
      <c r="G216" s="216">
        <f>Cen!F640</f>
        <v>58.394089999999998</v>
      </c>
      <c r="H216" s="765">
        <f t="shared" si="78"/>
        <v>0</v>
      </c>
      <c r="I216" s="228"/>
      <c r="J216" s="218">
        <f>Cen!I640</f>
        <v>4958478</v>
      </c>
      <c r="K216" s="218">
        <f>Cen!J640</f>
        <v>347999</v>
      </c>
      <c r="L216" s="214">
        <f t="shared" si="79"/>
        <v>0</v>
      </c>
      <c r="M216" s="789">
        <f t="shared" si="80"/>
        <v>0</v>
      </c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458"/>
      <c r="AT216" s="219"/>
      <c r="AU216" s="219"/>
      <c r="AV216" s="219"/>
      <c r="AW216" s="219"/>
      <c r="AX216" s="219"/>
      <c r="AY216" s="219"/>
      <c r="AZ216" s="219"/>
      <c r="BA216" s="458"/>
      <c r="BB216" s="792">
        <f>Acs!E19</f>
        <v>0</v>
      </c>
      <c r="BC216" s="219"/>
      <c r="BD216" s="536">
        <f t="shared" si="81"/>
        <v>0</v>
      </c>
      <c r="BE216" s="210"/>
    </row>
    <row r="217" spans="2:57" x14ac:dyDescent="0.25">
      <c r="B217" s="220"/>
      <c r="C217" s="220"/>
      <c r="D217" s="220"/>
      <c r="E217" s="593"/>
      <c r="F217" s="194"/>
      <c r="G217" s="216"/>
      <c r="H217" s="765"/>
      <c r="I217" s="217"/>
      <c r="J217" s="218"/>
      <c r="K217" s="218"/>
      <c r="L217" s="214">
        <f t="shared" si="60"/>
        <v>0</v>
      </c>
      <c r="M217" s="78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458"/>
      <c r="AT217" s="219"/>
      <c r="AU217" s="219"/>
      <c r="AV217" s="219"/>
      <c r="AW217" s="219"/>
      <c r="AX217" s="219"/>
      <c r="AY217" s="219"/>
      <c r="AZ217" s="219"/>
      <c r="BA217" s="458"/>
      <c r="BB217" s="219"/>
      <c r="BC217" s="219"/>
      <c r="BD217" s="536">
        <f t="shared" si="76"/>
        <v>0</v>
      </c>
      <c r="BE217" s="210"/>
    </row>
    <row r="218" spans="2:57" x14ac:dyDescent="0.25">
      <c r="B218" s="220" t="str">
        <f>Cen!A651</f>
        <v>Distanční doraz Blum, 5mm</v>
      </c>
      <c r="C218" s="220" t="str">
        <f>Cen!B651</f>
        <v>993.0530</v>
      </c>
      <c r="D218" s="220" t="str">
        <f>Cen!C651</f>
        <v>R737</v>
      </c>
      <c r="E218" s="593">
        <f>Cen!D651</f>
        <v>0</v>
      </c>
      <c r="F218" s="194">
        <f t="shared" si="75"/>
        <v>0</v>
      </c>
      <c r="G218" s="216">
        <f>Cen!F651</f>
        <v>20.736229999999999</v>
      </c>
      <c r="H218" s="765">
        <f t="shared" si="71"/>
        <v>0</v>
      </c>
      <c r="I218" s="228"/>
      <c r="J218" s="218">
        <f>Cen!I651</f>
        <v>7834990</v>
      </c>
      <c r="K218" s="218">
        <f>Cen!J651</f>
        <v>99131</v>
      </c>
      <c r="L218" s="214">
        <f t="shared" si="60"/>
        <v>0</v>
      </c>
      <c r="M218" s="789">
        <f t="shared" si="61"/>
        <v>0</v>
      </c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458"/>
      <c r="AT218" s="219"/>
      <c r="AU218" s="219"/>
      <c r="AV218" s="219"/>
      <c r="AW218" s="219"/>
      <c r="AX218" s="219"/>
      <c r="AY218" s="219"/>
      <c r="AZ218" s="219"/>
      <c r="BA218" s="458"/>
      <c r="BB218" s="219"/>
      <c r="BC218" s="348">
        <f>SD!E3</f>
        <v>0</v>
      </c>
      <c r="BD218" s="536">
        <f t="shared" si="76"/>
        <v>0</v>
      </c>
      <c r="BE218" s="210"/>
    </row>
    <row r="219" spans="2:57" x14ac:dyDescent="0.25">
      <c r="B219" s="220" t="str">
        <f>Cen!A652</f>
        <v>Distanční doraz Blum, 8mm</v>
      </c>
      <c r="C219" s="220" t="str">
        <f>Cen!B652</f>
        <v>993.0830.01</v>
      </c>
      <c r="D219" s="220" t="str">
        <f>Cen!C652</f>
        <v>R737</v>
      </c>
      <c r="E219" s="593">
        <f>Cen!D652</f>
        <v>0</v>
      </c>
      <c r="F219" s="194">
        <f t="shared" si="75"/>
        <v>0</v>
      </c>
      <c r="G219" s="216">
        <f>Cen!F652</f>
        <v>18.628139999999998</v>
      </c>
      <c r="H219" s="765">
        <f t="shared" si="71"/>
        <v>0</v>
      </c>
      <c r="I219" s="228"/>
      <c r="J219" s="218">
        <f>Cen!I652</f>
        <v>7402930</v>
      </c>
      <c r="K219" s="218">
        <f>Cen!J652</f>
        <v>99120</v>
      </c>
      <c r="L219" s="214">
        <f t="shared" si="60"/>
        <v>0</v>
      </c>
      <c r="M219" s="789">
        <f t="shared" si="61"/>
        <v>0</v>
      </c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19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458"/>
      <c r="AT219" s="219"/>
      <c r="AU219" s="219"/>
      <c r="AV219" s="219"/>
      <c r="AW219" s="219"/>
      <c r="AX219" s="219"/>
      <c r="AY219" s="219"/>
      <c r="AZ219" s="219"/>
      <c r="BA219" s="458"/>
      <c r="BB219" s="219"/>
      <c r="BC219" s="348">
        <f>SD!E4</f>
        <v>0</v>
      </c>
      <c r="BD219" s="536">
        <f t="shared" si="76"/>
        <v>0</v>
      </c>
      <c r="BE219" s="210"/>
    </row>
    <row r="220" spans="2:57" x14ac:dyDescent="0.25">
      <c r="B220" s="220" t="str">
        <f>Cen!A653</f>
        <v>Pohonná servo jednotka</v>
      </c>
      <c r="C220" s="220" t="str">
        <f>Cen!B653</f>
        <v>Z10A3000.03</v>
      </c>
      <c r="D220" s="220" t="str">
        <f>Cen!C653</f>
        <v>R737</v>
      </c>
      <c r="E220" s="593">
        <f>Cen!D653</f>
        <v>0</v>
      </c>
      <c r="F220" s="194">
        <f t="shared" si="75"/>
        <v>0</v>
      </c>
      <c r="G220" s="216">
        <f>Cen!F653</f>
        <v>2017.38859</v>
      </c>
      <c r="H220" s="765">
        <f t="shared" si="71"/>
        <v>0</v>
      </c>
      <c r="I220" s="228"/>
      <c r="J220" s="218">
        <f>Cen!I653</f>
        <v>6970029</v>
      </c>
      <c r="K220" s="218">
        <f>Cen!J653</f>
        <v>99100</v>
      </c>
      <c r="L220" s="214">
        <f t="shared" si="60"/>
        <v>0</v>
      </c>
      <c r="M220" s="789">
        <f t="shared" si="61"/>
        <v>0</v>
      </c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458"/>
      <c r="AT220" s="219"/>
      <c r="AU220" s="219"/>
      <c r="AV220" s="219"/>
      <c r="AW220" s="219"/>
      <c r="AX220" s="219"/>
      <c r="AY220" s="219"/>
      <c r="AZ220" s="219"/>
      <c r="BA220" s="458"/>
      <c r="BB220" s="219"/>
      <c r="BC220" s="348">
        <f>SD!E10</f>
        <v>0</v>
      </c>
      <c r="BD220" s="536">
        <f t="shared" si="76"/>
        <v>0</v>
      </c>
      <c r="BE220" s="210"/>
    </row>
    <row r="221" spans="2:57" x14ac:dyDescent="0.25">
      <c r="B221" s="220" t="str">
        <f>Cen!A654</f>
        <v>Držák nosníku, vlys naležato</v>
      </c>
      <c r="C221" s="220" t="str">
        <f>Cen!B654</f>
        <v>Z10D01E0.01</v>
      </c>
      <c r="D221" s="220" t="str">
        <f>Cen!C654</f>
        <v>R737</v>
      </c>
      <c r="E221" s="593">
        <f>Cen!D654</f>
        <v>0</v>
      </c>
      <c r="F221" s="194">
        <f t="shared" si="75"/>
        <v>0</v>
      </c>
      <c r="G221" s="216">
        <f>Cen!F654</f>
        <v>98.899799999999999</v>
      </c>
      <c r="H221" s="765">
        <f t="shared" si="71"/>
        <v>0</v>
      </c>
      <c r="I221" s="228"/>
      <c r="J221" s="218">
        <f>Cen!I654</f>
        <v>3061821</v>
      </c>
      <c r="K221" s="218">
        <f>Cen!J654</f>
        <v>99101</v>
      </c>
      <c r="L221" s="214">
        <f t="shared" si="60"/>
        <v>0</v>
      </c>
      <c r="M221" s="789">
        <f t="shared" si="61"/>
        <v>0</v>
      </c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458"/>
      <c r="AT221" s="219"/>
      <c r="AU221" s="219"/>
      <c r="AV221" s="219"/>
      <c r="AW221" s="219"/>
      <c r="AX221" s="219"/>
      <c r="AY221" s="219"/>
      <c r="AZ221" s="219"/>
      <c r="BA221" s="458"/>
      <c r="BB221" s="219"/>
      <c r="BC221" s="348">
        <f>SD!E8</f>
        <v>0</v>
      </c>
      <c r="BD221" s="536">
        <f t="shared" si="76"/>
        <v>0</v>
      </c>
      <c r="BE221" s="210"/>
    </row>
    <row r="222" spans="2:57" x14ac:dyDescent="0.25">
      <c r="B222" s="220" t="str">
        <f>Cen!A655</f>
        <v>Držák nosníku, vlys nastojato</v>
      </c>
      <c r="C222" s="220" t="str">
        <f>Cen!B655</f>
        <v>Z10D01EA.01</v>
      </c>
      <c r="D222" s="220" t="str">
        <f>Cen!C655</f>
        <v>R737</v>
      </c>
      <c r="E222" s="593">
        <f>Cen!D655</f>
        <v>0</v>
      </c>
      <c r="F222" s="194">
        <f t="shared" si="75"/>
        <v>0</v>
      </c>
      <c r="G222" s="216">
        <f>Cen!F655</f>
        <v>123.32662000000001</v>
      </c>
      <c r="H222" s="765">
        <f t="shared" si="71"/>
        <v>0</v>
      </c>
      <c r="I222" s="228"/>
      <c r="J222" s="218">
        <f>Cen!I655</f>
        <v>9879558</v>
      </c>
      <c r="K222" s="218">
        <f>Cen!J655</f>
        <v>99102</v>
      </c>
      <c r="L222" s="214">
        <f t="shared" si="60"/>
        <v>0</v>
      </c>
      <c r="M222" s="789">
        <f t="shared" si="61"/>
        <v>0</v>
      </c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458"/>
      <c r="AT222" s="219"/>
      <c r="AU222" s="219"/>
      <c r="AV222" s="219"/>
      <c r="AW222" s="219"/>
      <c r="AX222" s="219"/>
      <c r="AY222" s="219"/>
      <c r="AZ222" s="219"/>
      <c r="BA222" s="458"/>
      <c r="BB222" s="219"/>
      <c r="BC222" s="348">
        <f>SD!E9</f>
        <v>0</v>
      </c>
      <c r="BD222" s="536">
        <f t="shared" si="76"/>
        <v>0</v>
      </c>
      <c r="BE222" s="210"/>
    </row>
    <row r="223" spans="2:57" x14ac:dyDescent="0.25">
      <c r="B223" s="220" t="str">
        <f>Cen!A656</f>
        <v>Držák servo jednotky jednoduchý</v>
      </c>
      <c r="C223" s="220" t="str">
        <f>Cen!B656</f>
        <v>Z10D0311</v>
      </c>
      <c r="D223" s="220" t="str">
        <f>Cen!C656</f>
        <v>R737</v>
      </c>
      <c r="E223" s="593">
        <f>Cen!D656</f>
        <v>0</v>
      </c>
      <c r="F223" s="194">
        <f t="shared" si="75"/>
        <v>0</v>
      </c>
      <c r="G223" s="216">
        <f>Cen!F656</f>
        <v>201.70495</v>
      </c>
      <c r="H223" s="765">
        <f t="shared" si="71"/>
        <v>0</v>
      </c>
      <c r="I223" s="228"/>
      <c r="J223" s="218">
        <f>Cen!I656</f>
        <v>4805174</v>
      </c>
      <c r="K223" s="218">
        <f>Cen!J656</f>
        <v>99103</v>
      </c>
      <c r="L223" s="214">
        <f t="shared" si="60"/>
        <v>0</v>
      </c>
      <c r="M223" s="789">
        <f t="shared" si="61"/>
        <v>0</v>
      </c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458"/>
      <c r="AT223" s="219"/>
      <c r="AU223" s="219"/>
      <c r="AV223" s="219"/>
      <c r="AW223" s="219"/>
      <c r="AX223" s="219"/>
      <c r="AY223" s="219"/>
      <c r="AZ223" s="219"/>
      <c r="BA223" s="458"/>
      <c r="BB223" s="219"/>
      <c r="BC223" s="348">
        <f>SD!E22</f>
        <v>0</v>
      </c>
      <c r="BD223" s="536">
        <f t="shared" si="76"/>
        <v>0</v>
      </c>
      <c r="BE223" s="210"/>
    </row>
    <row r="224" spans="2:57" x14ac:dyDescent="0.25">
      <c r="B224" s="220" t="str">
        <f>Cen!A657</f>
        <v>Držák servo jednotky zdvojený</v>
      </c>
      <c r="C224" s="220" t="str">
        <f>Cen!B657</f>
        <v>Z10D7201.01</v>
      </c>
      <c r="D224" s="220" t="str">
        <f>Cen!C657</f>
        <v>R737</v>
      </c>
      <c r="E224" s="593">
        <f>Cen!D657</f>
        <v>0</v>
      </c>
      <c r="F224" s="194">
        <f t="shared" si="75"/>
        <v>0</v>
      </c>
      <c r="G224" s="216">
        <f>Cen!F657</f>
        <v>402.35302000000001</v>
      </c>
      <c r="H224" s="765">
        <f t="shared" si="71"/>
        <v>0</v>
      </c>
      <c r="I224" s="228"/>
      <c r="J224" s="218">
        <f>Cen!I657</f>
        <v>1640683</v>
      </c>
      <c r="K224" s="218">
        <f>Cen!J657</f>
        <v>99104</v>
      </c>
      <c r="L224" s="214">
        <f t="shared" si="60"/>
        <v>0</v>
      </c>
      <c r="M224" s="789">
        <f t="shared" si="61"/>
        <v>0</v>
      </c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19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219"/>
      <c r="AS224" s="458"/>
      <c r="AT224" s="219"/>
      <c r="AU224" s="219"/>
      <c r="AV224" s="219"/>
      <c r="AW224" s="219"/>
      <c r="AX224" s="219"/>
      <c r="AY224" s="219"/>
      <c r="AZ224" s="219"/>
      <c r="BA224" s="458"/>
      <c r="BB224" s="219"/>
      <c r="BC224" s="348">
        <f>SD!E21</f>
        <v>0</v>
      </c>
      <c r="BD224" s="536">
        <f t="shared" si="76"/>
        <v>0</v>
      </c>
      <c r="BE224" s="210"/>
    </row>
    <row r="225" spans="2:57" x14ac:dyDescent="0.25">
      <c r="B225" s="220" t="str">
        <f>Cen!A658</f>
        <v>Držák servo jednotky horní</v>
      </c>
      <c r="C225" s="220" t="str">
        <f>Cen!B658</f>
        <v>Z10D6252</v>
      </c>
      <c r="D225" s="220" t="str">
        <f>Cen!C658</f>
        <v>R737</v>
      </c>
      <c r="E225" s="593">
        <f>Cen!D658</f>
        <v>0</v>
      </c>
      <c r="F225" s="194">
        <f t="shared" si="75"/>
        <v>0</v>
      </c>
      <c r="G225" s="216">
        <f>Cen!F658</f>
        <v>567.60990000000004</v>
      </c>
      <c r="H225" s="765">
        <f t="shared" si="71"/>
        <v>0</v>
      </c>
      <c r="I225" s="228"/>
      <c r="J225" s="218">
        <f>Cen!I658</f>
        <v>8010962</v>
      </c>
      <c r="K225" s="218">
        <f>Cen!J658</f>
        <v>99127</v>
      </c>
      <c r="L225" s="214">
        <f t="shared" si="60"/>
        <v>0</v>
      </c>
      <c r="M225" s="789">
        <f t="shared" si="61"/>
        <v>0</v>
      </c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G225" s="219"/>
      <c r="AH225" s="219"/>
      <c r="AI225" s="219"/>
      <c r="AJ225" s="219"/>
      <c r="AK225" s="219"/>
      <c r="AL225" s="219"/>
      <c r="AM225" s="219"/>
      <c r="AN225" s="219"/>
      <c r="AO225" s="219"/>
      <c r="AP225" s="219"/>
      <c r="AQ225" s="219"/>
      <c r="AR225" s="219"/>
      <c r="AS225" s="458"/>
      <c r="AT225" s="219"/>
      <c r="AU225" s="219"/>
      <c r="AV225" s="219"/>
      <c r="AW225" s="219"/>
      <c r="AX225" s="219"/>
      <c r="AY225" s="219"/>
      <c r="AZ225" s="219"/>
      <c r="BA225" s="458"/>
      <c r="BB225" s="219"/>
      <c r="BC225" s="348">
        <f>SD!E27</f>
        <v>0</v>
      </c>
      <c r="BD225" s="536">
        <f t="shared" si="76"/>
        <v>0</v>
      </c>
      <c r="BE225" s="210"/>
    </row>
    <row r="226" spans="2:57" x14ac:dyDescent="0.25">
      <c r="B226" s="220" t="str">
        <f>Cen!A659</f>
        <v>Držák kabelu s Klebesockel</v>
      </c>
      <c r="C226" s="220" t="str">
        <f>Cen!B659</f>
        <v>Z10K0009</v>
      </c>
      <c r="D226" s="220" t="str">
        <f>Cen!C659</f>
        <v>NA</v>
      </c>
      <c r="E226" s="593">
        <f>Cen!D659</f>
        <v>0</v>
      </c>
      <c r="F226" s="194">
        <f t="shared" si="75"/>
        <v>0</v>
      </c>
      <c r="G226" s="216">
        <f>Cen!F659</f>
        <v>22.708690000000001</v>
      </c>
      <c r="H226" s="765">
        <f t="shared" si="71"/>
        <v>0</v>
      </c>
      <c r="I226" s="228"/>
      <c r="J226" s="218">
        <f>Cen!I659</f>
        <v>7283231</v>
      </c>
      <c r="K226" s="218">
        <f>Cen!J659</f>
        <v>99105</v>
      </c>
      <c r="L226" s="214">
        <f t="shared" si="60"/>
        <v>0</v>
      </c>
      <c r="M226" s="789">
        <f t="shared" si="61"/>
        <v>0</v>
      </c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458"/>
      <c r="AT226" s="219"/>
      <c r="AU226" s="219"/>
      <c r="AV226" s="219"/>
      <c r="AW226" s="219"/>
      <c r="AX226" s="219"/>
      <c r="AY226" s="219"/>
      <c r="AZ226" s="219"/>
      <c r="BA226" s="458"/>
      <c r="BB226" s="219"/>
      <c r="BC226" s="348">
        <f>SD!E23</f>
        <v>0</v>
      </c>
      <c r="BD226" s="536">
        <f t="shared" si="76"/>
        <v>0</v>
      </c>
      <c r="BE226" s="210"/>
    </row>
    <row r="227" spans="2:57" x14ac:dyDescent="0.25">
      <c r="B227" s="220" t="str">
        <f>Cen!A660</f>
        <v>Synchronizační kabel 8cm</v>
      </c>
      <c r="C227" s="220" t="str">
        <f>Cen!B660</f>
        <v xml:space="preserve">Z10K008S </v>
      </c>
      <c r="D227" s="220" t="str">
        <f>Cen!C660</f>
        <v>W</v>
      </c>
      <c r="E227" s="593">
        <f>Cen!D660</f>
        <v>0</v>
      </c>
      <c r="F227" s="194">
        <f t="shared" si="75"/>
        <v>0</v>
      </c>
      <c r="G227" s="216">
        <f>Cen!F660</f>
        <v>126.53116</v>
      </c>
      <c r="H227" s="765">
        <f t="shared" si="71"/>
        <v>0</v>
      </c>
      <c r="I227" s="228"/>
      <c r="J227" s="218">
        <f>Cen!I660</f>
        <v>7288466</v>
      </c>
      <c r="K227" s="218">
        <f>Cen!J660</f>
        <v>99106</v>
      </c>
      <c r="L227" s="214">
        <f t="shared" si="60"/>
        <v>0</v>
      </c>
      <c r="M227" s="789">
        <f t="shared" si="61"/>
        <v>0</v>
      </c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458"/>
      <c r="AT227" s="219"/>
      <c r="AU227" s="219"/>
      <c r="AV227" s="219"/>
      <c r="AW227" s="219"/>
      <c r="AX227" s="219"/>
      <c r="AY227" s="219"/>
      <c r="AZ227" s="219"/>
      <c r="BA227" s="458"/>
      <c r="BB227" s="219"/>
      <c r="BC227" s="348">
        <f>SD!E17</f>
        <v>0</v>
      </c>
      <c r="BD227" s="536">
        <f t="shared" si="76"/>
        <v>0</v>
      </c>
      <c r="BE227" s="210"/>
    </row>
    <row r="228" spans="2:57" x14ac:dyDescent="0.25">
      <c r="B228" s="220" t="str">
        <f>Cen!A661</f>
        <v>Synchronizační kabel 50cm</v>
      </c>
      <c r="C228" s="220" t="str">
        <f>Cen!B661</f>
        <v>Z10K050S</v>
      </c>
      <c r="D228" s="220" t="str">
        <f>Cen!C661</f>
        <v>W</v>
      </c>
      <c r="E228" s="593">
        <f>Cen!D661</f>
        <v>0</v>
      </c>
      <c r="F228" s="194">
        <f t="shared" si="75"/>
        <v>0</v>
      </c>
      <c r="G228" s="216">
        <f>Cen!F661</f>
        <v>175.72389999999999</v>
      </c>
      <c r="H228" s="765">
        <f t="shared" si="71"/>
        <v>0</v>
      </c>
      <c r="I228" s="228"/>
      <c r="J228" s="218">
        <f>Cen!I661</f>
        <v>8013626</v>
      </c>
      <c r="K228" s="218">
        <f>Cen!J661</f>
        <v>246077</v>
      </c>
      <c r="L228" s="214">
        <f t="shared" ref="L228:L238" si="82">IF(I228="x",0,IF(I228&gt;0,I228,F228))</f>
        <v>0</v>
      </c>
      <c r="M228" s="789">
        <f t="shared" ref="M228:M238" si="83">PRODUCT(L228,G228)</f>
        <v>0</v>
      </c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/>
      <c r="AF228" s="219"/>
      <c r="AG228" s="219"/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458"/>
      <c r="AT228" s="219"/>
      <c r="AU228" s="219"/>
      <c r="AV228" s="219"/>
      <c r="AW228" s="219"/>
      <c r="AX228" s="219"/>
      <c r="AY228" s="219"/>
      <c r="AZ228" s="219"/>
      <c r="BA228" s="458"/>
      <c r="BB228" s="219"/>
      <c r="BC228" s="348">
        <f>SD!E18</f>
        <v>0</v>
      </c>
      <c r="BD228" s="536">
        <f t="shared" si="76"/>
        <v>0</v>
      </c>
      <c r="BE228" s="210"/>
    </row>
    <row r="229" spans="2:57" x14ac:dyDescent="0.25">
      <c r="B229" s="220" t="str">
        <f>Cen!A662</f>
        <v>Synchronizační kabel 120cm</v>
      </c>
      <c r="C229" s="220" t="str">
        <f>Cen!B662</f>
        <v>Z10K120S</v>
      </c>
      <c r="D229" s="220" t="str">
        <f>Cen!C662</f>
        <v>W</v>
      </c>
      <c r="E229" s="593">
        <f>Cen!D662</f>
        <v>0</v>
      </c>
      <c r="F229" s="194">
        <f t="shared" si="75"/>
        <v>0</v>
      </c>
      <c r="G229" s="216">
        <f>Cen!F662</f>
        <v>272.02954999999997</v>
      </c>
      <c r="H229" s="765">
        <f t="shared" si="71"/>
        <v>0</v>
      </c>
      <c r="I229" s="228"/>
      <c r="J229" s="218">
        <f>Cen!I662</f>
        <v>7288546</v>
      </c>
      <c r="K229" s="218">
        <f>Cen!J662</f>
        <v>99128</v>
      </c>
      <c r="L229" s="214">
        <f t="shared" si="82"/>
        <v>0</v>
      </c>
      <c r="M229" s="789">
        <f t="shared" si="83"/>
        <v>0</v>
      </c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19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458"/>
      <c r="AT229" s="219"/>
      <c r="AU229" s="219"/>
      <c r="AV229" s="219"/>
      <c r="AW229" s="219"/>
      <c r="AX229" s="219"/>
      <c r="AY229" s="219"/>
      <c r="AZ229" s="219"/>
      <c r="BA229" s="458"/>
      <c r="BB229" s="219"/>
      <c r="BC229" s="348">
        <f>SD!E19</f>
        <v>0</v>
      </c>
      <c r="BD229" s="536">
        <f t="shared" si="76"/>
        <v>0</v>
      </c>
      <c r="BE229" s="210"/>
    </row>
    <row r="230" spans="2:57" x14ac:dyDescent="0.25">
      <c r="B230" s="220" t="str">
        <f>Cen!A663</f>
        <v>Synchronizační kabel 160cm</v>
      </c>
      <c r="C230" s="220" t="str">
        <f>Cen!B663</f>
        <v>Z10K160S</v>
      </c>
      <c r="D230" s="220" t="str">
        <f>Cen!C663</f>
        <v>W</v>
      </c>
      <c r="E230" s="593">
        <f>Cen!D663</f>
        <v>0</v>
      </c>
      <c r="F230" s="194">
        <f t="shared" si="75"/>
        <v>0</v>
      </c>
      <c r="G230" s="216">
        <f>Cen!F663</f>
        <v>307.17772000000002</v>
      </c>
      <c r="H230" s="765">
        <f t="shared" si="71"/>
        <v>0</v>
      </c>
      <c r="I230" s="228"/>
      <c r="J230" s="218">
        <f>Cen!I663</f>
        <v>7361306</v>
      </c>
      <c r="K230" s="218">
        <f>Cen!J663</f>
        <v>99118</v>
      </c>
      <c r="L230" s="214">
        <f t="shared" si="82"/>
        <v>0</v>
      </c>
      <c r="M230" s="789">
        <f t="shared" si="83"/>
        <v>0</v>
      </c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458"/>
      <c r="AT230" s="219"/>
      <c r="AU230" s="219"/>
      <c r="AV230" s="219"/>
      <c r="AW230" s="219"/>
      <c r="AX230" s="219"/>
      <c r="AY230" s="219"/>
      <c r="AZ230" s="219"/>
      <c r="BA230" s="458"/>
      <c r="BB230" s="219"/>
      <c r="BC230" s="348">
        <f>SD!E20</f>
        <v>0</v>
      </c>
      <c r="BD230" s="536">
        <f t="shared" si="76"/>
        <v>0</v>
      </c>
      <c r="BE230" s="210"/>
    </row>
    <row r="231" spans="2:57" x14ac:dyDescent="0.25">
      <c r="B231" s="220" t="str">
        <f>Cen!A664</f>
        <v>Elektrokabel, délka 8m + 5 krytek</v>
      </c>
      <c r="C231" s="220" t="str">
        <f>Cen!B664</f>
        <v>Z10K800AE</v>
      </c>
      <c r="D231" s="220" t="str">
        <f>Cen!C664</f>
        <v>S</v>
      </c>
      <c r="E231" s="593">
        <f>Cen!D664</f>
        <v>0</v>
      </c>
      <c r="F231" s="194">
        <f t="shared" si="75"/>
        <v>0</v>
      </c>
      <c r="G231" s="216">
        <f>Cen!F664</f>
        <v>788.36121000000003</v>
      </c>
      <c r="H231" s="765">
        <f>M231</f>
        <v>0</v>
      </c>
      <c r="I231" s="228"/>
      <c r="J231" s="218">
        <f>Cen!I664</f>
        <v>7550294</v>
      </c>
      <c r="K231" s="218">
        <f>Cen!J664</f>
        <v>99107</v>
      </c>
      <c r="L231" s="214">
        <f t="shared" si="82"/>
        <v>0</v>
      </c>
      <c r="M231" s="789">
        <f t="shared" si="83"/>
        <v>0</v>
      </c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458"/>
      <c r="AT231" s="219"/>
      <c r="AU231" s="219"/>
      <c r="AV231" s="219"/>
      <c r="AW231" s="219"/>
      <c r="AX231" s="219"/>
      <c r="AY231" s="219"/>
      <c r="AZ231" s="219"/>
      <c r="BA231" s="458"/>
      <c r="BB231" s="219"/>
      <c r="BC231" s="348">
        <f>SD!E12</f>
        <v>0</v>
      </c>
      <c r="BD231" s="536">
        <f t="shared" si="76"/>
        <v>0</v>
      </c>
      <c r="BE231" s="210"/>
    </row>
    <row r="232" spans="2:57" x14ac:dyDescent="0.25">
      <c r="B232" s="220" t="str">
        <f>Cen!A665</f>
        <v>Napájecí kabel se zástrčkou, 2m</v>
      </c>
      <c r="C232" s="220" t="str">
        <f>Cen!B665</f>
        <v xml:space="preserve">Z10M200E </v>
      </c>
      <c r="D232" s="220" t="str">
        <f>Cen!C665</f>
        <v>S</v>
      </c>
      <c r="E232" s="593">
        <f>Cen!D665</f>
        <v>0</v>
      </c>
      <c r="F232" s="194">
        <f t="shared" si="75"/>
        <v>0</v>
      </c>
      <c r="G232" s="216">
        <f>Cen!F665</f>
        <v>191.19835999999998</v>
      </c>
      <c r="H232" s="765">
        <f>M232</f>
        <v>0</v>
      </c>
      <c r="I232" s="228"/>
      <c r="J232" s="218">
        <f>Cen!I665</f>
        <v>7205784</v>
      </c>
      <c r="K232" s="218">
        <f>Cen!J665</f>
        <v>99108</v>
      </c>
      <c r="L232" s="214">
        <f t="shared" si="82"/>
        <v>0</v>
      </c>
      <c r="M232" s="789">
        <f t="shared" si="83"/>
        <v>0</v>
      </c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19"/>
      <c r="AI232" s="219"/>
      <c r="AJ232" s="219"/>
      <c r="AK232" s="219"/>
      <c r="AL232" s="219"/>
      <c r="AM232" s="219"/>
      <c r="AN232" s="219"/>
      <c r="AO232" s="219"/>
      <c r="AP232" s="219"/>
      <c r="AQ232" s="219"/>
      <c r="AR232" s="219"/>
      <c r="AS232" s="458"/>
      <c r="AT232" s="219"/>
      <c r="AU232" s="219"/>
      <c r="AV232" s="219"/>
      <c r="AW232" s="219"/>
      <c r="AX232" s="219"/>
      <c r="AY232" s="219"/>
      <c r="AZ232" s="219"/>
      <c r="BA232" s="458"/>
      <c r="BB232" s="219"/>
      <c r="BC232" s="348">
        <f>SD!E14</f>
        <v>0</v>
      </c>
      <c r="BD232" s="536">
        <f t="shared" si="76"/>
        <v>0</v>
      </c>
      <c r="BE232" s="210"/>
    </row>
    <row r="233" spans="2:57" x14ac:dyDescent="0.25">
      <c r="B233" s="220" t="str">
        <f>Cen!A666</f>
        <v>Napájecí zdroj 24W</v>
      </c>
      <c r="C233" s="220" t="str">
        <f>Cen!B666</f>
        <v>Z10NE030E</v>
      </c>
      <c r="D233" s="220" t="str">
        <f>Cen!C666</f>
        <v>S</v>
      </c>
      <c r="E233" s="593">
        <f>Cen!D666</f>
        <v>0</v>
      </c>
      <c r="F233" s="194">
        <f t="shared" si="75"/>
        <v>0</v>
      </c>
      <c r="G233" s="216">
        <f>Cen!F666</f>
        <v>2910.1035299999999</v>
      </c>
      <c r="H233" s="765">
        <f>M233</f>
        <v>0</v>
      </c>
      <c r="I233" s="228"/>
      <c r="J233" s="218">
        <f>Cen!I666</f>
        <v>5082891</v>
      </c>
      <c r="K233" s="218">
        <f>Cen!J666</f>
        <v>129576</v>
      </c>
      <c r="L233" s="214">
        <f t="shared" si="82"/>
        <v>0</v>
      </c>
      <c r="M233" s="789">
        <f t="shared" si="83"/>
        <v>0</v>
      </c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19"/>
      <c r="AE233" s="219"/>
      <c r="AF233" s="219"/>
      <c r="AG233" s="219"/>
      <c r="AH233" s="219"/>
      <c r="AI233" s="219"/>
      <c r="AJ233" s="219"/>
      <c r="AK233" s="219"/>
      <c r="AL233" s="219"/>
      <c r="AM233" s="219"/>
      <c r="AN233" s="219"/>
      <c r="AO233" s="219"/>
      <c r="AP233" s="219"/>
      <c r="AQ233" s="219"/>
      <c r="AR233" s="219"/>
      <c r="AS233" s="458"/>
      <c r="AT233" s="219"/>
      <c r="AU233" s="219"/>
      <c r="AV233" s="219"/>
      <c r="AW233" s="219"/>
      <c r="AX233" s="219"/>
      <c r="AY233" s="219"/>
      <c r="AZ233" s="219"/>
      <c r="BA233" s="458"/>
      <c r="BB233" s="219"/>
      <c r="BC233" s="348">
        <f>SD!E13</f>
        <v>0</v>
      </c>
      <c r="BD233" s="536">
        <f t="shared" si="76"/>
        <v>0</v>
      </c>
      <c r="BE233" s="210"/>
    </row>
    <row r="234" spans="2:57" x14ac:dyDescent="0.25">
      <c r="B234" s="220" t="str">
        <f>Cen!A667</f>
        <v>Držák napájecího zdroje - montáž do dna</v>
      </c>
      <c r="C234" s="220" t="str">
        <f>Cen!B667</f>
        <v>Z10NG000</v>
      </c>
      <c r="D234" s="220" t="str">
        <f>Cen!C667</f>
        <v>R737</v>
      </c>
      <c r="E234" s="593">
        <f>Cen!D667</f>
        <v>0</v>
      </c>
      <c r="F234" s="194">
        <f t="shared" si="75"/>
        <v>0</v>
      </c>
      <c r="G234" s="216">
        <f>Cen!F667</f>
        <v>196.81618999999998</v>
      </c>
      <c r="H234" s="765">
        <f t="shared" si="71"/>
        <v>0</v>
      </c>
      <c r="I234" s="228"/>
      <c r="J234" s="218">
        <f>Cen!I667</f>
        <v>7282180</v>
      </c>
      <c r="K234" s="218">
        <f>Cen!J667</f>
        <v>991110</v>
      </c>
      <c r="L234" s="214">
        <f t="shared" si="82"/>
        <v>0</v>
      </c>
      <c r="M234" s="789">
        <f t="shared" si="83"/>
        <v>0</v>
      </c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19"/>
      <c r="AI234" s="219"/>
      <c r="AJ234" s="219"/>
      <c r="AK234" s="219"/>
      <c r="AL234" s="219"/>
      <c r="AM234" s="219"/>
      <c r="AN234" s="219"/>
      <c r="AO234" s="219"/>
      <c r="AP234" s="219"/>
      <c r="AQ234" s="219"/>
      <c r="AR234" s="219"/>
      <c r="AS234" s="458"/>
      <c r="AT234" s="219"/>
      <c r="AU234" s="219"/>
      <c r="AV234" s="219"/>
      <c r="AW234" s="219"/>
      <c r="AX234" s="219"/>
      <c r="AY234" s="219"/>
      <c r="AZ234" s="219"/>
      <c r="BA234" s="458"/>
      <c r="BB234" s="219"/>
      <c r="BC234" s="348">
        <f>SD!E15</f>
        <v>0</v>
      </c>
      <c r="BD234" s="536">
        <f t="shared" si="76"/>
        <v>0</v>
      </c>
      <c r="BE234" s="210"/>
    </row>
    <row r="235" spans="2:57" x14ac:dyDescent="0.25">
      <c r="B235" s="220" t="str">
        <f>Cen!A668</f>
        <v>Držák napájecího zdroje - montáž na stěnu</v>
      </c>
      <c r="C235" s="220" t="str">
        <f>Cen!B668</f>
        <v>Z10NG120</v>
      </c>
      <c r="D235" s="220" t="str">
        <f>Cen!C668</f>
        <v>WGR</v>
      </c>
      <c r="E235" s="593">
        <f>Cen!D668</f>
        <v>0</v>
      </c>
      <c r="F235" s="194">
        <f t="shared" si="75"/>
        <v>0</v>
      </c>
      <c r="G235" s="216">
        <f>Cen!F668</f>
        <v>106.14533</v>
      </c>
      <c r="H235" s="765">
        <f>M235</f>
        <v>0</v>
      </c>
      <c r="I235" s="228"/>
      <c r="J235" s="218">
        <f>Cen!I668</f>
        <v>9327076</v>
      </c>
      <c r="K235" s="218">
        <f>Cen!J668</f>
        <v>131344</v>
      </c>
      <c r="L235" s="214">
        <f t="shared" si="82"/>
        <v>0</v>
      </c>
      <c r="M235" s="789">
        <f t="shared" si="83"/>
        <v>0</v>
      </c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458"/>
      <c r="AT235" s="219"/>
      <c r="AU235" s="219"/>
      <c r="AV235" s="219"/>
      <c r="AW235" s="219"/>
      <c r="AX235" s="219"/>
      <c r="AY235" s="219"/>
      <c r="AZ235" s="219"/>
      <c r="BA235" s="458"/>
      <c r="BB235" s="219"/>
      <c r="BC235" s="348">
        <f>SD!E16</f>
        <v>0</v>
      </c>
      <c r="BD235" s="536">
        <f t="shared" si="76"/>
        <v>0</v>
      </c>
      <c r="BE235" s="210"/>
    </row>
    <row r="236" spans="2:57" x14ac:dyDescent="0.25">
      <c r="B236" s="220" t="str">
        <f>Cen!A669</f>
        <v>Propojovací svorka s hroty + krytka</v>
      </c>
      <c r="C236" s="220" t="str">
        <f>Cen!B669</f>
        <v>Z10V100E.01</v>
      </c>
      <c r="D236" s="220" t="str">
        <f>Cen!C669</f>
        <v>S</v>
      </c>
      <c r="E236" s="593">
        <f>Cen!D669</f>
        <v>0</v>
      </c>
      <c r="F236" s="194">
        <f t="shared" si="75"/>
        <v>0</v>
      </c>
      <c r="G236" s="216">
        <f>Cen!F669</f>
        <v>187.78470999999999</v>
      </c>
      <c r="H236" s="765">
        <f t="shared" si="71"/>
        <v>0</v>
      </c>
      <c r="I236" s="228"/>
      <c r="J236" s="218">
        <f>Cen!I669</f>
        <v>8820285</v>
      </c>
      <c r="K236" s="218">
        <f>Cen!J669</f>
        <v>132954</v>
      </c>
      <c r="L236" s="214">
        <f t="shared" si="82"/>
        <v>0</v>
      </c>
      <c r="M236" s="789">
        <f t="shared" si="83"/>
        <v>0</v>
      </c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458"/>
      <c r="AT236" s="219"/>
      <c r="AU236" s="219"/>
      <c r="AV236" s="219"/>
      <c r="AW236" s="219"/>
      <c r="AX236" s="219"/>
      <c r="AY236" s="219"/>
      <c r="AZ236" s="219"/>
      <c r="BA236" s="458"/>
      <c r="BB236" s="219"/>
      <c r="BC236" s="348">
        <f>SD!E11</f>
        <v>0</v>
      </c>
      <c r="BD236" s="536">
        <f t="shared" si="76"/>
        <v>0</v>
      </c>
      <c r="BE236" s="210"/>
    </row>
    <row r="237" spans="2:57" x14ac:dyDescent="0.25">
      <c r="B237" s="220" t="str">
        <f>Cen!A670</f>
        <v xml:space="preserve">Nosník, 670mm, s předmont. kabelem </v>
      </c>
      <c r="C237" s="220" t="str">
        <f>Cen!B670</f>
        <v xml:space="preserve">Z10T670AA </v>
      </c>
      <c r="D237" s="220" t="str">
        <f>Cen!C670</f>
        <v>Alu</v>
      </c>
      <c r="E237" s="593">
        <f>Cen!D670</f>
        <v>0</v>
      </c>
      <c r="F237" s="194">
        <f t="shared" si="75"/>
        <v>0</v>
      </c>
      <c r="G237" s="216">
        <f>Cen!F670</f>
        <v>1030.4817499999999</v>
      </c>
      <c r="H237" s="765">
        <f t="shared" si="71"/>
        <v>0</v>
      </c>
      <c r="I237" s="228"/>
      <c r="J237" s="218">
        <f>Cen!I670</f>
        <v>7716441</v>
      </c>
      <c r="K237" s="218">
        <f>Cen!J670</f>
        <v>99125</v>
      </c>
      <c r="L237" s="214">
        <f t="shared" si="82"/>
        <v>0</v>
      </c>
      <c r="M237" s="789">
        <f t="shared" si="83"/>
        <v>0</v>
      </c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458"/>
      <c r="AT237" s="219"/>
      <c r="AU237" s="219"/>
      <c r="AV237" s="219"/>
      <c r="AW237" s="219"/>
      <c r="AX237" s="219"/>
      <c r="AY237" s="219"/>
      <c r="AZ237" s="219"/>
      <c r="BA237" s="458"/>
      <c r="BB237" s="219"/>
      <c r="BC237" s="348">
        <f>SD!E5</f>
        <v>0</v>
      </c>
      <c r="BD237" s="536">
        <f t="shared" si="76"/>
        <v>0</v>
      </c>
      <c r="BE237" s="210"/>
    </row>
    <row r="238" spans="2:57" x14ac:dyDescent="0.25">
      <c r="B238" s="220" t="str">
        <f>Cen!A671</f>
        <v xml:space="preserve">Nosník, 750mm, s předmont. kabelem </v>
      </c>
      <c r="C238" s="220" t="str">
        <f>Cen!B671</f>
        <v xml:space="preserve">Z10T750AA </v>
      </c>
      <c r="D238" s="220" t="str">
        <f>Cen!C671</f>
        <v>Alu</v>
      </c>
      <c r="E238" s="593">
        <f>Cen!D671</f>
        <v>0</v>
      </c>
      <c r="F238" s="194">
        <f t="shared" si="75"/>
        <v>0</v>
      </c>
      <c r="G238" s="216">
        <f>Cen!F671</f>
        <v>1128.9011499999999</v>
      </c>
      <c r="H238" s="765">
        <f t="shared" si="71"/>
        <v>0</v>
      </c>
      <c r="I238" s="228"/>
      <c r="J238" s="218">
        <f>Cen!I671</f>
        <v>7466401</v>
      </c>
      <c r="K238" s="218">
        <f>Cen!J671</f>
        <v>99115</v>
      </c>
      <c r="L238" s="214">
        <f t="shared" si="82"/>
        <v>0</v>
      </c>
      <c r="M238" s="789">
        <f t="shared" si="83"/>
        <v>0</v>
      </c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219"/>
      <c r="AI238" s="219"/>
      <c r="AJ238" s="219"/>
      <c r="AK238" s="219"/>
      <c r="AL238" s="219"/>
      <c r="AM238" s="219"/>
      <c r="AN238" s="219"/>
      <c r="AO238" s="219"/>
      <c r="AP238" s="219"/>
      <c r="AQ238" s="219"/>
      <c r="AR238" s="219"/>
      <c r="AS238" s="458"/>
      <c r="AT238" s="219"/>
      <c r="AU238" s="219"/>
      <c r="AV238" s="219"/>
      <c r="AW238" s="219"/>
      <c r="AX238" s="219"/>
      <c r="AY238" s="219"/>
      <c r="AZ238" s="219"/>
      <c r="BA238" s="458"/>
      <c r="BB238" s="219"/>
      <c r="BC238" s="348">
        <f>SD!E6</f>
        <v>0</v>
      </c>
      <c r="BD238" s="536">
        <f t="shared" si="76"/>
        <v>0</v>
      </c>
      <c r="BE238" s="210"/>
    </row>
    <row r="239" spans="2:57" x14ac:dyDescent="0.25">
      <c r="B239" s="220" t="str">
        <f>Cen!A672</f>
        <v>Nosník 1170mm, bez kabelu</v>
      </c>
      <c r="C239" s="220" t="str">
        <f>Cen!B672</f>
        <v>Z10T1170A</v>
      </c>
      <c r="D239" s="220" t="str">
        <f>Cen!C672</f>
        <v>Alu</v>
      </c>
      <c r="E239" s="593">
        <f>Cen!D672</f>
        <v>0</v>
      </c>
      <c r="F239" s="194">
        <f t="shared" si="75"/>
        <v>0</v>
      </c>
      <c r="G239" s="216">
        <f>Cen!F672</f>
        <v>1202.0177100000001</v>
      </c>
      <c r="H239" s="765">
        <f t="shared" ref="H239:H244" si="84">M239</f>
        <v>0</v>
      </c>
      <c r="I239" s="228"/>
      <c r="J239" s="218">
        <f>Cen!I672</f>
        <v>7287731</v>
      </c>
      <c r="K239" s="218">
        <f>Cen!J672</f>
        <v>99116</v>
      </c>
      <c r="L239" s="214">
        <f t="shared" ref="L239:L244" si="85">IF(I239="x",0,IF(I239&gt;0,I239,F239))</f>
        <v>0</v>
      </c>
      <c r="M239" s="789">
        <f t="shared" ref="M239:M244" si="86">PRODUCT(L239,G239)</f>
        <v>0</v>
      </c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19"/>
      <c r="AI239" s="219"/>
      <c r="AJ239" s="219"/>
      <c r="AK239" s="219"/>
      <c r="AL239" s="219"/>
      <c r="AM239" s="219"/>
      <c r="AN239" s="219"/>
      <c r="AO239" s="219"/>
      <c r="AP239" s="219"/>
      <c r="AQ239" s="219"/>
      <c r="AR239" s="219"/>
      <c r="AS239" s="458"/>
      <c r="AT239" s="219"/>
      <c r="AU239" s="219"/>
      <c r="AV239" s="219"/>
      <c r="AW239" s="219"/>
      <c r="AX239" s="219"/>
      <c r="AY239" s="219"/>
      <c r="AZ239" s="219"/>
      <c r="BA239" s="458"/>
      <c r="BB239" s="219"/>
      <c r="BC239" s="348">
        <f>SD!E7</f>
        <v>0</v>
      </c>
      <c r="BD239" s="536">
        <f t="shared" si="76"/>
        <v>0</v>
      </c>
      <c r="BE239" s="210"/>
    </row>
    <row r="240" spans="2:57" x14ac:dyDescent="0.25">
      <c r="B240" s="220" t="str">
        <f>Cen!A673</f>
        <v xml:space="preserve">Mechanizmus vyhazovače </v>
      </c>
      <c r="C240" s="220" t="str">
        <f>Cen!B673</f>
        <v>Z10A3H00</v>
      </c>
      <c r="D240" s="220" t="str">
        <f>Cen!C673</f>
        <v>R737</v>
      </c>
      <c r="E240" s="593">
        <f>Cen!D673</f>
        <v>0</v>
      </c>
      <c r="F240" s="194">
        <f>IF(I240&gt;0,I240,SUM(N240:BC240))</f>
        <v>0</v>
      </c>
      <c r="G240" s="216">
        <f>Cen!F673</f>
        <v>84.346569999999986</v>
      </c>
      <c r="H240" s="765">
        <f>M240</f>
        <v>0</v>
      </c>
      <c r="I240" s="228"/>
      <c r="J240" s="218">
        <f>Cen!I673</f>
        <v>7472980</v>
      </c>
      <c r="K240" s="218">
        <f>Cen!J673</f>
        <v>99126</v>
      </c>
      <c r="L240" s="214">
        <f>IF(I240="x",0,IF(I240&gt;0,I240,F240))</f>
        <v>0</v>
      </c>
      <c r="M240" s="789">
        <f>PRODUCT(L240,G240)</f>
        <v>0</v>
      </c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19"/>
      <c r="AL240" s="219"/>
      <c r="AM240" s="219"/>
      <c r="AN240" s="219"/>
      <c r="AO240" s="219"/>
      <c r="AP240" s="219"/>
      <c r="AQ240" s="219"/>
      <c r="AR240" s="219"/>
      <c r="AS240" s="458"/>
      <c r="AT240" s="219"/>
      <c r="AU240" s="219"/>
      <c r="AV240" s="219"/>
      <c r="AW240" s="219"/>
      <c r="AX240" s="219"/>
      <c r="AY240" s="219"/>
      <c r="AZ240" s="219"/>
      <c r="BA240" s="458"/>
      <c r="BB240" s="219"/>
      <c r="BC240" s="348">
        <f>SD!E28</f>
        <v>0</v>
      </c>
      <c r="BD240" s="536">
        <f t="shared" si="76"/>
        <v>0</v>
      </c>
      <c r="BE240" s="210"/>
    </row>
    <row r="241" spans="2:57" x14ac:dyDescent="0.25">
      <c r="B241" s="220" t="str">
        <f>Cen!A674</f>
        <v>Horizontální nosník</v>
      </c>
      <c r="C241" s="220" t="str">
        <f>Cen!B674</f>
        <v>Z10T1143B</v>
      </c>
      <c r="D241" s="220" t="str">
        <f>Cen!C674</f>
        <v>Alu</v>
      </c>
      <c r="E241" s="593">
        <f>Cen!D674</f>
        <v>0</v>
      </c>
      <c r="F241" s="194">
        <f t="shared" si="75"/>
        <v>0</v>
      </c>
      <c r="G241" s="216">
        <f>Cen!F674</f>
        <v>496.95749999999998</v>
      </c>
      <c r="H241" s="765">
        <f t="shared" si="84"/>
        <v>0</v>
      </c>
      <c r="I241" s="228"/>
      <c r="J241" s="218">
        <f>Cen!I674</f>
        <v>7922191</v>
      </c>
      <c r="K241" s="218">
        <f>Cen!J674</f>
        <v>99124</v>
      </c>
      <c r="L241" s="214">
        <f t="shared" si="85"/>
        <v>0</v>
      </c>
      <c r="M241" s="789">
        <f t="shared" si="86"/>
        <v>0</v>
      </c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458"/>
      <c r="AT241" s="219"/>
      <c r="AU241" s="219"/>
      <c r="AV241" s="219"/>
      <c r="AW241" s="219"/>
      <c r="AX241" s="219"/>
      <c r="AY241" s="219"/>
      <c r="AZ241" s="219"/>
      <c r="BA241" s="458"/>
      <c r="BB241" s="219"/>
      <c r="BC241" s="348">
        <f>SD!E26</f>
        <v>0</v>
      </c>
      <c r="BD241" s="536">
        <f t="shared" si="76"/>
        <v>0</v>
      </c>
      <c r="BE241" s="210"/>
    </row>
    <row r="242" spans="2:57" x14ac:dyDescent="0.25">
      <c r="B242" s="220" t="str">
        <f>Cen!A675</f>
        <v>Adaptér + držák horizont. nosníku</v>
      </c>
      <c r="C242" s="220" t="str">
        <f>Cen!B675</f>
        <v>Z10D5210</v>
      </c>
      <c r="D242" s="220" t="str">
        <f>Cen!C675</f>
        <v>R737</v>
      </c>
      <c r="E242" s="593">
        <f>Cen!D675</f>
        <v>0</v>
      </c>
      <c r="F242" s="194">
        <f t="shared" si="75"/>
        <v>0</v>
      </c>
      <c r="G242" s="216">
        <f>Cen!F675</f>
        <v>156.04454000000001</v>
      </c>
      <c r="H242" s="765">
        <f t="shared" si="84"/>
        <v>0</v>
      </c>
      <c r="I242" s="228"/>
      <c r="J242" s="218">
        <f>Cen!I675</f>
        <v>7867370</v>
      </c>
      <c r="K242" s="218">
        <f>Cen!J675</f>
        <v>99123</v>
      </c>
      <c r="L242" s="214">
        <f t="shared" si="85"/>
        <v>0</v>
      </c>
      <c r="M242" s="789">
        <f t="shared" si="86"/>
        <v>0</v>
      </c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19"/>
      <c r="AI242" s="219"/>
      <c r="AJ242" s="219"/>
      <c r="AK242" s="219"/>
      <c r="AL242" s="219"/>
      <c r="AM242" s="219"/>
      <c r="AN242" s="219"/>
      <c r="AO242" s="219"/>
      <c r="AP242" s="219"/>
      <c r="AQ242" s="219"/>
      <c r="AR242" s="219"/>
      <c r="AS242" s="458"/>
      <c r="AT242" s="219"/>
      <c r="AU242" s="219"/>
      <c r="AV242" s="219"/>
      <c r="AW242" s="219"/>
      <c r="AX242" s="219"/>
      <c r="AY242" s="219"/>
      <c r="AZ242" s="219"/>
      <c r="BA242" s="458"/>
      <c r="BB242" s="219"/>
      <c r="BC242" s="348">
        <f>SD!E25</f>
        <v>0</v>
      </c>
      <c r="BD242" s="536">
        <f t="shared" si="76"/>
        <v>0</v>
      </c>
      <c r="BE242" s="210"/>
    </row>
    <row r="243" spans="2:57" x14ac:dyDescent="0.25">
      <c r="B243" s="220" t="str">
        <f>Cen!A676</f>
        <v>COMBOX</v>
      </c>
      <c r="C243" s="220" t="str">
        <f>Cen!B676</f>
        <v>Z10ZC00A</v>
      </c>
      <c r="D243" s="220" t="str">
        <f>Cen!C676</f>
        <v>S</v>
      </c>
      <c r="E243" s="593">
        <f>Cen!D676</f>
        <v>0</v>
      </c>
      <c r="F243" s="194">
        <f t="shared" ref="F243:F269" si="87">IF(I243&gt;0,I243,SUM(N243:BC243))</f>
        <v>0</v>
      </c>
      <c r="G243" s="216">
        <f>Cen!F676</f>
        <v>3438.92031</v>
      </c>
      <c r="H243" s="765">
        <f t="shared" si="84"/>
        <v>0</v>
      </c>
      <c r="I243" s="228"/>
      <c r="J243" s="218">
        <f>Cen!I676</f>
        <v>5202593</v>
      </c>
      <c r="K243" s="218">
        <f>Cen!J676</f>
        <v>159530</v>
      </c>
      <c r="L243" s="214">
        <f t="shared" si="85"/>
        <v>0</v>
      </c>
      <c r="M243" s="789">
        <f t="shared" si="86"/>
        <v>0</v>
      </c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19"/>
      <c r="AI243" s="219"/>
      <c r="AJ243" s="219"/>
      <c r="AK243" s="219"/>
      <c r="AL243" s="219"/>
      <c r="AM243" s="219"/>
      <c r="AN243" s="219"/>
      <c r="AO243" s="219"/>
      <c r="AP243" s="219"/>
      <c r="AQ243" s="219"/>
      <c r="AR243" s="219"/>
      <c r="AS243" s="458"/>
      <c r="AT243" s="219"/>
      <c r="AU243" s="219"/>
      <c r="AV243" s="219"/>
      <c r="AW243" s="219"/>
      <c r="AX243" s="219"/>
      <c r="AY243" s="219"/>
      <c r="AZ243" s="219"/>
      <c r="BA243" s="458"/>
      <c r="BB243" s="219"/>
      <c r="BC243" s="348">
        <f>SD!E29</f>
        <v>0</v>
      </c>
      <c r="BD243" s="536">
        <f t="shared" ref="BD243:BD261" si="88">IF(AND(E243&gt;0,F243&gt;0),1,0)</f>
        <v>0</v>
      </c>
      <c r="BE243" s="210"/>
    </row>
    <row r="244" spans="2:57" x14ac:dyDescent="0.25">
      <c r="B244" s="220" t="str">
        <f>Cen!A677</f>
        <v>SD uno - sada pro výsuv na odpad</v>
      </c>
      <c r="C244" s="220" t="str">
        <f>Cen!B677</f>
        <v>Z10NA30EE</v>
      </c>
      <c r="D244" s="220" t="str">
        <f>Cen!C677</f>
        <v>R737</v>
      </c>
      <c r="E244" s="593">
        <f>Cen!D677</f>
        <v>0</v>
      </c>
      <c r="F244" s="194">
        <f t="shared" si="87"/>
        <v>0</v>
      </c>
      <c r="G244" s="216">
        <f>Cen!F677</f>
        <v>3967.578</v>
      </c>
      <c r="H244" s="765">
        <f t="shared" si="84"/>
        <v>0</v>
      </c>
      <c r="I244" s="228"/>
      <c r="J244" s="218">
        <f>Cen!I677</f>
        <v>8284875</v>
      </c>
      <c r="K244" s="218">
        <f>Cen!J677</f>
        <v>130787</v>
      </c>
      <c r="L244" s="214">
        <f t="shared" si="85"/>
        <v>0</v>
      </c>
      <c r="M244" s="789">
        <f t="shared" si="86"/>
        <v>0</v>
      </c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19"/>
      <c r="AE244" s="219"/>
      <c r="AF244" s="219"/>
      <c r="AG244" s="219"/>
      <c r="AH244" s="219"/>
      <c r="AI244" s="219"/>
      <c r="AJ244" s="219"/>
      <c r="AK244" s="219"/>
      <c r="AL244" s="219"/>
      <c r="AM244" s="219"/>
      <c r="AN244" s="219"/>
      <c r="AO244" s="219"/>
      <c r="AP244" s="219"/>
      <c r="AQ244" s="219"/>
      <c r="AR244" s="219"/>
      <c r="AS244" s="458"/>
      <c r="AT244" s="219"/>
      <c r="AU244" s="219"/>
      <c r="AV244" s="219"/>
      <c r="AW244" s="219"/>
      <c r="AX244" s="219"/>
      <c r="AY244" s="219"/>
      <c r="AZ244" s="219"/>
      <c r="BA244" s="458"/>
      <c r="BB244" s="219"/>
      <c r="BC244" s="348">
        <f>SD!E30</f>
        <v>0</v>
      </c>
      <c r="BD244" s="536">
        <f t="shared" si="88"/>
        <v>0</v>
      </c>
      <c r="BE244" s="210"/>
    </row>
    <row r="245" spans="2:57" x14ac:dyDescent="0.25">
      <c r="B245" s="220" t="str">
        <f>Cen!A678</f>
        <v>SERVO-DRIVE flex - jednotka (sada)</v>
      </c>
      <c r="C245" s="220" t="str">
        <f>Cen!B678</f>
        <v>Z10C500A</v>
      </c>
      <c r="D245" s="220" t="str">
        <f>Cen!C678</f>
        <v>R736</v>
      </c>
      <c r="E245" s="593">
        <f>Cen!D678</f>
        <v>0</v>
      </c>
      <c r="F245" s="194">
        <f>IF(I245&gt;0,I245,SUM(N245:BC245))</f>
        <v>0</v>
      </c>
      <c r="G245" s="216">
        <f>Cen!F678</f>
        <v>4810.0468899999996</v>
      </c>
      <c r="H245" s="765">
        <f>M245</f>
        <v>0</v>
      </c>
      <c r="I245" s="228"/>
      <c r="J245" s="218">
        <f>Cen!I678</f>
        <v>4784397</v>
      </c>
      <c r="K245" s="218">
        <f>Cen!J678</f>
        <v>265145</v>
      </c>
      <c r="L245" s="214">
        <f t="shared" ref="L245:L248" si="89">IF(I245="x",0,IF(I245&gt;0,I245,F245))</f>
        <v>0</v>
      </c>
      <c r="M245" s="789">
        <f t="shared" ref="M245:M248" si="90">PRODUCT(L245,G245)</f>
        <v>0</v>
      </c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458"/>
      <c r="AT245" s="219"/>
      <c r="AU245" s="219"/>
      <c r="AV245" s="219"/>
      <c r="AW245" s="219"/>
      <c r="AX245" s="219"/>
      <c r="AY245" s="219"/>
      <c r="AZ245" s="219"/>
      <c r="BA245" s="458"/>
      <c r="BB245" s="219"/>
      <c r="BC245" s="348">
        <f>SD!E31</f>
        <v>0</v>
      </c>
      <c r="BD245" s="536">
        <f t="shared" si="88"/>
        <v>0</v>
      </c>
      <c r="BE245" s="210"/>
    </row>
    <row r="246" spans="2:57" x14ac:dyDescent="0.25">
      <c r="B246" s="220" t="str">
        <f>Cen!A679</f>
        <v>SERVO-DRIVE flex - bezdrátový přijímač</v>
      </c>
      <c r="C246" s="220" t="str">
        <f>Cen!B679</f>
        <v>Z10C5007</v>
      </c>
      <c r="D246" s="220" t="str">
        <f>Cen!C679</f>
        <v>R736</v>
      </c>
      <c r="E246" s="593">
        <f>Cen!D679</f>
        <v>0</v>
      </c>
      <c r="F246" s="194">
        <f>IF(I246&gt;0,I246,SUM(N246:BC246))</f>
        <v>0</v>
      </c>
      <c r="G246" s="216">
        <f>Cen!F679</f>
        <v>1884.95928</v>
      </c>
      <c r="H246" s="765">
        <f>M246</f>
        <v>0</v>
      </c>
      <c r="I246" s="228"/>
      <c r="J246" s="218">
        <f>Cen!I679</f>
        <v>1120793</v>
      </c>
      <c r="K246" s="218">
        <f>Cen!J679</f>
        <v>265355</v>
      </c>
      <c r="L246" s="214">
        <f t="shared" si="89"/>
        <v>0</v>
      </c>
      <c r="M246" s="789">
        <f t="shared" si="90"/>
        <v>0</v>
      </c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19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458"/>
      <c r="AT246" s="219"/>
      <c r="AU246" s="219"/>
      <c r="AV246" s="219"/>
      <c r="AW246" s="219"/>
      <c r="AX246" s="219"/>
      <c r="AY246" s="219"/>
      <c r="AZ246" s="219"/>
      <c r="BA246" s="458"/>
      <c r="BB246" s="219"/>
      <c r="BC246" s="348">
        <f>SD!E32</f>
        <v>0</v>
      </c>
      <c r="BD246" s="536">
        <f t="shared" si="88"/>
        <v>0</v>
      </c>
      <c r="BE246" s="210"/>
    </row>
    <row r="247" spans="2:57" x14ac:dyDescent="0.25">
      <c r="B247" s="220" t="str">
        <f>Cen!A680</f>
        <v>Spínač SERVO-DRIVE, světle šedá</v>
      </c>
      <c r="C247" s="220" t="str">
        <f>Cen!B680</f>
        <v>21P5020</v>
      </c>
      <c r="D247" s="220" t="str">
        <f>Cen!C680</f>
        <v>HGR</v>
      </c>
      <c r="E247" s="593">
        <f>Cen!D680</f>
        <v>0</v>
      </c>
      <c r="F247" s="194">
        <f>IF(I247&gt;0,I247,SUM(N247:BC247))</f>
        <v>0</v>
      </c>
      <c r="G247" s="216">
        <f>Cen!F680</f>
        <v>841.70610999999985</v>
      </c>
      <c r="H247" s="765">
        <f>M247</f>
        <v>0</v>
      </c>
      <c r="I247" s="228"/>
      <c r="J247" s="218">
        <f>Cen!I680</f>
        <v>8978398</v>
      </c>
      <c r="K247" s="218">
        <f>Cen!J680</f>
        <v>123015</v>
      </c>
      <c r="L247" s="214">
        <f t="shared" si="89"/>
        <v>0</v>
      </c>
      <c r="M247" s="789">
        <f t="shared" si="90"/>
        <v>0</v>
      </c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458"/>
      <c r="AT247" s="219"/>
      <c r="AU247" s="219"/>
      <c r="AV247" s="219"/>
      <c r="AW247" s="219"/>
      <c r="AX247" s="219"/>
      <c r="AY247" s="219"/>
      <c r="AZ247" s="219"/>
      <c r="BA247" s="458"/>
      <c r="BB247" s="219"/>
      <c r="BC247" s="348">
        <f>SD!E33</f>
        <v>0</v>
      </c>
      <c r="BD247" s="536">
        <f t="shared" si="88"/>
        <v>0</v>
      </c>
      <c r="BE247" s="210"/>
    </row>
    <row r="248" spans="2:57" x14ac:dyDescent="0.25">
      <c r="B248" s="220" t="str">
        <f>Cen!A681</f>
        <v>Spínač SERVO-DRIVE, hedvábně bílá</v>
      </c>
      <c r="C248" s="220" t="str">
        <f>Cen!B681</f>
        <v>21P5020</v>
      </c>
      <c r="D248" s="220" t="str">
        <f>Cen!C681</f>
        <v>SW</v>
      </c>
      <c r="E248" s="593">
        <f>Cen!D681</f>
        <v>0</v>
      </c>
      <c r="F248" s="194">
        <f>IF(I248&gt;0,I248,SUM(N248:BC248))</f>
        <v>0</v>
      </c>
      <c r="G248" s="216">
        <f>Cen!F681</f>
        <v>875.38149999999996</v>
      </c>
      <c r="H248" s="765">
        <f>M248</f>
        <v>0</v>
      </c>
      <c r="I248" s="228"/>
      <c r="J248" s="218">
        <f>Cen!I681</f>
        <v>8978392</v>
      </c>
      <c r="K248" s="218">
        <f>Cen!J681</f>
        <v>123016</v>
      </c>
      <c r="L248" s="214">
        <f t="shared" si="89"/>
        <v>0</v>
      </c>
      <c r="M248" s="789">
        <f t="shared" si="90"/>
        <v>0</v>
      </c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458"/>
      <c r="AT248" s="219"/>
      <c r="AU248" s="219"/>
      <c r="AV248" s="219"/>
      <c r="AW248" s="219"/>
      <c r="AX248" s="219"/>
      <c r="AY248" s="219"/>
      <c r="AZ248" s="219"/>
      <c r="BA248" s="458"/>
      <c r="BB248" s="219"/>
      <c r="BC248" s="348">
        <f>SD!E34</f>
        <v>0</v>
      </c>
      <c r="BD248" s="536">
        <f t="shared" si="88"/>
        <v>0</v>
      </c>
      <c r="BE248" s="210"/>
    </row>
    <row r="249" spans="2:57" x14ac:dyDescent="0.25">
      <c r="B249" s="220" t="str">
        <f>Cen!A682</f>
        <v>Montážní podložka - boční adaptér</v>
      </c>
      <c r="C249" s="220" t="str">
        <f>Cen!B682</f>
        <v>Z10C5005</v>
      </c>
      <c r="D249" s="220" t="str">
        <f>Cen!C682</f>
        <v>R735</v>
      </c>
      <c r="E249" s="593">
        <f>Cen!D682</f>
        <v>0</v>
      </c>
      <c r="F249" s="194">
        <f>IF(I249&gt;0,I249,SUM(N249:BC249))</f>
        <v>0</v>
      </c>
      <c r="G249" s="216">
        <f>Cen!F682</f>
        <v>16.96725</v>
      </c>
      <c r="H249" s="765">
        <f>M249</f>
        <v>0</v>
      </c>
      <c r="I249" s="228"/>
      <c r="J249" s="218">
        <f>Cen!I682</f>
        <v>1157179</v>
      </c>
      <c r="K249" s="218">
        <f>Cen!J682</f>
        <v>265356</v>
      </c>
      <c r="L249" s="214">
        <f t="shared" ref="L249" si="91">IF(I249="x",0,IF(I249&gt;0,I249,F249))</f>
        <v>0</v>
      </c>
      <c r="M249" s="789">
        <f t="shared" ref="M249" si="92">PRODUCT(L249,G249)</f>
        <v>0</v>
      </c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458"/>
      <c r="AT249" s="219"/>
      <c r="AU249" s="219"/>
      <c r="AV249" s="219"/>
      <c r="AW249" s="219"/>
      <c r="AX249" s="219"/>
      <c r="AY249" s="219"/>
      <c r="AZ249" s="219"/>
      <c r="BA249" s="458"/>
      <c r="BB249" s="219"/>
      <c r="BC249" s="792">
        <f>SD!E35</f>
        <v>0</v>
      </c>
      <c r="BD249" s="536">
        <f t="shared" ref="BD249" si="93">IF(AND(E249&gt;0,F249&gt;0),1,0)</f>
        <v>0</v>
      </c>
      <c r="BE249" s="210"/>
    </row>
    <row r="250" spans="2:57" x14ac:dyDescent="0.25">
      <c r="B250" s="220"/>
      <c r="C250" s="215"/>
      <c r="D250" s="215"/>
      <c r="E250" s="593"/>
      <c r="F250" s="194"/>
      <c r="G250" s="215"/>
      <c r="H250" s="765"/>
      <c r="I250" s="238"/>
      <c r="J250" s="215"/>
      <c r="K250" s="215"/>
      <c r="L250" s="214"/>
      <c r="M250" s="78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458"/>
      <c r="AT250" s="219"/>
      <c r="AU250" s="219"/>
      <c r="AV250" s="219"/>
      <c r="AW250" s="219"/>
      <c r="AX250" s="219"/>
      <c r="AY250" s="219"/>
      <c r="AZ250" s="219"/>
      <c r="BA250" s="458"/>
      <c r="BB250" s="219"/>
      <c r="BC250" s="219"/>
      <c r="BD250" s="536">
        <f t="shared" si="88"/>
        <v>0</v>
      </c>
      <c r="BE250" s="210"/>
    </row>
    <row r="251" spans="2:57" x14ac:dyDescent="0.25">
      <c r="B251" s="220" t="str">
        <f>Cen!A704</f>
        <v>CLIP top BLUMOTION 155° s nulovým přesahem</v>
      </c>
      <c r="C251" s="220" t="str">
        <f>Cen!B704</f>
        <v>71B7550</v>
      </c>
      <c r="D251" s="220" t="str">
        <f>Cen!C704</f>
        <v>NI</v>
      </c>
      <c r="E251" s="593">
        <f>Cen!D704</f>
        <v>0</v>
      </c>
      <c r="F251" s="194">
        <f t="shared" si="87"/>
        <v>0</v>
      </c>
      <c r="G251" s="216">
        <f>Cen!F704</f>
        <v>165.76643000000001</v>
      </c>
      <c r="H251" s="765">
        <f t="shared" si="71"/>
        <v>0</v>
      </c>
      <c r="I251" s="228"/>
      <c r="J251" s="218">
        <f>Cen!I704</f>
        <v>1181769</v>
      </c>
      <c r="K251" s="218">
        <f>Cen!J704</f>
        <v>347923</v>
      </c>
      <c r="L251" s="214">
        <f>IF(I251="x",0,IF(I251&gt;0,I251,F251))</f>
        <v>0</v>
      </c>
      <c r="M251" s="789">
        <f>PRODUCT(L251,G251)</f>
        <v>0</v>
      </c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458"/>
      <c r="AT251" s="219"/>
      <c r="AU251" s="219"/>
      <c r="AV251" s="219"/>
      <c r="AW251" s="219"/>
      <c r="AX251" s="219"/>
      <c r="AY251" s="219"/>
      <c r="AZ251" s="219"/>
      <c r="BA251" s="458"/>
      <c r="BB251" s="348">
        <f>Acs!E23</f>
        <v>0</v>
      </c>
      <c r="BC251" s="219"/>
      <c r="BD251" s="536">
        <f t="shared" si="88"/>
        <v>0</v>
      </c>
      <c r="BE251" s="210"/>
    </row>
    <row r="252" spans="2:57" x14ac:dyDescent="0.25">
      <c r="B252" s="220" t="str">
        <f>Cen!A705</f>
        <v>CLIP top BLUMOTION 155° s nul. přes., EXPANDO</v>
      </c>
      <c r="C252" s="220" t="str">
        <f>Cen!B705</f>
        <v>71B758E</v>
      </c>
      <c r="D252" s="220" t="str">
        <f>Cen!C705</f>
        <v>NI</v>
      </c>
      <c r="E252" s="593">
        <f>Cen!D705</f>
        <v>0</v>
      </c>
      <c r="F252" s="194">
        <f t="shared" si="87"/>
        <v>0</v>
      </c>
      <c r="G252" s="216">
        <f>Cen!F705</f>
        <v>0</v>
      </c>
      <c r="H252" s="765">
        <f t="shared" si="71"/>
        <v>0</v>
      </c>
      <c r="I252" s="228"/>
      <c r="J252" s="218">
        <f>Cen!I705</f>
        <v>4606320</v>
      </c>
      <c r="K252" s="218" t="str">
        <f>Cen!J705</f>
        <v>-</v>
      </c>
      <c r="L252" s="214">
        <f t="shared" ref="L252:L256" si="94">IF(I252="x",0,IF(I252&gt;0,I252,F252))</f>
        <v>0</v>
      </c>
      <c r="M252" s="789">
        <f t="shared" ref="M252:M256" si="95">PRODUCT(L252,G252)</f>
        <v>0</v>
      </c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19"/>
      <c r="AH252" s="219"/>
      <c r="AI252" s="219"/>
      <c r="AJ252" s="219"/>
      <c r="AK252" s="719">
        <f>'7STCGP'!S90</f>
        <v>0</v>
      </c>
      <c r="AL252" s="719">
        <f>'7STCGF'!S90</f>
        <v>0</v>
      </c>
      <c r="AM252" s="719">
        <f>'7STCRP'!S90</f>
        <v>0</v>
      </c>
      <c r="AN252" s="719">
        <f>'7STCRF'!S90</f>
        <v>0</v>
      </c>
      <c r="AO252" s="719">
        <f>'7STMGP'!S90</f>
        <v>0</v>
      </c>
      <c r="AP252" s="719">
        <f>'7STMGF'!S90</f>
        <v>0</v>
      </c>
      <c r="AQ252" s="719">
        <f>'7STMRP'!S90</f>
        <v>0</v>
      </c>
      <c r="AR252" s="719">
        <f>'7STMRF'!S90</f>
        <v>0</v>
      </c>
      <c r="AS252" s="458"/>
      <c r="AT252" s="219"/>
      <c r="AU252" s="219"/>
      <c r="AV252" s="219"/>
      <c r="AW252" s="219"/>
      <c r="AX252" s="219"/>
      <c r="AY252" s="219"/>
      <c r="AZ252" s="219"/>
      <c r="BA252" s="458"/>
      <c r="BB252" s="348">
        <f>Acs!E24</f>
        <v>0</v>
      </c>
      <c r="BC252" s="219"/>
      <c r="BD252" s="536">
        <f t="shared" si="88"/>
        <v>0</v>
      </c>
      <c r="BE252" s="210"/>
    </row>
    <row r="253" spans="2:57" x14ac:dyDescent="0.25">
      <c r="B253" s="220" t="str">
        <f>Cen!A706</f>
        <v>CLIP top 155° s nulovým přesahem, bez pružiny</v>
      </c>
      <c r="C253" s="220" t="str">
        <f>Cen!B706</f>
        <v>70T7550.TL</v>
      </c>
      <c r="D253" s="220" t="str">
        <f>Cen!C706</f>
        <v>NI</v>
      </c>
      <c r="E253" s="593">
        <f>Cen!D706</f>
        <v>0</v>
      </c>
      <c r="F253" s="194">
        <f t="shared" si="87"/>
        <v>0</v>
      </c>
      <c r="G253" s="216">
        <f>Cen!F706</f>
        <v>125.78175000000002</v>
      </c>
      <c r="H253" s="765">
        <f t="shared" si="71"/>
        <v>0</v>
      </c>
      <c r="I253" s="228"/>
      <c r="J253" s="218">
        <f>Cen!I706</f>
        <v>7523966</v>
      </c>
      <c r="K253" s="218">
        <f>Cen!J706</f>
        <v>347929</v>
      </c>
      <c r="L253" s="214">
        <f t="shared" si="94"/>
        <v>0</v>
      </c>
      <c r="M253" s="789">
        <f t="shared" si="95"/>
        <v>0</v>
      </c>
      <c r="N253" s="219"/>
      <c r="O253" s="219"/>
      <c r="P253" s="219"/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19"/>
      <c r="AE253" s="219"/>
      <c r="AF253" s="219"/>
      <c r="AG253" s="219"/>
      <c r="AH253" s="219"/>
      <c r="AI253" s="219"/>
      <c r="AJ253" s="219"/>
      <c r="AK253" s="792">
        <f>'7STCGP'!S91</f>
        <v>0</v>
      </c>
      <c r="AL253" s="792">
        <f>'7STCGF'!S91</f>
        <v>0</v>
      </c>
      <c r="AM253" s="792">
        <f>'7STCRP'!S91</f>
        <v>0</v>
      </c>
      <c r="AN253" s="792">
        <f>'7STCRF'!S91</f>
        <v>0</v>
      </c>
      <c r="AO253" s="792">
        <f>'7STMGP'!S91</f>
        <v>0</v>
      </c>
      <c r="AP253" s="792">
        <f>'7STMGF'!S91</f>
        <v>0</v>
      </c>
      <c r="AQ253" s="792">
        <f>'7STMRP'!S91</f>
        <v>0</v>
      </c>
      <c r="AR253" s="792">
        <f>'7STMRF'!S91</f>
        <v>0</v>
      </c>
      <c r="AS253" s="458"/>
      <c r="AT253" s="219"/>
      <c r="AU253" s="219"/>
      <c r="AV253" s="219"/>
      <c r="AW253" s="219"/>
      <c r="AX253" s="219"/>
      <c r="AY253" s="219"/>
      <c r="AZ253" s="219"/>
      <c r="BA253" s="458"/>
      <c r="BB253" s="348">
        <f>Acs!E25</f>
        <v>0</v>
      </c>
      <c r="BC253" s="219"/>
      <c r="BD253" s="536">
        <f t="shared" si="88"/>
        <v>0</v>
      </c>
      <c r="BE253" s="210"/>
    </row>
    <row r="254" spans="2:57" x14ac:dyDescent="0.25">
      <c r="B254" s="220" t="str">
        <f>Cen!A707</f>
        <v>CLIP top BLUMOTION 125° s nulovým přesahem</v>
      </c>
      <c r="C254" s="220" t="str">
        <f>Cen!B707</f>
        <v>71B7550D</v>
      </c>
      <c r="D254" s="220" t="str">
        <f>Cen!C707</f>
        <v>NI</v>
      </c>
      <c r="E254" s="593">
        <f>Cen!D707</f>
        <v>0</v>
      </c>
      <c r="F254" s="194">
        <f t="shared" si="87"/>
        <v>0</v>
      </c>
      <c r="G254" s="216">
        <f>Cen!F707</f>
        <v>165.76643000000001</v>
      </c>
      <c r="H254" s="765">
        <f>M254</f>
        <v>0</v>
      </c>
      <c r="I254" s="228"/>
      <c r="J254" s="218">
        <f>Cen!I707</f>
        <v>7422203</v>
      </c>
      <c r="K254" s="218">
        <f>Cen!J707</f>
        <v>347947</v>
      </c>
      <c r="L254" s="214">
        <f t="shared" si="94"/>
        <v>0</v>
      </c>
      <c r="M254" s="789">
        <f t="shared" si="95"/>
        <v>0</v>
      </c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458"/>
      <c r="AT254" s="219"/>
      <c r="AU254" s="219"/>
      <c r="AV254" s="219"/>
      <c r="AW254" s="219"/>
      <c r="AX254" s="219"/>
      <c r="AY254" s="219"/>
      <c r="AZ254" s="219"/>
      <c r="BA254" s="458"/>
      <c r="BB254" s="348">
        <f>Acs!E26</f>
        <v>0</v>
      </c>
      <c r="BC254" s="219"/>
      <c r="BD254" s="536">
        <f t="shared" si="88"/>
        <v>0</v>
      </c>
      <c r="BE254" s="210"/>
    </row>
    <row r="255" spans="2:57" x14ac:dyDescent="0.25">
      <c r="B255" s="220" t="str">
        <f>Cen!A708</f>
        <v>CLIP top BLUMOTION 110° pro tenké materiály</v>
      </c>
      <c r="C255" s="220" t="str">
        <f>Cen!B708</f>
        <v>71B453T</v>
      </c>
      <c r="D255" s="220" t="str">
        <f>Cen!C708</f>
        <v>NI</v>
      </c>
      <c r="E255" s="593">
        <f>Cen!D708</f>
        <v>0</v>
      </c>
      <c r="F255" s="194">
        <f t="shared" ref="F255:F256" si="96">IF(I255&gt;0,I255,SUM(N255:BC255))</f>
        <v>0</v>
      </c>
      <c r="G255" s="216">
        <f>Cen!F708</f>
        <v>330.55977000000001</v>
      </c>
      <c r="H255" s="765">
        <f t="shared" ref="H255:H256" si="97">M255</f>
        <v>0</v>
      </c>
      <c r="I255" s="228"/>
      <c r="J255" s="218">
        <f>Cen!I708</f>
        <v>7021363</v>
      </c>
      <c r="K255" s="218">
        <f>Cen!J708</f>
        <v>347988</v>
      </c>
      <c r="L255" s="214">
        <f t="shared" si="94"/>
        <v>0</v>
      </c>
      <c r="M255" s="789">
        <f t="shared" si="95"/>
        <v>0</v>
      </c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19"/>
      <c r="AI255" s="219"/>
      <c r="AJ255" s="219"/>
      <c r="AK255" s="792">
        <f>'7STCGP'!S92</f>
        <v>0</v>
      </c>
      <c r="AL255" s="792">
        <f>'7STCGF'!S92</f>
        <v>0</v>
      </c>
      <c r="AM255" s="792">
        <f>'7STCRP'!S92</f>
        <v>0</v>
      </c>
      <c r="AN255" s="792">
        <f>'7STCRF'!S92</f>
        <v>0</v>
      </c>
      <c r="AO255" s="792">
        <f>'7STMGP'!S92</f>
        <v>0</v>
      </c>
      <c r="AP255" s="792">
        <f>'7STMGF'!S92</f>
        <v>0</v>
      </c>
      <c r="AQ255" s="792">
        <f>'7STMRP'!S92</f>
        <v>0</v>
      </c>
      <c r="AR255" s="792">
        <f>'7STMRF'!S92</f>
        <v>0</v>
      </c>
      <c r="AS255" s="458"/>
      <c r="AT255" s="219"/>
      <c r="AU255" s="219"/>
      <c r="AV255" s="219"/>
      <c r="AW255" s="219"/>
      <c r="AX255" s="219"/>
      <c r="AY255" s="219"/>
      <c r="AZ255" s="219"/>
      <c r="BA255" s="458"/>
      <c r="BB255" s="792">
        <f>Acs!E27</f>
        <v>0</v>
      </c>
      <c r="BC255" s="219"/>
      <c r="BD255" s="536"/>
      <c r="BE255" s="210"/>
    </row>
    <row r="256" spans="2:57" x14ac:dyDescent="0.25">
      <c r="B256" s="220" t="str">
        <f>Cen!A709</f>
        <v>CLIP top 110°, pro tenké materiály, bez pružiny</v>
      </c>
      <c r="C256" s="220" t="str">
        <f>Cen!B709</f>
        <v>70T753T.TL</v>
      </c>
      <c r="D256" s="220" t="str">
        <f>Cen!C709</f>
        <v>NI</v>
      </c>
      <c r="E256" s="593">
        <f>Cen!D709</f>
        <v>0</v>
      </c>
      <c r="F256" s="194">
        <f t="shared" si="96"/>
        <v>0</v>
      </c>
      <c r="G256" s="216">
        <f>Cen!F709</f>
        <v>283.51188000000002</v>
      </c>
      <c r="H256" s="765">
        <f t="shared" si="97"/>
        <v>0</v>
      </c>
      <c r="I256" s="228"/>
      <c r="J256" s="218">
        <f>Cen!I709</f>
        <v>1524002</v>
      </c>
      <c r="K256" s="218">
        <f>Cen!J709</f>
        <v>347989</v>
      </c>
      <c r="L256" s="214">
        <f t="shared" si="94"/>
        <v>0</v>
      </c>
      <c r="M256" s="789">
        <f t="shared" si="95"/>
        <v>0</v>
      </c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19"/>
      <c r="AI256" s="219"/>
      <c r="AJ256" s="219"/>
      <c r="AK256" s="792">
        <f>'7STCGP'!S93</f>
        <v>0</v>
      </c>
      <c r="AL256" s="792">
        <f>'7STCGF'!S93</f>
        <v>0</v>
      </c>
      <c r="AM256" s="792">
        <f>'7STCRP'!S93</f>
        <v>0</v>
      </c>
      <c r="AN256" s="792">
        <f>'7STCRF'!S93</f>
        <v>0</v>
      </c>
      <c r="AO256" s="792">
        <f>'7STMGP'!S93</f>
        <v>0</v>
      </c>
      <c r="AP256" s="792">
        <f>'7STMGF'!S93</f>
        <v>0</v>
      </c>
      <c r="AQ256" s="792">
        <f>'7STMRP'!S93</f>
        <v>0</v>
      </c>
      <c r="AR256" s="792">
        <f>'7STMRF'!S93</f>
        <v>0</v>
      </c>
      <c r="AS256" s="458"/>
      <c r="AT256" s="219"/>
      <c r="AU256" s="219"/>
      <c r="AV256" s="219"/>
      <c r="AW256" s="219"/>
      <c r="AX256" s="219"/>
      <c r="AY256" s="219"/>
      <c r="AZ256" s="219"/>
      <c r="BA256" s="458"/>
      <c r="BB256" s="792">
        <f>Acs!E28</f>
        <v>0</v>
      </c>
      <c r="BC256" s="219"/>
      <c r="BD256" s="536"/>
      <c r="BE256" s="210"/>
    </row>
    <row r="257" spans="2:57" x14ac:dyDescent="0.25">
      <c r="B257" s="220"/>
      <c r="C257" s="220"/>
      <c r="D257" s="220"/>
      <c r="E257" s="593"/>
      <c r="F257" s="194"/>
      <c r="G257" s="216"/>
      <c r="H257" s="765"/>
      <c r="I257" s="217"/>
      <c r="J257" s="218"/>
      <c r="K257" s="218"/>
      <c r="L257" s="214"/>
      <c r="M257" s="78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19"/>
      <c r="AI257" s="219"/>
      <c r="AJ257" s="219"/>
      <c r="AK257" s="219"/>
      <c r="AL257" s="219"/>
      <c r="AM257" s="219"/>
      <c r="AN257" s="219"/>
      <c r="AO257" s="219"/>
      <c r="AP257" s="219"/>
      <c r="AQ257" s="219"/>
      <c r="AR257" s="219"/>
      <c r="AS257" s="458"/>
      <c r="AT257" s="219"/>
      <c r="AU257" s="219"/>
      <c r="AV257" s="219"/>
      <c r="AW257" s="219"/>
      <c r="AX257" s="219"/>
      <c r="AY257" s="219"/>
      <c r="AZ257" s="219"/>
      <c r="BA257" s="458"/>
      <c r="BB257" s="792"/>
      <c r="BC257" s="219"/>
      <c r="BD257" s="536">
        <f t="shared" si="88"/>
        <v>0</v>
      </c>
      <c r="BE257" s="210"/>
    </row>
    <row r="258" spans="2:57" x14ac:dyDescent="0.25">
      <c r="B258" s="220" t="str">
        <f>Cen!A711</f>
        <v>Podložka CLIP na vruty</v>
      </c>
      <c r="C258" s="220" t="str">
        <f>Cen!B711</f>
        <v>173L6100</v>
      </c>
      <c r="D258" s="220" t="str">
        <f>Cen!C711</f>
        <v>NI</v>
      </c>
      <c r="E258" s="593">
        <f>Cen!D711</f>
        <v>0</v>
      </c>
      <c r="F258" s="194">
        <f t="shared" si="87"/>
        <v>0</v>
      </c>
      <c r="G258" s="216">
        <f>Cen!F711</f>
        <v>5.3514999999999997</v>
      </c>
      <c r="H258" s="765">
        <f t="shared" si="71"/>
        <v>0</v>
      </c>
      <c r="I258" s="228"/>
      <c r="J258" s="218">
        <f>Cen!I711</f>
        <v>1925383</v>
      </c>
      <c r="K258" s="218">
        <f>Cen!J711</f>
        <v>296379</v>
      </c>
      <c r="L258" s="214">
        <f t="shared" ref="L258:L264" si="98">IF(I258="x",0,IF(I258&gt;0,I258,F258))</f>
        <v>0</v>
      </c>
      <c r="M258" s="789">
        <f t="shared" ref="M258:M264" si="99">PRODUCT(L258,G258)</f>
        <v>0</v>
      </c>
      <c r="N258" s="219"/>
      <c r="O258" s="219"/>
      <c r="P258" s="219"/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  <c r="AA258" s="219"/>
      <c r="AB258" s="219"/>
      <c r="AC258" s="219"/>
      <c r="AD258" s="219"/>
      <c r="AE258" s="219"/>
      <c r="AF258" s="219"/>
      <c r="AG258" s="219"/>
      <c r="AH258" s="219"/>
      <c r="AI258" s="219"/>
      <c r="AJ258" s="219"/>
      <c r="AK258" s="219"/>
      <c r="AL258" s="219"/>
      <c r="AM258" s="219"/>
      <c r="AN258" s="219"/>
      <c r="AO258" s="219"/>
      <c r="AP258" s="219"/>
      <c r="AQ258" s="219"/>
      <c r="AR258" s="219"/>
      <c r="AS258" s="458"/>
      <c r="AT258" s="219"/>
      <c r="AU258" s="219"/>
      <c r="AV258" s="219"/>
      <c r="AW258" s="219"/>
      <c r="AX258" s="219"/>
      <c r="AY258" s="219"/>
      <c r="AZ258" s="219"/>
      <c r="BA258" s="458"/>
      <c r="BB258" s="348">
        <f>Acs!E29</f>
        <v>0</v>
      </c>
      <c r="BC258" s="219"/>
      <c r="BD258" s="536">
        <f t="shared" si="88"/>
        <v>0</v>
      </c>
      <c r="BE258" s="210"/>
    </row>
    <row r="259" spans="2:57" x14ac:dyDescent="0.25">
      <c r="B259" s="220" t="str">
        <f>Cen!A712</f>
        <v>Podložka CLIP EXPANDO</v>
      </c>
      <c r="C259" s="220" t="str">
        <f>Cen!B712</f>
        <v>174E6100.01</v>
      </c>
      <c r="D259" s="220" t="str">
        <f>Cen!C712</f>
        <v>NI</v>
      </c>
      <c r="E259" s="593">
        <f>Cen!D712</f>
        <v>0</v>
      </c>
      <c r="F259" s="194">
        <f t="shared" si="87"/>
        <v>0</v>
      </c>
      <c r="G259" s="216">
        <f>Cen!F712</f>
        <v>8.2889099999999996</v>
      </c>
      <c r="H259" s="765">
        <f t="shared" si="71"/>
        <v>0</v>
      </c>
      <c r="I259" s="228"/>
      <c r="J259" s="218">
        <f>Cen!I712</f>
        <v>1863003</v>
      </c>
      <c r="K259" s="218">
        <f>Cen!J712</f>
        <v>12302</v>
      </c>
      <c r="L259" s="214">
        <f t="shared" si="98"/>
        <v>0</v>
      </c>
      <c r="M259" s="789">
        <f t="shared" si="99"/>
        <v>0</v>
      </c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  <c r="AA259" s="219"/>
      <c r="AB259" s="219"/>
      <c r="AC259" s="219"/>
      <c r="AD259" s="219"/>
      <c r="AE259" s="219"/>
      <c r="AF259" s="219"/>
      <c r="AG259" s="219"/>
      <c r="AH259" s="219"/>
      <c r="AI259" s="219"/>
      <c r="AJ259" s="219"/>
      <c r="AK259" s="219"/>
      <c r="AL259" s="219"/>
      <c r="AM259" s="219"/>
      <c r="AN259" s="219"/>
      <c r="AO259" s="219"/>
      <c r="AP259" s="219"/>
      <c r="AQ259" s="219"/>
      <c r="AR259" s="219"/>
      <c r="AS259" s="458"/>
      <c r="AT259" s="219"/>
      <c r="AU259" s="219"/>
      <c r="AV259" s="219"/>
      <c r="AW259" s="219"/>
      <c r="AX259" s="219"/>
      <c r="AY259" s="219"/>
      <c r="AZ259" s="219"/>
      <c r="BA259" s="458"/>
      <c r="BB259" s="348">
        <f>Acs!E30</f>
        <v>0</v>
      </c>
      <c r="BC259" s="219"/>
      <c r="BD259" s="536">
        <f t="shared" si="88"/>
        <v>0</v>
      </c>
      <c r="BE259" s="210"/>
    </row>
    <row r="260" spans="2:57" x14ac:dyDescent="0.25">
      <c r="B260" s="220" t="str">
        <f>Cen!A713</f>
        <v>Podložka CLIP s excentrem</v>
      </c>
      <c r="C260" s="220" t="str">
        <f>Cen!B713</f>
        <v>173H7100</v>
      </c>
      <c r="D260" s="220" t="str">
        <f>Cen!C713</f>
        <v>NI</v>
      </c>
      <c r="E260" s="593">
        <f>Cen!D713</f>
        <v>0</v>
      </c>
      <c r="F260" s="194">
        <f t="shared" si="87"/>
        <v>0</v>
      </c>
      <c r="G260" s="216">
        <f>Cen!F713</f>
        <v>13.941179999999999</v>
      </c>
      <c r="H260" s="765">
        <f t="shared" si="71"/>
        <v>0</v>
      </c>
      <c r="I260" s="228"/>
      <c r="J260" s="218">
        <f>Cen!I713</f>
        <v>2364043</v>
      </c>
      <c r="K260" s="218">
        <f>Cen!J713</f>
        <v>12340</v>
      </c>
      <c r="L260" s="214">
        <f t="shared" si="98"/>
        <v>0</v>
      </c>
      <c r="M260" s="789">
        <f t="shared" si="99"/>
        <v>0</v>
      </c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G260" s="219"/>
      <c r="AH260" s="219"/>
      <c r="AI260" s="219"/>
      <c r="AJ260" s="219"/>
      <c r="AK260" s="219"/>
      <c r="AL260" s="219"/>
      <c r="AM260" s="219"/>
      <c r="AN260" s="219"/>
      <c r="AO260" s="219"/>
      <c r="AP260" s="219"/>
      <c r="AQ260" s="219"/>
      <c r="AR260" s="219"/>
      <c r="AS260" s="458"/>
      <c r="AT260" s="219"/>
      <c r="AU260" s="219"/>
      <c r="AV260" s="219"/>
      <c r="AW260" s="219"/>
      <c r="AX260" s="219"/>
      <c r="AY260" s="219"/>
      <c r="AZ260" s="219"/>
      <c r="BA260" s="458"/>
      <c r="BB260" s="348">
        <f>Acs!E31</f>
        <v>0</v>
      </c>
      <c r="BC260" s="219"/>
      <c r="BD260" s="536">
        <f t="shared" si="88"/>
        <v>0</v>
      </c>
      <c r="BE260" s="210"/>
    </row>
    <row r="261" spans="2:57" x14ac:dyDescent="0.25">
      <c r="B261" s="220" t="str">
        <f>Cen!A714</f>
        <v>Podložka CLIP s excentrem, EXPANDO</v>
      </c>
      <c r="C261" s="220" t="str">
        <f>Cen!B714</f>
        <v>174H7100E</v>
      </c>
      <c r="D261" s="220" t="str">
        <f>Cen!C714</f>
        <v>NI</v>
      </c>
      <c r="E261" s="593">
        <f>Cen!D714</f>
        <v>0</v>
      </c>
      <c r="F261" s="194">
        <f t="shared" si="87"/>
        <v>0</v>
      </c>
      <c r="G261" s="216">
        <f>Cen!F714</f>
        <v>17.038019999999999</v>
      </c>
      <c r="H261" s="765">
        <f t="shared" si="71"/>
        <v>0</v>
      </c>
      <c r="I261" s="228"/>
      <c r="J261" s="218">
        <f>Cen!I714</f>
        <v>2364983</v>
      </c>
      <c r="K261" s="218">
        <f>Cen!J714</f>
        <v>12312</v>
      </c>
      <c r="L261" s="214">
        <f t="shared" si="98"/>
        <v>0</v>
      </c>
      <c r="M261" s="789">
        <f t="shared" si="99"/>
        <v>0</v>
      </c>
      <c r="N261" s="219"/>
      <c r="O261" s="219"/>
      <c r="P261" s="219"/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19"/>
      <c r="AI261" s="219"/>
      <c r="AJ261" s="219"/>
      <c r="AK261" s="219"/>
      <c r="AL261" s="219"/>
      <c r="AM261" s="219"/>
      <c r="AN261" s="219"/>
      <c r="AO261" s="219"/>
      <c r="AP261" s="219"/>
      <c r="AQ261" s="219"/>
      <c r="AR261" s="219"/>
      <c r="AS261" s="458"/>
      <c r="AT261" s="219"/>
      <c r="AU261" s="219"/>
      <c r="AV261" s="219"/>
      <c r="AW261" s="219"/>
      <c r="AX261" s="219"/>
      <c r="AY261" s="219"/>
      <c r="AZ261" s="219"/>
      <c r="BA261" s="458"/>
      <c r="BB261" s="348">
        <f>Acs!E32</f>
        <v>0</v>
      </c>
      <c r="BC261" s="219"/>
      <c r="BD261" s="536">
        <f t="shared" si="88"/>
        <v>0</v>
      </c>
      <c r="BE261" s="210"/>
    </row>
    <row r="262" spans="2:57" x14ac:dyDescent="0.25">
      <c r="B262" s="220" t="str">
        <f>Cen!A715</f>
        <v>Podložka CLIP top přímá</v>
      </c>
      <c r="C262" s="220" t="str">
        <f>Cen!B715</f>
        <v>175H5400</v>
      </c>
      <c r="D262" s="220" t="str">
        <f>Cen!C715</f>
        <v>NI</v>
      </c>
      <c r="E262" s="593">
        <f>Cen!D715</f>
        <v>0</v>
      </c>
      <c r="F262" s="194">
        <f t="shared" si="87"/>
        <v>0</v>
      </c>
      <c r="G262" s="216">
        <f>Cen!F715</f>
        <v>20.467960000000001</v>
      </c>
      <c r="H262" s="765">
        <f t="shared" si="71"/>
        <v>0</v>
      </c>
      <c r="I262" s="228"/>
      <c r="J262" s="218">
        <f>Cen!I715</f>
        <v>8002803</v>
      </c>
      <c r="K262" s="218">
        <f>Cen!J715</f>
        <v>12323</v>
      </c>
      <c r="L262" s="214">
        <f t="shared" si="98"/>
        <v>0</v>
      </c>
      <c r="M262" s="789">
        <f t="shared" si="99"/>
        <v>0</v>
      </c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  <c r="AA262" s="219"/>
      <c r="AB262" s="219"/>
      <c r="AC262" s="219"/>
      <c r="AD262" s="219"/>
      <c r="AE262" s="219"/>
      <c r="AF262" s="219"/>
      <c r="AG262" s="219"/>
      <c r="AH262" s="219"/>
      <c r="AI262" s="219"/>
      <c r="AJ262" s="219"/>
      <c r="AK262" s="219"/>
      <c r="AL262" s="219"/>
      <c r="AM262" s="219"/>
      <c r="AN262" s="219"/>
      <c r="AO262" s="219"/>
      <c r="AP262" s="219"/>
      <c r="AQ262" s="219"/>
      <c r="AR262" s="219"/>
      <c r="AS262" s="458"/>
      <c r="AT262" s="219"/>
      <c r="AU262" s="219"/>
      <c r="AV262" s="219"/>
      <c r="AW262" s="219"/>
      <c r="AX262" s="219"/>
      <c r="AY262" s="219"/>
      <c r="AZ262" s="219"/>
      <c r="BA262" s="458"/>
      <c r="BB262" s="348">
        <f>Acs!E33</f>
        <v>0</v>
      </c>
      <c r="BC262" s="219"/>
      <c r="BD262" s="536">
        <f t="shared" ref="BD262:BD270" si="100">IF(AND(E262&gt;0,F262&gt;0),1,0)</f>
        <v>0</v>
      </c>
      <c r="BE262" s="210"/>
    </row>
    <row r="263" spans="2:57" x14ac:dyDescent="0.25">
      <c r="B263" s="220" t="str">
        <f>Cen!A716</f>
        <v>Podložka CLIP top přímá, EXPANDO</v>
      </c>
      <c r="C263" s="220" t="str">
        <f>Cen!B716</f>
        <v>177H5400E</v>
      </c>
      <c r="D263" s="220" t="str">
        <f>Cen!C716</f>
        <v>NI</v>
      </c>
      <c r="E263" s="593">
        <f>Cen!D716</f>
        <v>0</v>
      </c>
      <c r="F263" s="194">
        <f t="shared" si="87"/>
        <v>0</v>
      </c>
      <c r="G263" s="216">
        <f>Cen!F716</f>
        <v>23.60594</v>
      </c>
      <c r="H263" s="765">
        <f t="shared" si="71"/>
        <v>0</v>
      </c>
      <c r="I263" s="228"/>
      <c r="J263" s="218">
        <f>Cen!I716</f>
        <v>8003033</v>
      </c>
      <c r="K263" s="218">
        <f>Cen!J716</f>
        <v>12326</v>
      </c>
      <c r="L263" s="214">
        <f t="shared" si="98"/>
        <v>0</v>
      </c>
      <c r="M263" s="789">
        <f t="shared" si="99"/>
        <v>0</v>
      </c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19"/>
      <c r="AJ263" s="219"/>
      <c r="AK263" s="219"/>
      <c r="AL263" s="219"/>
      <c r="AM263" s="219"/>
      <c r="AN263" s="219"/>
      <c r="AO263" s="219"/>
      <c r="AP263" s="219"/>
      <c r="AQ263" s="219"/>
      <c r="AR263" s="219"/>
      <c r="AS263" s="458"/>
      <c r="AT263" s="219"/>
      <c r="AU263" s="219"/>
      <c r="AV263" s="219"/>
      <c r="AW263" s="219"/>
      <c r="AX263" s="219"/>
      <c r="AY263" s="219"/>
      <c r="AZ263" s="219"/>
      <c r="BA263" s="458"/>
      <c r="BB263" s="348">
        <f>Acs!E34</f>
        <v>0</v>
      </c>
      <c r="BC263" s="219"/>
      <c r="BD263" s="536">
        <f t="shared" si="100"/>
        <v>0</v>
      </c>
      <c r="BE263" s="210"/>
    </row>
    <row r="264" spans="2:57" x14ac:dyDescent="0.25">
      <c r="B264" s="220" t="str">
        <f>Cen!A717</f>
        <v>Podložka CLIP top přímá, ocel.</v>
      </c>
      <c r="C264" s="220" t="str">
        <f>Cen!B717</f>
        <v>175H3100</v>
      </c>
      <c r="D264" s="220" t="str">
        <f>Cen!C717</f>
        <v>NI</v>
      </c>
      <c r="E264" s="593">
        <f>Cen!D717</f>
        <v>0</v>
      </c>
      <c r="F264" s="194">
        <f t="shared" si="87"/>
        <v>0</v>
      </c>
      <c r="G264" s="216">
        <f>Cen!F717</f>
        <v>13.269839999999999</v>
      </c>
      <c r="H264" s="765">
        <f t="shared" si="71"/>
        <v>0</v>
      </c>
      <c r="I264" s="228"/>
      <c r="J264" s="218">
        <f>Cen!I717</f>
        <v>1037431</v>
      </c>
      <c r="K264" s="218">
        <f>Cen!J717</f>
        <v>203387</v>
      </c>
      <c r="L264" s="214">
        <f t="shared" si="98"/>
        <v>0</v>
      </c>
      <c r="M264" s="789">
        <f t="shared" si="99"/>
        <v>0</v>
      </c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19"/>
      <c r="AL264" s="219"/>
      <c r="AM264" s="219"/>
      <c r="AN264" s="219"/>
      <c r="AO264" s="219"/>
      <c r="AP264" s="219"/>
      <c r="AQ264" s="219"/>
      <c r="AR264" s="219"/>
      <c r="AS264" s="458"/>
      <c r="AT264" s="219"/>
      <c r="AU264" s="219"/>
      <c r="AV264" s="219"/>
      <c r="AW264" s="219"/>
      <c r="AX264" s="219"/>
      <c r="AY264" s="219"/>
      <c r="AZ264" s="219"/>
      <c r="BA264" s="458"/>
      <c r="BB264" s="348">
        <f>Acs!E35</f>
        <v>0</v>
      </c>
      <c r="BC264" s="219"/>
      <c r="BD264" s="536">
        <f t="shared" si="100"/>
        <v>0</v>
      </c>
      <c r="BE264" s="210"/>
    </row>
    <row r="265" spans="2:57" x14ac:dyDescent="0.25">
      <c r="B265" s="220" t="str">
        <f>Cen!A718</f>
        <v>Podložka CLIP top přímá, ocel., EXPANDO</v>
      </c>
      <c r="C265" s="220" t="str">
        <f>Cen!B718</f>
        <v>177H3100E</v>
      </c>
      <c r="D265" s="220" t="str">
        <f>Cen!C718</f>
        <v>NI</v>
      </c>
      <c r="E265" s="593">
        <f>Cen!D718</f>
        <v>0</v>
      </c>
      <c r="F265" s="194">
        <f t="shared" si="87"/>
        <v>0</v>
      </c>
      <c r="G265" s="216">
        <f>Cen!F718</f>
        <v>15.007749999999998</v>
      </c>
      <c r="H265" s="765">
        <f t="shared" ref="H265:H274" si="101">M265</f>
        <v>0</v>
      </c>
      <c r="I265" s="228"/>
      <c r="J265" s="218">
        <f>Cen!I718</f>
        <v>3120329</v>
      </c>
      <c r="K265" s="218">
        <f>Cen!J718</f>
        <v>211476</v>
      </c>
      <c r="L265" s="214">
        <f t="shared" ref="L265:L269" si="102">IF(I265="x",0,IF(I265&gt;0,I265,F265))</f>
        <v>0</v>
      </c>
      <c r="M265" s="789">
        <f t="shared" ref="M265:M269" si="103">PRODUCT(L265,G265)</f>
        <v>0</v>
      </c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19"/>
      <c r="AH265" s="219"/>
      <c r="AI265" s="219"/>
      <c r="AJ265" s="219"/>
      <c r="AK265" s="792">
        <f>'7STCGP'!S94</f>
        <v>0</v>
      </c>
      <c r="AL265" s="792">
        <f>'7STCGF'!S94</f>
        <v>0</v>
      </c>
      <c r="AM265" s="792">
        <f>'7STCRP'!S94</f>
        <v>0</v>
      </c>
      <c r="AN265" s="792">
        <f>'7STCRF'!S94</f>
        <v>0</v>
      </c>
      <c r="AO265" s="792">
        <f>'7STMGP'!S94</f>
        <v>0</v>
      </c>
      <c r="AP265" s="792">
        <f>'7STMGF'!S94</f>
        <v>0</v>
      </c>
      <c r="AQ265" s="792">
        <f>'7STMRP'!S94</f>
        <v>0</v>
      </c>
      <c r="AR265" s="792">
        <f>'7STMRF'!S94</f>
        <v>0</v>
      </c>
      <c r="AS265" s="458"/>
      <c r="AT265" s="219"/>
      <c r="AU265" s="219"/>
      <c r="AV265" s="219"/>
      <c r="AW265" s="219"/>
      <c r="AX265" s="219"/>
      <c r="AY265" s="219"/>
      <c r="AZ265" s="219"/>
      <c r="BA265" s="458"/>
      <c r="BB265" s="348">
        <f>Acs!E36</f>
        <v>0</v>
      </c>
      <c r="BC265" s="219"/>
      <c r="BD265" s="536">
        <f t="shared" si="100"/>
        <v>0</v>
      </c>
      <c r="BE265" s="210"/>
    </row>
    <row r="266" spans="2:57" x14ac:dyDescent="0.25">
      <c r="B266" s="220" t="str">
        <f>Cen!A720</f>
        <v>BLUMOTION v křížovém adaptéru</v>
      </c>
      <c r="C266" s="220" t="str">
        <f>Cen!B720</f>
        <v>971A0500</v>
      </c>
      <c r="D266" s="220" t="str">
        <f>Cen!C720</f>
        <v>NI</v>
      </c>
      <c r="E266" s="593">
        <f>Cen!D720</f>
        <v>0</v>
      </c>
      <c r="F266" s="194">
        <f t="shared" si="87"/>
        <v>0</v>
      </c>
      <c r="G266" s="216">
        <f>Cen!F720</f>
        <v>79.750699999999995</v>
      </c>
      <c r="H266" s="765">
        <f t="shared" si="101"/>
        <v>0</v>
      </c>
      <c r="I266" s="228"/>
      <c r="J266" s="218">
        <f>Cen!I720</f>
        <v>6823663</v>
      </c>
      <c r="K266" s="218">
        <f>Cen!J720</f>
        <v>12392</v>
      </c>
      <c r="L266" s="214">
        <f t="shared" si="102"/>
        <v>0</v>
      </c>
      <c r="M266" s="789">
        <f t="shared" si="103"/>
        <v>0</v>
      </c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19"/>
      <c r="AH266" s="219"/>
      <c r="AI266" s="219"/>
      <c r="AJ266" s="219"/>
      <c r="AK266" s="219"/>
      <c r="AL266" s="219"/>
      <c r="AM266" s="219"/>
      <c r="AN266" s="219"/>
      <c r="AO266" s="219"/>
      <c r="AP266" s="219"/>
      <c r="AQ266" s="219"/>
      <c r="AR266" s="219"/>
      <c r="AS266" s="458"/>
      <c r="AT266" s="219"/>
      <c r="AU266" s="219"/>
      <c r="AV266" s="219"/>
      <c r="AW266" s="219"/>
      <c r="AX266" s="219"/>
      <c r="AY266" s="219"/>
      <c r="AZ266" s="219"/>
      <c r="BA266" s="458"/>
      <c r="BB266" s="348">
        <f>Acs!E37</f>
        <v>0</v>
      </c>
      <c r="BC266" s="219"/>
      <c r="BD266" s="536">
        <f t="shared" si="100"/>
        <v>0</v>
      </c>
      <c r="BE266" s="210"/>
    </row>
    <row r="267" spans="2:57" x14ac:dyDescent="0.25">
      <c r="B267" s="220" t="str">
        <f>Cen!A721</f>
        <v>TIP-ON, prodloužená délka, šedá</v>
      </c>
      <c r="C267" s="220" t="str">
        <f>Cen!B721</f>
        <v>956A1004</v>
      </c>
      <c r="D267" s="220" t="str">
        <f>Cen!C721</f>
        <v>PG</v>
      </c>
      <c r="E267" s="593">
        <f>Cen!D721</f>
        <v>0</v>
      </c>
      <c r="F267" s="194">
        <f t="shared" si="87"/>
        <v>0</v>
      </c>
      <c r="G267" s="216">
        <f>Cen!F721</f>
        <v>129.02763999999999</v>
      </c>
      <c r="H267" s="765">
        <f t="shared" si="101"/>
        <v>0</v>
      </c>
      <c r="I267" s="228"/>
      <c r="J267" s="218">
        <f>Cen!I721</f>
        <v>6484096</v>
      </c>
      <c r="K267" s="218">
        <f>Cen!J721</f>
        <v>250833</v>
      </c>
      <c r="L267" s="214">
        <f t="shared" si="102"/>
        <v>0</v>
      </c>
      <c r="M267" s="789">
        <f t="shared" si="103"/>
        <v>0</v>
      </c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9"/>
      <c r="AD267" s="219"/>
      <c r="AE267" s="219"/>
      <c r="AF267" s="219"/>
      <c r="AG267" s="219"/>
      <c r="AH267" s="219"/>
      <c r="AI267" s="219"/>
      <c r="AJ267" s="219"/>
      <c r="AK267" s="792">
        <f>'7STCGP'!S96</f>
        <v>0</v>
      </c>
      <c r="AL267" s="792">
        <f>'7STCGF'!S96</f>
        <v>0</v>
      </c>
      <c r="AM267" s="792">
        <f>'7STCRP'!S96</f>
        <v>0</v>
      </c>
      <c r="AN267" s="792">
        <f>'7STCRF'!S96</f>
        <v>0</v>
      </c>
      <c r="AO267" s="792">
        <f>'7STMGP'!S96</f>
        <v>0</v>
      </c>
      <c r="AP267" s="792">
        <f>'7STMGF'!S96</f>
        <v>0</v>
      </c>
      <c r="AQ267" s="792">
        <f>'7STMRP'!S96</f>
        <v>0</v>
      </c>
      <c r="AR267" s="792">
        <f>'7STMRF'!S96</f>
        <v>0</v>
      </c>
      <c r="AS267" s="458"/>
      <c r="AT267" s="219"/>
      <c r="AU267" s="219"/>
      <c r="AV267" s="219"/>
      <c r="AW267" s="219"/>
      <c r="AX267" s="219"/>
      <c r="AY267" s="219"/>
      <c r="AZ267" s="219"/>
      <c r="BA267" s="458"/>
      <c r="BB267" s="348">
        <f>Acs!E38</f>
        <v>0</v>
      </c>
      <c r="BC267" s="219"/>
      <c r="BD267" s="536">
        <f t="shared" si="100"/>
        <v>0</v>
      </c>
      <c r="BE267" s="210"/>
    </row>
    <row r="268" spans="2:57" x14ac:dyDescent="0.25">
      <c r="B268" s="220" t="str">
        <f>Cen!A724</f>
        <v>TIP-ON přímý adaptér, prodl.délka, šedá</v>
      </c>
      <c r="C268" s="220" t="str">
        <f>Cen!B724</f>
        <v>956A1201</v>
      </c>
      <c r="D268" s="220" t="str">
        <f>Cen!C724</f>
        <v>PG</v>
      </c>
      <c r="E268" s="593">
        <f>Cen!D724</f>
        <v>0</v>
      </c>
      <c r="F268" s="194">
        <f t="shared" si="87"/>
        <v>0</v>
      </c>
      <c r="G268" s="216">
        <f>Cen!F724</f>
        <v>25.413550000000001</v>
      </c>
      <c r="H268" s="765">
        <f t="shared" si="101"/>
        <v>0</v>
      </c>
      <c r="I268" s="228"/>
      <c r="J268" s="218">
        <f>Cen!I724</f>
        <v>8849808</v>
      </c>
      <c r="K268" s="218">
        <f>Cen!J724</f>
        <v>250842</v>
      </c>
      <c r="L268" s="214">
        <f t="shared" si="102"/>
        <v>0</v>
      </c>
      <c r="M268" s="789">
        <f t="shared" si="103"/>
        <v>0</v>
      </c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  <c r="AA268" s="219"/>
      <c r="AB268" s="219"/>
      <c r="AC268" s="219"/>
      <c r="AD268" s="219"/>
      <c r="AE268" s="219"/>
      <c r="AF268" s="219"/>
      <c r="AG268" s="219"/>
      <c r="AH268" s="219"/>
      <c r="AI268" s="219"/>
      <c r="AJ268" s="219"/>
      <c r="AK268" s="219"/>
      <c r="AL268" s="219"/>
      <c r="AM268" s="219"/>
      <c r="AN268" s="219"/>
      <c r="AO268" s="219"/>
      <c r="AP268" s="219"/>
      <c r="AQ268" s="219"/>
      <c r="AR268" s="219"/>
      <c r="AS268" s="458"/>
      <c r="AT268" s="219"/>
      <c r="AU268" s="219"/>
      <c r="AV268" s="219"/>
      <c r="AW268" s="219"/>
      <c r="AX268" s="219"/>
      <c r="AY268" s="219"/>
      <c r="AZ268" s="219"/>
      <c r="BA268" s="458"/>
      <c r="BB268" s="348">
        <f>Acs!E39</f>
        <v>0</v>
      </c>
      <c r="BC268" s="219"/>
      <c r="BD268" s="536">
        <f t="shared" si="100"/>
        <v>0</v>
      </c>
      <c r="BE268" s="210"/>
    </row>
    <row r="269" spans="2:57" x14ac:dyDescent="0.25">
      <c r="B269" s="220" t="str">
        <f>Cen!A727</f>
        <v>TIP-ON křížový adaptér, šedá</v>
      </c>
      <c r="C269" s="220" t="str">
        <f>Cen!B727</f>
        <v>956A1501</v>
      </c>
      <c r="D269" s="220" t="str">
        <f>Cen!C727</f>
        <v>PG</v>
      </c>
      <c r="E269" s="593">
        <f>Cen!D727</f>
        <v>0</v>
      </c>
      <c r="F269" s="194">
        <f t="shared" si="87"/>
        <v>0</v>
      </c>
      <c r="G269" s="216">
        <f>Cen!F727</f>
        <v>19.052040000000002</v>
      </c>
      <c r="H269" s="765">
        <f t="shared" si="101"/>
        <v>0</v>
      </c>
      <c r="I269" s="228"/>
      <c r="J269" s="218">
        <f>Cen!I727</f>
        <v>2583646</v>
      </c>
      <c r="K269" s="218">
        <f>Cen!J727</f>
        <v>250844</v>
      </c>
      <c r="L269" s="214">
        <f t="shared" si="102"/>
        <v>0</v>
      </c>
      <c r="M269" s="789">
        <f t="shared" si="103"/>
        <v>0</v>
      </c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  <c r="AA269" s="219"/>
      <c r="AB269" s="219"/>
      <c r="AC269" s="219"/>
      <c r="AD269" s="219"/>
      <c r="AE269" s="219"/>
      <c r="AF269" s="219"/>
      <c r="AG269" s="219"/>
      <c r="AH269" s="219"/>
      <c r="AI269" s="219"/>
      <c r="AJ269" s="219"/>
      <c r="AK269" s="219"/>
      <c r="AL269" s="219"/>
      <c r="AM269" s="219"/>
      <c r="AN269" s="219"/>
      <c r="AO269" s="219"/>
      <c r="AP269" s="219"/>
      <c r="AQ269" s="219"/>
      <c r="AR269" s="219"/>
      <c r="AS269" s="458"/>
      <c r="AT269" s="219"/>
      <c r="AU269" s="219"/>
      <c r="AV269" s="219"/>
      <c r="AW269" s="219"/>
      <c r="AX269" s="219"/>
      <c r="AY269" s="219"/>
      <c r="AZ269" s="219"/>
      <c r="BA269" s="458"/>
      <c r="BB269" s="348">
        <f>Acs!E40</f>
        <v>0</v>
      </c>
      <c r="BC269" s="219"/>
      <c r="BD269" s="536">
        <f t="shared" si="100"/>
        <v>0</v>
      </c>
      <c r="BE269" s="210"/>
    </row>
    <row r="270" spans="2:57" x14ac:dyDescent="0.25">
      <c r="B270" s="220"/>
      <c r="C270" s="220"/>
      <c r="D270" s="220"/>
      <c r="E270" s="665"/>
      <c r="F270" s="239"/>
      <c r="G270" s="216"/>
      <c r="H270" s="765"/>
      <c r="I270" s="217"/>
      <c r="J270" s="218"/>
      <c r="K270" s="218"/>
      <c r="L270" s="214"/>
      <c r="M270" s="789"/>
      <c r="N270" s="219"/>
      <c r="O270" s="219"/>
      <c r="P270" s="219"/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G270" s="219"/>
      <c r="AH270" s="219"/>
      <c r="AI270" s="219"/>
      <c r="AJ270" s="219"/>
      <c r="AK270" s="219"/>
      <c r="AL270" s="219"/>
      <c r="AM270" s="219"/>
      <c r="AN270" s="219"/>
      <c r="AO270" s="219"/>
      <c r="AP270" s="219"/>
      <c r="AQ270" s="219"/>
      <c r="AR270" s="219"/>
      <c r="AS270" s="458"/>
      <c r="AT270" s="219"/>
      <c r="AU270" s="219"/>
      <c r="AV270" s="219"/>
      <c r="AW270" s="219"/>
      <c r="AX270" s="219"/>
      <c r="AY270" s="219"/>
      <c r="AZ270" s="219"/>
      <c r="BA270" s="458"/>
      <c r="BB270" s="219"/>
      <c r="BC270" s="219"/>
      <c r="BD270" s="536">
        <f t="shared" si="100"/>
        <v>0</v>
      </c>
      <c r="BE270" s="210"/>
    </row>
    <row r="271" spans="2:57" x14ac:dyDescent="0.25">
      <c r="B271" s="220">
        <f>Cen!A743</f>
        <v>0</v>
      </c>
      <c r="C271" s="220">
        <f>Cen!B743</f>
        <v>0</v>
      </c>
      <c r="D271" s="220">
        <f>Cen!C743</f>
        <v>0</v>
      </c>
      <c r="E271" s="665">
        <f>Cen!D743</f>
        <v>0</v>
      </c>
      <c r="F271" s="228"/>
      <c r="G271" s="216">
        <f>Cen!F743</f>
        <v>0</v>
      </c>
      <c r="H271" s="765">
        <f t="shared" si="101"/>
        <v>0</v>
      </c>
      <c r="I271" s="534"/>
      <c r="J271" s="218">
        <f>Cen!I743</f>
        <v>0</v>
      </c>
      <c r="K271" s="218">
        <f>Cen!J743</f>
        <v>0</v>
      </c>
      <c r="L271" s="214"/>
      <c r="M271" s="789"/>
      <c r="N271" s="219"/>
      <c r="O271" s="219"/>
      <c r="P271" s="219"/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G271" s="219"/>
      <c r="AH271" s="219"/>
      <c r="AI271" s="219"/>
      <c r="AJ271" s="219"/>
      <c r="AK271" s="219"/>
      <c r="AL271" s="219"/>
      <c r="AM271" s="219"/>
      <c r="AN271" s="219"/>
      <c r="AO271" s="219"/>
      <c r="AP271" s="219"/>
      <c r="AQ271" s="219"/>
      <c r="AR271" s="219"/>
      <c r="AS271" s="458"/>
      <c r="AT271" s="219"/>
      <c r="AU271" s="219"/>
      <c r="AV271" s="219"/>
      <c r="AW271" s="219"/>
      <c r="AX271" s="219"/>
      <c r="AY271" s="219"/>
      <c r="AZ271" s="219"/>
      <c r="BA271" s="458"/>
      <c r="BB271" s="219"/>
      <c r="BC271" s="219"/>
      <c r="BD271" s="219"/>
      <c r="BE271" s="210"/>
    </row>
    <row r="272" spans="2:57" x14ac:dyDescent="0.25">
      <c r="B272" s="220">
        <f>Cen!A744</f>
        <v>0</v>
      </c>
      <c r="C272" s="220">
        <f>Cen!B744</f>
        <v>0</v>
      </c>
      <c r="D272" s="220">
        <f>Cen!C744</f>
        <v>0</v>
      </c>
      <c r="E272" s="665">
        <f>Cen!D744</f>
        <v>0</v>
      </c>
      <c r="F272" s="228"/>
      <c r="G272" s="216">
        <f>Cen!F744</f>
        <v>0</v>
      </c>
      <c r="H272" s="765">
        <f t="shared" si="101"/>
        <v>0</v>
      </c>
      <c r="I272" s="534"/>
      <c r="J272" s="218">
        <f>Cen!I744</f>
        <v>0</v>
      </c>
      <c r="K272" s="218">
        <f>Cen!J744</f>
        <v>0</v>
      </c>
      <c r="L272" s="214"/>
      <c r="M272" s="789"/>
      <c r="N272" s="219"/>
      <c r="O272" s="219"/>
      <c r="P272" s="219"/>
      <c r="Q272" s="219"/>
      <c r="R272" s="219"/>
      <c r="S272" s="219"/>
      <c r="T272" s="219"/>
      <c r="U272" s="219"/>
      <c r="V272" s="219"/>
      <c r="W272" s="219"/>
      <c r="X272" s="219"/>
      <c r="Y272" s="219"/>
      <c r="Z272" s="219"/>
      <c r="AA272" s="219"/>
      <c r="AB272" s="219"/>
      <c r="AC272" s="219"/>
      <c r="AD272" s="219"/>
      <c r="AE272" s="219"/>
      <c r="AF272" s="219"/>
      <c r="AG272" s="219"/>
      <c r="AH272" s="219"/>
      <c r="AI272" s="219"/>
      <c r="AJ272" s="219"/>
      <c r="AK272" s="219"/>
      <c r="AL272" s="219"/>
      <c r="AM272" s="219"/>
      <c r="AN272" s="219"/>
      <c r="AO272" s="219"/>
      <c r="AP272" s="219"/>
      <c r="AQ272" s="219"/>
      <c r="AR272" s="219"/>
      <c r="AS272" s="458"/>
      <c r="AT272" s="219"/>
      <c r="AU272" s="219"/>
      <c r="AV272" s="219"/>
      <c r="AW272" s="219"/>
      <c r="AX272" s="219"/>
      <c r="AY272" s="219"/>
      <c r="AZ272" s="219"/>
      <c r="BA272" s="458"/>
      <c r="BB272" s="219"/>
      <c r="BC272" s="219"/>
      <c r="BD272" s="219"/>
      <c r="BE272" s="210"/>
    </row>
    <row r="273" spans="2:57" x14ac:dyDescent="0.25">
      <c r="B273" s="220">
        <f>Cen!A745</f>
        <v>0</v>
      </c>
      <c r="C273" s="220">
        <f>Cen!B745</f>
        <v>0</v>
      </c>
      <c r="D273" s="220">
        <f>Cen!C745</f>
        <v>0</v>
      </c>
      <c r="E273" s="665">
        <f>Cen!D745</f>
        <v>0</v>
      </c>
      <c r="F273" s="228"/>
      <c r="G273" s="216">
        <f>Cen!F745</f>
        <v>0</v>
      </c>
      <c r="H273" s="765">
        <f t="shared" si="101"/>
        <v>0</v>
      </c>
      <c r="I273" s="534"/>
      <c r="J273" s="218">
        <f>Cen!I745</f>
        <v>0</v>
      </c>
      <c r="K273" s="218">
        <f>Cen!J745</f>
        <v>0</v>
      </c>
      <c r="L273" s="214"/>
      <c r="M273" s="789"/>
      <c r="N273" s="219"/>
      <c r="O273" s="219"/>
      <c r="P273" s="219"/>
      <c r="Q273" s="219"/>
      <c r="R273" s="219"/>
      <c r="S273" s="219"/>
      <c r="T273" s="219"/>
      <c r="U273" s="219"/>
      <c r="V273" s="219"/>
      <c r="W273" s="219"/>
      <c r="X273" s="219"/>
      <c r="Y273" s="219"/>
      <c r="Z273" s="219"/>
      <c r="AA273" s="219"/>
      <c r="AB273" s="219"/>
      <c r="AC273" s="219"/>
      <c r="AD273" s="219"/>
      <c r="AE273" s="219"/>
      <c r="AF273" s="219"/>
      <c r="AG273" s="219"/>
      <c r="AH273" s="219"/>
      <c r="AI273" s="219"/>
      <c r="AJ273" s="219"/>
      <c r="AK273" s="219"/>
      <c r="AL273" s="219"/>
      <c r="AM273" s="219"/>
      <c r="AN273" s="219"/>
      <c r="AO273" s="219"/>
      <c r="AP273" s="219"/>
      <c r="AQ273" s="219"/>
      <c r="AR273" s="219"/>
      <c r="AS273" s="458"/>
      <c r="AT273" s="219"/>
      <c r="AU273" s="219"/>
      <c r="AV273" s="219"/>
      <c r="AW273" s="219"/>
      <c r="AX273" s="219"/>
      <c r="AY273" s="219"/>
      <c r="AZ273" s="219"/>
      <c r="BA273" s="458"/>
      <c r="BB273" s="219"/>
      <c r="BC273" s="219"/>
      <c r="BD273" s="219"/>
      <c r="BE273" s="210"/>
    </row>
    <row r="274" spans="2:57" x14ac:dyDescent="0.25">
      <c r="B274" s="220">
        <f>Cen!A746</f>
        <v>0</v>
      </c>
      <c r="C274" s="220">
        <f>Cen!B746</f>
        <v>0</v>
      </c>
      <c r="D274" s="220">
        <f>Cen!C746</f>
        <v>0</v>
      </c>
      <c r="E274" s="665">
        <f>Cen!D746</f>
        <v>0</v>
      </c>
      <c r="F274" s="228"/>
      <c r="G274" s="216">
        <f>Cen!F746</f>
        <v>0</v>
      </c>
      <c r="H274" s="765">
        <f t="shared" si="101"/>
        <v>0</v>
      </c>
      <c r="I274" s="534"/>
      <c r="J274" s="218">
        <f>Cen!I746</f>
        <v>0</v>
      </c>
      <c r="K274" s="218">
        <f>Cen!J746</f>
        <v>0</v>
      </c>
      <c r="L274" s="214"/>
      <c r="M274" s="789"/>
      <c r="N274" s="219"/>
      <c r="O274" s="219"/>
      <c r="P274" s="219"/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  <c r="AA274" s="219"/>
      <c r="AB274" s="219"/>
      <c r="AC274" s="219"/>
      <c r="AD274" s="219"/>
      <c r="AE274" s="219"/>
      <c r="AF274" s="219"/>
      <c r="AG274" s="219"/>
      <c r="AH274" s="219"/>
      <c r="AI274" s="219"/>
      <c r="AJ274" s="219"/>
      <c r="AK274" s="219"/>
      <c r="AL274" s="219"/>
      <c r="AM274" s="219"/>
      <c r="AN274" s="219"/>
      <c r="AO274" s="219"/>
      <c r="AP274" s="219"/>
      <c r="AQ274" s="219"/>
      <c r="AR274" s="219"/>
      <c r="AS274" s="458"/>
      <c r="AT274" s="219"/>
      <c r="AU274" s="219"/>
      <c r="AV274" s="219"/>
      <c r="AW274" s="219"/>
      <c r="AX274" s="219"/>
      <c r="AY274" s="219"/>
      <c r="AZ274" s="219"/>
      <c r="BA274" s="458"/>
      <c r="BB274" s="219"/>
      <c r="BC274" s="219"/>
      <c r="BD274" s="219"/>
      <c r="BE274" s="210"/>
    </row>
    <row r="275" spans="2:57" x14ac:dyDescent="0.25">
      <c r="B275" s="220">
        <f>Cen!A747</f>
        <v>0</v>
      </c>
      <c r="C275" s="220">
        <f>Cen!B747</f>
        <v>0</v>
      </c>
      <c r="D275" s="220">
        <f>Cen!C747</f>
        <v>0</v>
      </c>
      <c r="E275" s="665">
        <f>Cen!D747</f>
        <v>0</v>
      </c>
      <c r="F275" s="228"/>
      <c r="G275" s="216">
        <f>Cen!F747</f>
        <v>0</v>
      </c>
      <c r="H275" s="765">
        <f t="shared" ref="H275:H280" si="104">M275</f>
        <v>0</v>
      </c>
      <c r="I275" s="534"/>
      <c r="J275" s="218">
        <f>Cen!I747</f>
        <v>0</v>
      </c>
      <c r="K275" s="218">
        <f>Cen!J747</f>
        <v>0</v>
      </c>
      <c r="L275" s="214"/>
      <c r="M275" s="789"/>
      <c r="N275" s="219"/>
      <c r="O275" s="219"/>
      <c r="P275" s="219"/>
      <c r="Q275" s="219"/>
      <c r="R275" s="219"/>
      <c r="S275" s="219"/>
      <c r="T275" s="219"/>
      <c r="U275" s="219"/>
      <c r="V275" s="219"/>
      <c r="W275" s="219"/>
      <c r="X275" s="219"/>
      <c r="Y275" s="219"/>
      <c r="Z275" s="219"/>
      <c r="AA275" s="219"/>
      <c r="AB275" s="219"/>
      <c r="AC275" s="219"/>
      <c r="AD275" s="219"/>
      <c r="AE275" s="219"/>
      <c r="AF275" s="219"/>
      <c r="AG275" s="219"/>
      <c r="AH275" s="219"/>
      <c r="AI275" s="219"/>
      <c r="AJ275" s="219"/>
      <c r="AK275" s="219"/>
      <c r="AL275" s="219"/>
      <c r="AM275" s="219"/>
      <c r="AN275" s="219"/>
      <c r="AO275" s="219"/>
      <c r="AP275" s="219"/>
      <c r="AQ275" s="219"/>
      <c r="AR275" s="219"/>
      <c r="AS275" s="458"/>
      <c r="AT275" s="219"/>
      <c r="AU275" s="219"/>
      <c r="AV275" s="219"/>
      <c r="AW275" s="219"/>
      <c r="AX275" s="219"/>
      <c r="AY275" s="219"/>
      <c r="AZ275" s="219"/>
      <c r="BA275" s="458"/>
      <c r="BB275" s="219"/>
      <c r="BC275" s="219"/>
      <c r="BD275" s="219"/>
      <c r="BE275" s="210"/>
    </row>
    <row r="276" spans="2:57" x14ac:dyDescent="0.25">
      <c r="B276" s="220">
        <f>Cen!A748</f>
        <v>0</v>
      </c>
      <c r="C276" s="220">
        <f>Cen!B748</f>
        <v>0</v>
      </c>
      <c r="D276" s="220">
        <f>Cen!C748</f>
        <v>0</v>
      </c>
      <c r="E276" s="665">
        <f>Cen!D748</f>
        <v>0</v>
      </c>
      <c r="F276" s="228"/>
      <c r="G276" s="216">
        <f>Cen!F748</f>
        <v>0</v>
      </c>
      <c r="H276" s="765">
        <f t="shared" si="104"/>
        <v>0</v>
      </c>
      <c r="I276" s="534"/>
      <c r="J276" s="218">
        <f>Cen!I748</f>
        <v>0</v>
      </c>
      <c r="K276" s="218">
        <f>Cen!J748</f>
        <v>0</v>
      </c>
      <c r="L276" s="214"/>
      <c r="M276" s="789"/>
      <c r="N276" s="219"/>
      <c r="O276" s="219"/>
      <c r="P276" s="219"/>
      <c r="Q276" s="219"/>
      <c r="R276" s="219"/>
      <c r="S276" s="219"/>
      <c r="T276" s="219"/>
      <c r="U276" s="219"/>
      <c r="V276" s="219"/>
      <c r="W276" s="219"/>
      <c r="X276" s="219"/>
      <c r="Y276" s="219"/>
      <c r="Z276" s="219"/>
      <c r="AA276" s="219"/>
      <c r="AB276" s="219"/>
      <c r="AC276" s="219"/>
      <c r="AD276" s="219"/>
      <c r="AE276" s="219"/>
      <c r="AF276" s="219"/>
      <c r="AG276" s="219"/>
      <c r="AH276" s="219"/>
      <c r="AI276" s="219"/>
      <c r="AJ276" s="219"/>
      <c r="AK276" s="219"/>
      <c r="AL276" s="219"/>
      <c r="AM276" s="219"/>
      <c r="AN276" s="219"/>
      <c r="AO276" s="219"/>
      <c r="AP276" s="219"/>
      <c r="AQ276" s="219"/>
      <c r="AR276" s="219"/>
      <c r="AS276" s="458"/>
      <c r="AT276" s="219"/>
      <c r="AU276" s="219"/>
      <c r="AV276" s="219"/>
      <c r="AW276" s="219"/>
      <c r="AX276" s="219"/>
      <c r="AY276" s="219"/>
      <c r="AZ276" s="219"/>
      <c r="BA276" s="458"/>
      <c r="BB276" s="219"/>
      <c r="BC276" s="219"/>
      <c r="BD276" s="219"/>
      <c r="BE276" s="210"/>
    </row>
    <row r="277" spans="2:57" x14ac:dyDescent="0.25">
      <c r="B277" s="220">
        <f>Cen!A749</f>
        <v>0</v>
      </c>
      <c r="C277" s="220">
        <f>Cen!B749</f>
        <v>0</v>
      </c>
      <c r="D277" s="220">
        <f>Cen!C749</f>
        <v>0</v>
      </c>
      <c r="E277" s="665">
        <f>Cen!D749</f>
        <v>0</v>
      </c>
      <c r="F277" s="228"/>
      <c r="G277" s="216">
        <f>Cen!F749</f>
        <v>0</v>
      </c>
      <c r="H277" s="765">
        <f t="shared" si="104"/>
        <v>0</v>
      </c>
      <c r="I277" s="534"/>
      <c r="J277" s="218">
        <f>Cen!I749</f>
        <v>0</v>
      </c>
      <c r="K277" s="218">
        <f>Cen!J749</f>
        <v>0</v>
      </c>
      <c r="L277" s="214"/>
      <c r="M277" s="789"/>
      <c r="N277" s="219"/>
      <c r="O277" s="219"/>
      <c r="P277" s="219"/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19"/>
      <c r="AG277" s="219"/>
      <c r="AH277" s="219"/>
      <c r="AI277" s="219"/>
      <c r="AJ277" s="219"/>
      <c r="AK277" s="219"/>
      <c r="AL277" s="219"/>
      <c r="AM277" s="219"/>
      <c r="AN277" s="219"/>
      <c r="AO277" s="219"/>
      <c r="AP277" s="219"/>
      <c r="AQ277" s="219"/>
      <c r="AR277" s="219"/>
      <c r="AS277" s="458"/>
      <c r="AT277" s="219"/>
      <c r="AU277" s="219"/>
      <c r="AV277" s="219"/>
      <c r="AW277" s="219"/>
      <c r="AX277" s="219"/>
      <c r="AY277" s="219"/>
      <c r="AZ277" s="219"/>
      <c r="BA277" s="458"/>
      <c r="BB277" s="219"/>
      <c r="BC277" s="219"/>
      <c r="BD277" s="219"/>
      <c r="BE277" s="210"/>
    </row>
    <row r="278" spans="2:57" x14ac:dyDescent="0.25">
      <c r="B278" s="220">
        <f>Cen!A750</f>
        <v>0</v>
      </c>
      <c r="C278" s="220">
        <f>Cen!B750</f>
        <v>0</v>
      </c>
      <c r="D278" s="220">
        <f>Cen!C750</f>
        <v>0</v>
      </c>
      <c r="E278" s="665">
        <f>Cen!D750</f>
        <v>0</v>
      </c>
      <c r="F278" s="228"/>
      <c r="G278" s="216">
        <f>Cen!F750</f>
        <v>0</v>
      </c>
      <c r="H278" s="765">
        <f t="shared" si="104"/>
        <v>0</v>
      </c>
      <c r="I278" s="534"/>
      <c r="J278" s="218">
        <f>Cen!I750</f>
        <v>0</v>
      </c>
      <c r="K278" s="218">
        <f>Cen!J750</f>
        <v>0</v>
      </c>
      <c r="L278" s="214"/>
      <c r="M278" s="78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19"/>
      <c r="AH278" s="219"/>
      <c r="AI278" s="219"/>
      <c r="AJ278" s="219"/>
      <c r="AK278" s="219"/>
      <c r="AL278" s="219"/>
      <c r="AM278" s="219"/>
      <c r="AN278" s="219"/>
      <c r="AO278" s="219"/>
      <c r="AP278" s="219"/>
      <c r="AQ278" s="219"/>
      <c r="AR278" s="219"/>
      <c r="AS278" s="458"/>
      <c r="AT278" s="219"/>
      <c r="AU278" s="219"/>
      <c r="AV278" s="219"/>
      <c r="AW278" s="219"/>
      <c r="AX278" s="219"/>
      <c r="AY278" s="219"/>
      <c r="AZ278" s="219"/>
      <c r="BA278" s="458"/>
      <c r="BB278" s="219"/>
      <c r="BC278" s="219"/>
      <c r="BD278" s="219"/>
      <c r="BE278" s="210"/>
    </row>
    <row r="279" spans="2:57" x14ac:dyDescent="0.25">
      <c r="B279" s="220">
        <f>Cen!A751</f>
        <v>0</v>
      </c>
      <c r="C279" s="220">
        <f>Cen!B751</f>
        <v>0</v>
      </c>
      <c r="D279" s="220">
        <f>Cen!C751</f>
        <v>0</v>
      </c>
      <c r="E279" s="665">
        <f>Cen!D751</f>
        <v>0</v>
      </c>
      <c r="F279" s="228"/>
      <c r="G279" s="216">
        <f>Cen!F751</f>
        <v>0</v>
      </c>
      <c r="H279" s="765">
        <f t="shared" si="104"/>
        <v>0</v>
      </c>
      <c r="I279" s="534"/>
      <c r="J279" s="218">
        <f>Cen!I751</f>
        <v>0</v>
      </c>
      <c r="K279" s="218">
        <f>Cen!J751</f>
        <v>0</v>
      </c>
      <c r="L279" s="214"/>
      <c r="M279" s="78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19"/>
      <c r="AJ279" s="219"/>
      <c r="AK279" s="219"/>
      <c r="AL279" s="219"/>
      <c r="AM279" s="219"/>
      <c r="AN279" s="219"/>
      <c r="AO279" s="219"/>
      <c r="AP279" s="219"/>
      <c r="AQ279" s="219"/>
      <c r="AR279" s="219"/>
      <c r="AS279" s="458"/>
      <c r="AT279" s="219"/>
      <c r="AU279" s="219"/>
      <c r="AV279" s="219"/>
      <c r="AW279" s="219"/>
      <c r="AX279" s="219"/>
      <c r="AY279" s="219"/>
      <c r="AZ279" s="219"/>
      <c r="BA279" s="458"/>
      <c r="BB279" s="219"/>
      <c r="BC279" s="219"/>
      <c r="BD279" s="219"/>
      <c r="BE279" s="210"/>
    </row>
    <row r="280" spans="2:57" x14ac:dyDescent="0.25">
      <c r="B280" s="220">
        <f>Cen!A752</f>
        <v>0</v>
      </c>
      <c r="C280" s="220">
        <f>Cen!B752</f>
        <v>0</v>
      </c>
      <c r="D280" s="220">
        <f>Cen!C752</f>
        <v>0</v>
      </c>
      <c r="E280" s="665">
        <f>Cen!D752</f>
        <v>0</v>
      </c>
      <c r="F280" s="228"/>
      <c r="G280" s="216">
        <f>Cen!F752</f>
        <v>0</v>
      </c>
      <c r="H280" s="765">
        <f t="shared" si="104"/>
        <v>0</v>
      </c>
      <c r="I280" s="534"/>
      <c r="J280" s="218">
        <f>Cen!I752</f>
        <v>0</v>
      </c>
      <c r="K280" s="218">
        <f>Cen!J752</f>
        <v>0</v>
      </c>
      <c r="L280" s="214"/>
      <c r="M280" s="78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19"/>
      <c r="AH280" s="219"/>
      <c r="AI280" s="219"/>
      <c r="AJ280" s="219"/>
      <c r="AK280" s="219"/>
      <c r="AL280" s="219"/>
      <c r="AM280" s="219"/>
      <c r="AN280" s="219"/>
      <c r="AO280" s="219"/>
      <c r="AP280" s="219"/>
      <c r="AQ280" s="219"/>
      <c r="AR280" s="219"/>
      <c r="AS280" s="458"/>
      <c r="AT280" s="219"/>
      <c r="AU280" s="219"/>
      <c r="AV280" s="219"/>
      <c r="AW280" s="219"/>
      <c r="AX280" s="219"/>
      <c r="AY280" s="219"/>
      <c r="AZ280" s="219"/>
      <c r="BA280" s="458"/>
      <c r="BB280" s="219"/>
      <c r="BC280" s="219"/>
      <c r="BD280" s="219"/>
      <c r="BE280" s="210"/>
    </row>
    <row r="281" spans="2:57" x14ac:dyDescent="0.25">
      <c r="B281" s="248"/>
      <c r="C281" s="249"/>
      <c r="D281" s="249"/>
      <c r="E281" s="666"/>
      <c r="F281" s="249"/>
      <c r="G281" s="218"/>
      <c r="H281" s="766"/>
      <c r="I281" s="218"/>
      <c r="J281" s="218"/>
      <c r="K281" s="249"/>
      <c r="L281" s="214"/>
      <c r="M281" s="789"/>
      <c r="N281" s="219"/>
      <c r="O281" s="219"/>
      <c r="P281" s="219"/>
      <c r="Q281" s="219"/>
      <c r="R281" s="219"/>
      <c r="S281" s="219"/>
      <c r="T281" s="219"/>
      <c r="U281" s="219"/>
      <c r="V281" s="219"/>
      <c r="W281" s="219"/>
      <c r="X281" s="219"/>
      <c r="Y281" s="219"/>
      <c r="Z281" s="219"/>
      <c r="AA281" s="219"/>
      <c r="AB281" s="219"/>
      <c r="AC281" s="219"/>
      <c r="AD281" s="219"/>
      <c r="AE281" s="219"/>
      <c r="AF281" s="219"/>
      <c r="AG281" s="219"/>
      <c r="AH281" s="219"/>
      <c r="AI281" s="219"/>
      <c r="AJ281" s="219"/>
      <c r="AK281" s="219"/>
      <c r="AL281" s="219"/>
      <c r="AM281" s="219"/>
      <c r="AN281" s="219"/>
      <c r="AO281" s="219"/>
      <c r="AP281" s="219"/>
      <c r="AQ281" s="219"/>
      <c r="AR281" s="219"/>
      <c r="AS281" s="458"/>
      <c r="AT281" s="219"/>
      <c r="AU281" s="219"/>
      <c r="AV281" s="219"/>
      <c r="AW281" s="219"/>
      <c r="AX281" s="219"/>
      <c r="AY281" s="219"/>
      <c r="AZ281" s="219"/>
      <c r="BA281" s="458"/>
      <c r="BB281" s="219"/>
      <c r="BC281" s="219"/>
      <c r="BD281" s="219"/>
      <c r="BE281" s="210"/>
    </row>
    <row r="282" spans="2:57" x14ac:dyDescent="0.25">
      <c r="B282" s="248"/>
      <c r="C282" s="249"/>
      <c r="D282" s="249"/>
      <c r="E282" s="666"/>
      <c r="F282" s="249"/>
      <c r="G282" s="218"/>
      <c r="H282" s="766"/>
      <c r="I282" s="218"/>
      <c r="J282" s="218"/>
      <c r="K282" s="249"/>
      <c r="L282" s="214"/>
      <c r="M282" s="78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19"/>
      <c r="AJ282" s="219"/>
      <c r="AK282" s="219"/>
      <c r="AL282" s="219"/>
      <c r="AM282" s="219"/>
      <c r="AN282" s="219"/>
      <c r="AO282" s="219"/>
      <c r="AP282" s="219"/>
      <c r="AQ282" s="219"/>
      <c r="AR282" s="219"/>
      <c r="AS282" s="458"/>
      <c r="AT282" s="219"/>
      <c r="AU282" s="219"/>
      <c r="AV282" s="219"/>
      <c r="AW282" s="219"/>
      <c r="AX282" s="219"/>
      <c r="AY282" s="219"/>
      <c r="AZ282" s="219"/>
      <c r="BA282" s="458"/>
      <c r="BB282" s="219"/>
      <c r="BC282" s="219"/>
      <c r="BD282" s="219"/>
      <c r="BE282" s="210"/>
    </row>
    <row r="283" spans="2:57" x14ac:dyDescent="0.25">
      <c r="B283" s="248"/>
      <c r="C283" s="249"/>
      <c r="D283" s="249"/>
      <c r="E283" s="666"/>
      <c r="F283" s="249"/>
      <c r="G283" s="218"/>
      <c r="H283" s="766"/>
      <c r="I283" s="218"/>
      <c r="J283" s="218"/>
      <c r="K283" s="249"/>
      <c r="L283" s="214"/>
      <c r="M283" s="789"/>
      <c r="N283" s="219"/>
      <c r="O283" s="219"/>
      <c r="P283" s="219"/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  <c r="AA283" s="219"/>
      <c r="AB283" s="219"/>
      <c r="AC283" s="219"/>
      <c r="AD283" s="219"/>
      <c r="AE283" s="219"/>
      <c r="AF283" s="219"/>
      <c r="AG283" s="219"/>
      <c r="AH283" s="219"/>
      <c r="AI283" s="219"/>
      <c r="AJ283" s="219"/>
      <c r="AK283" s="219"/>
      <c r="AL283" s="219"/>
      <c r="AM283" s="219"/>
      <c r="AN283" s="219"/>
      <c r="AO283" s="219"/>
      <c r="AP283" s="219"/>
      <c r="AQ283" s="219"/>
      <c r="AR283" s="219"/>
      <c r="AS283" s="458"/>
      <c r="AT283" s="219"/>
      <c r="AU283" s="219"/>
      <c r="AV283" s="219"/>
      <c r="AW283" s="219"/>
      <c r="AX283" s="219"/>
      <c r="AY283" s="219"/>
      <c r="AZ283" s="219"/>
      <c r="BA283" s="458"/>
      <c r="BB283" s="219"/>
      <c r="BC283" s="219"/>
      <c r="BD283" s="219"/>
      <c r="BE283" s="210"/>
    </row>
    <row r="284" spans="2:57" x14ac:dyDescent="0.25">
      <c r="B284" s="248"/>
      <c r="C284" s="249"/>
      <c r="D284" s="249"/>
      <c r="E284" s="666"/>
      <c r="F284" s="249"/>
      <c r="G284" s="218"/>
      <c r="H284" s="766"/>
      <c r="I284" s="218"/>
      <c r="J284" s="218"/>
      <c r="K284" s="249"/>
      <c r="L284" s="214"/>
      <c r="M284" s="78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/>
      <c r="AQ284" s="219"/>
      <c r="AR284" s="219"/>
      <c r="AS284" s="458"/>
      <c r="AT284" s="219"/>
      <c r="AU284" s="219"/>
      <c r="AV284" s="219"/>
      <c r="AW284" s="219"/>
      <c r="AX284" s="219"/>
      <c r="AY284" s="219"/>
      <c r="AZ284" s="219"/>
      <c r="BA284" s="458"/>
      <c r="BB284" s="219"/>
      <c r="BC284" s="219"/>
      <c r="BD284" s="219"/>
      <c r="BE284" s="210"/>
    </row>
    <row r="285" spans="2:57" x14ac:dyDescent="0.25">
      <c r="B285" s="248"/>
      <c r="C285" s="249"/>
      <c r="D285" s="249"/>
      <c r="E285" s="666"/>
      <c r="F285" s="249"/>
      <c r="G285" s="218"/>
      <c r="H285" s="766"/>
      <c r="I285" s="218"/>
      <c r="J285" s="218"/>
      <c r="K285" s="249"/>
      <c r="L285" s="214"/>
      <c r="M285" s="78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G285" s="219"/>
      <c r="AH285" s="219"/>
      <c r="AI285" s="219"/>
      <c r="AJ285" s="219"/>
      <c r="AK285" s="219"/>
      <c r="AL285" s="219"/>
      <c r="AM285" s="219"/>
      <c r="AN285" s="219"/>
      <c r="AO285" s="219"/>
      <c r="AP285" s="219"/>
      <c r="AQ285" s="219"/>
      <c r="AR285" s="219"/>
      <c r="AS285" s="458"/>
      <c r="AT285" s="219"/>
      <c r="AU285" s="219"/>
      <c r="AV285" s="219"/>
      <c r="AW285" s="219"/>
      <c r="AX285" s="219"/>
      <c r="AY285" s="219"/>
      <c r="AZ285" s="219"/>
      <c r="BA285" s="458"/>
      <c r="BB285" s="219"/>
      <c r="BC285" s="219"/>
      <c r="BD285" s="219"/>
      <c r="BE285" s="210"/>
    </row>
    <row r="286" spans="2:57" x14ac:dyDescent="0.25">
      <c r="B286" s="248"/>
      <c r="C286" s="249"/>
      <c r="D286" s="249"/>
      <c r="E286" s="666"/>
      <c r="F286" s="249"/>
      <c r="G286" s="218"/>
      <c r="H286" s="766"/>
      <c r="I286" s="218"/>
      <c r="J286" s="218"/>
      <c r="K286" s="249"/>
      <c r="L286" s="214"/>
      <c r="M286" s="78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458"/>
      <c r="AT286" s="219"/>
      <c r="AU286" s="219"/>
      <c r="AV286" s="219"/>
      <c r="AW286" s="219"/>
      <c r="AX286" s="219"/>
      <c r="AY286" s="219"/>
      <c r="AZ286" s="219"/>
      <c r="BA286" s="458"/>
      <c r="BB286" s="219"/>
      <c r="BC286" s="219"/>
      <c r="BD286" s="219"/>
      <c r="BE286" s="210"/>
    </row>
    <row r="287" spans="2:57" x14ac:dyDescent="0.25">
      <c r="B287" s="248"/>
      <c r="C287" s="249"/>
      <c r="D287" s="249"/>
      <c r="E287" s="666"/>
      <c r="F287" s="249"/>
      <c r="G287" s="218"/>
      <c r="H287" s="766"/>
      <c r="I287" s="218"/>
      <c r="J287" s="218"/>
      <c r="K287" s="249"/>
      <c r="L287" s="214"/>
      <c r="M287" s="78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458"/>
      <c r="AT287" s="219"/>
      <c r="AU287" s="219"/>
      <c r="AV287" s="219"/>
      <c r="AW287" s="219"/>
      <c r="AX287" s="219"/>
      <c r="AY287" s="219"/>
      <c r="AZ287" s="219"/>
      <c r="BA287" s="458"/>
      <c r="BB287" s="219"/>
      <c r="BC287" s="219"/>
      <c r="BD287" s="219"/>
      <c r="BE287" s="210"/>
    </row>
    <row r="288" spans="2:57" x14ac:dyDescent="0.25">
      <c r="B288" s="248"/>
      <c r="C288" s="249"/>
      <c r="D288" s="249"/>
      <c r="E288" s="666"/>
      <c r="F288" s="249"/>
      <c r="G288" s="218"/>
      <c r="H288" s="766"/>
      <c r="I288" s="218"/>
      <c r="J288" s="218"/>
      <c r="K288" s="249"/>
      <c r="L288" s="214"/>
      <c r="M288" s="78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458"/>
      <c r="AT288" s="219"/>
      <c r="AU288" s="219"/>
      <c r="AV288" s="219"/>
      <c r="AW288" s="219"/>
      <c r="AX288" s="219"/>
      <c r="AY288" s="219"/>
      <c r="AZ288" s="219"/>
      <c r="BA288" s="458"/>
      <c r="BB288" s="219"/>
      <c r="BC288" s="219"/>
      <c r="BD288" s="219"/>
      <c r="BE288" s="210"/>
    </row>
    <row r="289" spans="1:57" x14ac:dyDescent="0.25">
      <c r="B289" s="248"/>
      <c r="C289" s="249"/>
      <c r="D289" s="249"/>
      <c r="E289" s="666"/>
      <c r="F289" s="249"/>
      <c r="G289" s="218"/>
      <c r="H289" s="766"/>
      <c r="I289" s="218"/>
      <c r="J289" s="218"/>
      <c r="K289" s="249"/>
      <c r="L289" s="214"/>
      <c r="M289" s="78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458"/>
      <c r="AT289" s="219"/>
      <c r="AU289" s="219"/>
      <c r="AV289" s="219"/>
      <c r="AW289" s="219"/>
      <c r="AX289" s="219"/>
      <c r="AY289" s="219"/>
      <c r="AZ289" s="219"/>
      <c r="BA289" s="458"/>
      <c r="BB289" s="219"/>
      <c r="BC289" s="219"/>
      <c r="BD289" s="219"/>
      <c r="BE289" s="210"/>
    </row>
    <row r="290" spans="1:57" x14ac:dyDescent="0.25">
      <c r="B290" s="248"/>
      <c r="C290" s="249"/>
      <c r="D290" s="249"/>
      <c r="E290" s="666"/>
      <c r="F290" s="249"/>
      <c r="G290" s="218"/>
      <c r="H290" s="766"/>
      <c r="I290" s="218"/>
      <c r="J290" s="218"/>
      <c r="K290" s="249"/>
      <c r="L290" s="214"/>
      <c r="M290" s="78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458"/>
      <c r="AT290" s="219"/>
      <c r="AU290" s="219"/>
      <c r="AV290" s="219"/>
      <c r="AW290" s="219"/>
      <c r="AX290" s="219"/>
      <c r="AY290" s="219"/>
      <c r="AZ290" s="219"/>
      <c r="BA290" s="458"/>
      <c r="BB290" s="219"/>
      <c r="BC290" s="219"/>
      <c r="BD290" s="219"/>
      <c r="BE290" s="210"/>
    </row>
    <row r="291" spans="1:57" x14ac:dyDescent="0.25">
      <c r="B291" s="221"/>
      <c r="C291" s="199"/>
      <c r="D291" s="199"/>
      <c r="E291" s="667"/>
      <c r="F291" s="199"/>
      <c r="G291" s="199"/>
      <c r="H291" s="767"/>
      <c r="I291" s="210"/>
      <c r="J291" s="199"/>
      <c r="K291" s="199"/>
      <c r="M291" s="786">
        <f>SUM(M11:M290)</f>
        <v>0</v>
      </c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G291" s="219"/>
      <c r="AH291" s="219"/>
      <c r="AI291" s="219"/>
      <c r="AJ291" s="219"/>
      <c r="AK291" s="219"/>
      <c r="AL291" s="219"/>
      <c r="AM291" s="219"/>
      <c r="AN291" s="219"/>
      <c r="AO291" s="219"/>
      <c r="AP291" s="219"/>
      <c r="AQ291" s="219"/>
      <c r="AR291" s="219"/>
      <c r="AS291" s="458"/>
      <c r="AT291" s="219"/>
      <c r="AU291" s="219"/>
      <c r="AV291" s="219"/>
      <c r="AW291" s="219"/>
      <c r="AX291" s="219"/>
      <c r="AY291" s="219"/>
      <c r="AZ291" s="219"/>
      <c r="BA291" s="458"/>
      <c r="BB291" s="219"/>
      <c r="BC291" s="219"/>
      <c r="BD291" s="219"/>
      <c r="BE291" s="210"/>
    </row>
    <row r="292" spans="1:57" ht="14.5" x14ac:dyDescent="0.35">
      <c r="B292" s="221"/>
      <c r="C292" s="222"/>
      <c r="D292" s="223"/>
      <c r="E292" s="668"/>
      <c r="F292" s="224" t="str">
        <f>List!$B$109&amp;" "</f>
        <v xml:space="preserve">Cena celkem bez DPH </v>
      </c>
      <c r="G292" s="902" t="str">
        <f>List!B110&amp;"   "&amp;TEXT(M291,"# ##0,00")&amp;" "</f>
        <v xml:space="preserve">Kč   0,00 </v>
      </c>
      <c r="H292" s="902"/>
      <c r="I292" s="210"/>
      <c r="J292" s="199"/>
      <c r="K292" s="19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19"/>
      <c r="AI292" s="219"/>
      <c r="AJ292" s="219"/>
      <c r="AK292" s="219"/>
      <c r="AL292" s="219"/>
      <c r="AM292" s="219"/>
      <c r="AN292" s="219"/>
      <c r="AO292" s="219"/>
      <c r="AP292" s="219"/>
      <c r="AQ292" s="219"/>
      <c r="AR292" s="219"/>
      <c r="AS292" s="458"/>
      <c r="AT292" s="219"/>
      <c r="AU292" s="219"/>
      <c r="AV292" s="219"/>
      <c r="AW292" s="219"/>
      <c r="AX292" s="219"/>
      <c r="AY292" s="219"/>
      <c r="AZ292" s="219"/>
      <c r="BA292" s="458"/>
      <c r="BB292" s="219"/>
      <c r="BC292" s="219"/>
      <c r="BD292" s="219"/>
      <c r="BE292" s="210"/>
    </row>
    <row r="293" spans="1:57" x14ac:dyDescent="0.25">
      <c r="B293" s="221"/>
      <c r="C293" s="199"/>
      <c r="D293" s="199"/>
      <c r="E293" s="667"/>
      <c r="F293" s="199"/>
      <c r="G293" s="199"/>
      <c r="H293" s="199"/>
      <c r="I293" s="210"/>
      <c r="J293" s="199"/>
      <c r="K293" s="19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19"/>
      <c r="AI293" s="219"/>
      <c r="AJ293" s="219"/>
      <c r="AK293" s="219"/>
      <c r="AL293" s="219"/>
      <c r="AM293" s="219"/>
      <c r="AN293" s="219"/>
      <c r="AO293" s="219"/>
      <c r="AP293" s="219"/>
      <c r="AQ293" s="219"/>
      <c r="AR293" s="219"/>
      <c r="AS293" s="458"/>
      <c r="AT293" s="219"/>
      <c r="AU293" s="219"/>
      <c r="AV293" s="219"/>
      <c r="AW293" s="219"/>
      <c r="AX293" s="219"/>
      <c r="AY293" s="219"/>
      <c r="AZ293" s="219"/>
      <c r="BA293" s="458"/>
      <c r="BB293" s="219"/>
      <c r="BC293" s="219"/>
      <c r="BD293" s="219"/>
      <c r="BE293" s="210"/>
    </row>
    <row r="294" spans="1:57" x14ac:dyDescent="0.25">
      <c r="B294" s="535" t="str">
        <f>IF(SUM(BD12:BD270)&gt;0,List!$B$192&amp;". "&amp;List!$B$191&amp;"!"," ")</f>
        <v xml:space="preserve"> </v>
      </c>
      <c r="C294" s="199"/>
      <c r="D294" s="199"/>
      <c r="E294" s="667"/>
      <c r="F294" s="199"/>
      <c r="G294" s="199"/>
      <c r="H294" s="199"/>
      <c r="I294" s="210"/>
      <c r="J294" s="199"/>
      <c r="K294" s="19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19"/>
      <c r="AH294" s="219"/>
      <c r="AI294" s="219"/>
      <c r="AJ294" s="219"/>
      <c r="AK294" s="219"/>
      <c r="AL294" s="219"/>
      <c r="AM294" s="219"/>
      <c r="AN294" s="219"/>
      <c r="AO294" s="219"/>
      <c r="AP294" s="219"/>
      <c r="AQ294" s="219"/>
      <c r="AR294" s="219"/>
      <c r="AS294" s="458"/>
      <c r="AT294" s="219"/>
      <c r="AU294" s="219"/>
      <c r="AV294" s="219"/>
      <c r="AW294" s="219"/>
      <c r="AX294" s="219"/>
      <c r="AY294" s="219"/>
      <c r="AZ294" s="219"/>
      <c r="BA294" s="458"/>
      <c r="BB294" s="219"/>
      <c r="BC294" s="219"/>
      <c r="BD294" s="219"/>
      <c r="BE294" s="210"/>
    </row>
    <row r="295" spans="1:57" ht="7.5" customHeight="1" x14ac:dyDescent="0.25">
      <c r="B295" s="535"/>
      <c r="C295" s="199"/>
      <c r="D295" s="199"/>
      <c r="E295" s="667"/>
      <c r="F295" s="199"/>
      <c r="G295" s="199"/>
      <c r="H295" s="199"/>
      <c r="I295" s="210"/>
      <c r="J295" s="199"/>
      <c r="K295" s="199"/>
      <c r="N295" s="219"/>
      <c r="O295" s="219"/>
      <c r="P295" s="219"/>
      <c r="Q295" s="219"/>
      <c r="R295" s="219"/>
      <c r="S295" s="219"/>
      <c r="T295" s="219"/>
      <c r="U295" s="219"/>
      <c r="V295" s="219"/>
      <c r="W295" s="219"/>
      <c r="X295" s="219"/>
      <c r="Y295" s="219"/>
      <c r="Z295" s="219"/>
      <c r="AA295" s="219"/>
      <c r="AB295" s="219"/>
      <c r="AC295" s="219"/>
      <c r="AD295" s="219"/>
      <c r="AE295" s="219"/>
      <c r="AF295" s="219"/>
      <c r="AG295" s="219"/>
      <c r="AH295" s="219"/>
      <c r="AI295" s="219"/>
      <c r="AJ295" s="219"/>
      <c r="AK295" s="219"/>
      <c r="AL295" s="219"/>
      <c r="AM295" s="219"/>
      <c r="AN295" s="219"/>
      <c r="AO295" s="219"/>
      <c r="AP295" s="219"/>
      <c r="AQ295" s="219"/>
      <c r="AR295" s="219"/>
      <c r="AS295" s="458"/>
      <c r="AT295" s="219"/>
      <c r="AU295" s="219"/>
      <c r="AV295" s="219"/>
      <c r="AW295" s="219"/>
      <c r="AX295" s="219"/>
      <c r="AY295" s="219"/>
      <c r="AZ295" s="219"/>
      <c r="BA295" s="458"/>
      <c r="BB295" s="219"/>
      <c r="BC295" s="219"/>
      <c r="BD295" s="219"/>
      <c r="BE295" s="210"/>
    </row>
    <row r="296" spans="1:57" ht="15" customHeight="1" x14ac:dyDescent="0.25">
      <c r="B296" s="14" t="str">
        <f>List!$B$262&amp;":"</f>
        <v>Poznámka:</v>
      </c>
      <c r="C296" s="199"/>
      <c r="D296" s="199"/>
      <c r="E296" s="667"/>
      <c r="F296" s="199"/>
      <c r="G296" s="199"/>
      <c r="H296" s="199"/>
      <c r="I296" s="210"/>
      <c r="J296" s="199"/>
      <c r="K296" s="199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458"/>
      <c r="AT296" s="210"/>
      <c r="AU296" s="210"/>
      <c r="AV296" s="210"/>
      <c r="AW296" s="210"/>
      <c r="AX296" s="210"/>
      <c r="AY296" s="210"/>
      <c r="AZ296" s="210"/>
      <c r="BA296" s="458"/>
      <c r="BB296" s="210"/>
      <c r="BC296" s="210"/>
      <c r="BD296" s="210"/>
      <c r="BE296" s="210"/>
    </row>
    <row r="297" spans="1:57" s="199" customFormat="1" ht="11.5" x14ac:dyDescent="0.25">
      <c r="A297" s="634"/>
      <c r="B297" s="901"/>
      <c r="C297" s="901"/>
      <c r="D297" s="901"/>
      <c r="E297" s="901"/>
      <c r="F297" s="901"/>
      <c r="G297" s="901"/>
      <c r="H297" s="901"/>
      <c r="I297" s="901"/>
      <c r="J297" s="901"/>
      <c r="K297" s="901"/>
      <c r="M297" s="786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458"/>
      <c r="AT297" s="210"/>
      <c r="AU297" s="210"/>
      <c r="AV297" s="210"/>
      <c r="AW297" s="210"/>
      <c r="AX297" s="210"/>
      <c r="AY297" s="210"/>
      <c r="AZ297" s="210"/>
      <c r="BA297" s="458"/>
      <c r="BB297" s="210"/>
      <c r="BC297" s="210"/>
      <c r="BD297" s="210"/>
      <c r="BE297" s="210"/>
    </row>
    <row r="298" spans="1:57" s="199" customFormat="1" ht="11.5" x14ac:dyDescent="0.25">
      <c r="A298" s="634"/>
      <c r="B298" s="901"/>
      <c r="C298" s="901"/>
      <c r="D298" s="901"/>
      <c r="E298" s="901"/>
      <c r="F298" s="901"/>
      <c r="G298" s="901"/>
      <c r="H298" s="901"/>
      <c r="I298" s="901"/>
      <c r="J298" s="901"/>
      <c r="K298" s="901"/>
      <c r="M298" s="786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458"/>
      <c r="AT298" s="210"/>
      <c r="AU298" s="210"/>
      <c r="AV298" s="210"/>
      <c r="AW298" s="210"/>
      <c r="AX298" s="210"/>
      <c r="AY298" s="210"/>
      <c r="AZ298" s="210"/>
      <c r="BA298" s="458"/>
      <c r="BB298" s="210"/>
      <c r="BC298" s="210"/>
      <c r="BD298" s="210"/>
      <c r="BE298" s="210"/>
    </row>
    <row r="299" spans="1:57" s="199" customFormat="1" ht="11.5" x14ac:dyDescent="0.25">
      <c r="A299" s="634"/>
      <c r="B299" s="901"/>
      <c r="C299" s="901"/>
      <c r="D299" s="901"/>
      <c r="E299" s="901"/>
      <c r="F299" s="901"/>
      <c r="G299" s="901"/>
      <c r="H299" s="901"/>
      <c r="I299" s="901"/>
      <c r="J299" s="901"/>
      <c r="K299" s="901"/>
      <c r="M299" s="786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458"/>
      <c r="AT299" s="210"/>
      <c r="AU299" s="210"/>
      <c r="AV299" s="210"/>
      <c r="AW299" s="210"/>
      <c r="AX299" s="210"/>
      <c r="AY299" s="210"/>
      <c r="AZ299" s="210"/>
      <c r="BA299" s="458"/>
      <c r="BB299" s="210"/>
      <c r="BC299" s="210"/>
      <c r="BD299" s="210"/>
      <c r="BE299" s="210"/>
    </row>
    <row r="300" spans="1:57" s="199" customFormat="1" ht="11.5" x14ac:dyDescent="0.25">
      <c r="A300" s="634"/>
      <c r="E300" s="667"/>
      <c r="I300" s="210"/>
      <c r="M300" s="786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458"/>
      <c r="AT300" s="210"/>
      <c r="AU300" s="210"/>
      <c r="AV300" s="210"/>
      <c r="AW300" s="210"/>
      <c r="AX300" s="210"/>
      <c r="AY300" s="210"/>
      <c r="AZ300" s="210"/>
      <c r="BA300" s="458"/>
      <c r="BB300" s="210"/>
      <c r="BC300" s="210"/>
      <c r="BD300" s="210"/>
      <c r="BE300" s="210"/>
    </row>
    <row r="301" spans="1:57" s="199" customFormat="1" ht="11.5" x14ac:dyDescent="0.25">
      <c r="A301" s="634"/>
      <c r="B301" s="225"/>
      <c r="E301" s="667"/>
      <c r="I301" s="210"/>
      <c r="M301" s="786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458"/>
      <c r="AT301" s="210"/>
      <c r="AU301" s="210"/>
      <c r="AV301" s="210"/>
      <c r="AW301" s="210"/>
      <c r="AX301" s="210"/>
      <c r="AY301" s="210"/>
      <c r="AZ301" s="210"/>
      <c r="BA301" s="458"/>
      <c r="BB301" s="210"/>
      <c r="BC301" s="210"/>
      <c r="BD301" s="210"/>
      <c r="BE301" s="210"/>
    </row>
    <row r="302" spans="1:57" s="199" customFormat="1" ht="11.5" x14ac:dyDescent="0.25">
      <c r="A302" s="634"/>
      <c r="E302" s="667"/>
      <c r="I302" s="210"/>
      <c r="M302" s="786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/>
      <c r="AF302" s="210"/>
      <c r="AG302" s="210"/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458"/>
      <c r="AT302" s="210"/>
      <c r="AU302" s="210"/>
      <c r="AV302" s="210"/>
      <c r="AW302" s="210"/>
      <c r="AX302" s="210"/>
      <c r="AY302" s="210"/>
      <c r="AZ302" s="210"/>
      <c r="BA302" s="458"/>
      <c r="BB302" s="210"/>
      <c r="BC302" s="210"/>
      <c r="BD302" s="210"/>
      <c r="BE302" s="210"/>
    </row>
    <row r="303" spans="1:57" s="199" customFormat="1" ht="11.5" x14ac:dyDescent="0.25">
      <c r="A303" s="634"/>
      <c r="B303" s="199" t="str">
        <f>"       "&amp;List!$B$297</f>
        <v xml:space="preserve">       Po úpravě objenávky odfiltrujte pomocí filtru ve sloupci "Ks" prázné řádky.</v>
      </c>
      <c r="E303" s="667"/>
      <c r="I303" s="210"/>
      <c r="M303" s="786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/>
      <c r="AF303" s="210"/>
      <c r="AG303" s="210"/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458"/>
      <c r="AT303" s="210"/>
      <c r="AU303" s="210"/>
      <c r="AV303" s="210"/>
      <c r="AW303" s="210"/>
      <c r="AX303" s="210"/>
      <c r="AY303" s="210"/>
      <c r="AZ303" s="210"/>
      <c r="BA303" s="458"/>
      <c r="BB303" s="210"/>
      <c r="BC303" s="210"/>
      <c r="BD303" s="210"/>
      <c r="BE303" s="210"/>
    </row>
    <row r="304" spans="1:57" s="199" customFormat="1" ht="11.5" x14ac:dyDescent="0.25">
      <c r="A304" s="634"/>
      <c r="E304" s="667"/>
      <c r="I304" s="210"/>
      <c r="M304" s="786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458"/>
      <c r="AT304" s="210"/>
      <c r="AU304" s="210"/>
      <c r="AV304" s="210"/>
      <c r="AW304" s="210"/>
      <c r="AX304" s="210"/>
      <c r="AY304" s="210"/>
      <c r="AZ304" s="210"/>
      <c r="BA304" s="458"/>
      <c r="BB304" s="210"/>
      <c r="BC304" s="210"/>
      <c r="BD304" s="210"/>
      <c r="BE304" s="210"/>
    </row>
    <row r="305" spans="1:57" s="199" customFormat="1" ht="11.5" x14ac:dyDescent="0.25">
      <c r="A305" s="634"/>
      <c r="B305" s="199" t="str">
        <f>"       "&amp;List!$B$299&amp;" '"&amp;List!$B$301&amp;"'"</f>
        <v xml:space="preserve">       Chcete-li objednávku uložit nebo odeslat jako přílohu, vytvořte nový soubor kliknutím na odkaz 'Vytvořit objednávku'</v>
      </c>
      <c r="E305" s="667"/>
      <c r="I305" s="210"/>
      <c r="M305" s="786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/>
      <c r="AF305" s="210"/>
      <c r="AG305" s="210"/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458"/>
      <c r="AT305" s="210"/>
      <c r="AU305" s="210"/>
      <c r="AV305" s="210"/>
      <c r="AW305" s="210"/>
      <c r="AX305" s="210"/>
      <c r="AY305" s="210"/>
      <c r="AZ305" s="210"/>
      <c r="BA305" s="458"/>
      <c r="BB305" s="210"/>
      <c r="BC305" s="210"/>
      <c r="BD305" s="210"/>
      <c r="BE305" s="210"/>
    </row>
    <row r="306" spans="1:57" s="199" customFormat="1" ht="11.5" x14ac:dyDescent="0.25">
      <c r="A306" s="634"/>
      <c r="E306" s="667"/>
      <c r="I306" s="210"/>
      <c r="M306" s="786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458"/>
      <c r="AT306" s="210"/>
      <c r="AU306" s="210"/>
      <c r="AV306" s="210"/>
      <c r="AW306" s="210"/>
      <c r="AX306" s="210"/>
      <c r="AY306" s="210"/>
      <c r="AZ306" s="210"/>
      <c r="BA306" s="458"/>
      <c r="BB306" s="210"/>
      <c r="BC306" s="210"/>
      <c r="BD306" s="210"/>
      <c r="BE306" s="210"/>
    </row>
    <row r="307" spans="1:57" s="199" customFormat="1" ht="11.5" x14ac:dyDescent="0.25">
      <c r="A307" s="634"/>
      <c r="E307" s="667"/>
      <c r="I307" s="900" t="str">
        <f>List!B301</f>
        <v>Vytvořit objednávku</v>
      </c>
      <c r="J307" s="900"/>
      <c r="K307" s="900"/>
      <c r="M307" s="786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458"/>
      <c r="AT307" s="210"/>
      <c r="AU307" s="210"/>
      <c r="AV307" s="210"/>
      <c r="AW307" s="210"/>
      <c r="AX307" s="210"/>
      <c r="AY307" s="210"/>
      <c r="AZ307" s="210"/>
      <c r="BA307" s="458"/>
      <c r="BB307" s="210"/>
      <c r="BC307" s="210"/>
      <c r="BD307" s="210"/>
      <c r="BE307" s="210"/>
    </row>
    <row r="308" spans="1:57" s="199" customFormat="1" ht="11.5" x14ac:dyDescent="0.25">
      <c r="A308" s="634"/>
      <c r="E308" s="667"/>
      <c r="I308" s="210"/>
      <c r="M308" s="786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/>
      <c r="AF308" s="210"/>
      <c r="AG308" s="210"/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458"/>
      <c r="AT308" s="210"/>
      <c r="AU308" s="210"/>
      <c r="AV308" s="210"/>
      <c r="AW308" s="210"/>
      <c r="AX308" s="210"/>
      <c r="AY308" s="210"/>
      <c r="AZ308" s="210"/>
      <c r="BA308" s="458"/>
      <c r="BB308" s="210"/>
      <c r="BC308" s="210"/>
      <c r="BD308" s="210"/>
      <c r="BE308" s="210"/>
    </row>
    <row r="309" spans="1:57" s="199" customFormat="1" ht="11.5" x14ac:dyDescent="0.25">
      <c r="A309" s="634"/>
      <c r="E309" s="667"/>
      <c r="I309" s="210"/>
      <c r="M309" s="786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458"/>
      <c r="AT309" s="210"/>
      <c r="AU309" s="210"/>
      <c r="AV309" s="210"/>
      <c r="AW309" s="210"/>
      <c r="AX309" s="210"/>
      <c r="AY309" s="210"/>
      <c r="AZ309" s="210"/>
      <c r="BA309" s="458"/>
      <c r="BB309" s="210"/>
      <c r="BC309" s="210"/>
      <c r="BD309" s="210"/>
      <c r="BE309" s="210"/>
    </row>
    <row r="310" spans="1:57" s="199" customFormat="1" ht="11.5" x14ac:dyDescent="0.25">
      <c r="A310" s="634"/>
      <c r="E310" s="667"/>
      <c r="I310" s="210"/>
      <c r="M310" s="786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/>
      <c r="AF310" s="210"/>
      <c r="AG310" s="210"/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458"/>
      <c r="AT310" s="210"/>
      <c r="AU310" s="210"/>
      <c r="AV310" s="210"/>
      <c r="AW310" s="210"/>
      <c r="AX310" s="210"/>
      <c r="AY310" s="210"/>
      <c r="AZ310" s="210"/>
      <c r="BA310" s="458"/>
      <c r="BB310" s="210"/>
      <c r="BC310" s="210"/>
      <c r="BD310" s="210"/>
      <c r="BE310" s="210"/>
    </row>
    <row r="311" spans="1:57" s="199" customFormat="1" ht="11.5" x14ac:dyDescent="0.25">
      <c r="A311" s="634"/>
      <c r="E311" s="667"/>
      <c r="I311" s="210"/>
      <c r="M311" s="786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/>
      <c r="AF311" s="210"/>
      <c r="AG311" s="210"/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458"/>
      <c r="AT311" s="210"/>
      <c r="AU311" s="210"/>
      <c r="AV311" s="210"/>
      <c r="AW311" s="210"/>
      <c r="AX311" s="210"/>
      <c r="AY311" s="210"/>
      <c r="AZ311" s="210"/>
      <c r="BA311" s="458"/>
      <c r="BB311" s="210"/>
      <c r="BC311" s="210"/>
      <c r="BD311" s="210"/>
      <c r="BE311" s="210"/>
    </row>
    <row r="312" spans="1:57" s="199" customFormat="1" ht="11.5" x14ac:dyDescent="0.25">
      <c r="A312" s="634"/>
      <c r="E312" s="667"/>
      <c r="I312" s="210"/>
      <c r="M312" s="786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458"/>
      <c r="AT312" s="210"/>
      <c r="AU312" s="210"/>
      <c r="AV312" s="210"/>
      <c r="AW312" s="210"/>
      <c r="AX312" s="210"/>
      <c r="AY312" s="210"/>
      <c r="AZ312" s="210"/>
      <c r="BA312" s="458"/>
      <c r="BB312" s="210"/>
      <c r="BC312" s="210"/>
      <c r="BD312" s="210"/>
      <c r="BE312" s="210"/>
    </row>
    <row r="313" spans="1:57" s="199" customFormat="1" ht="11.5" x14ac:dyDescent="0.25">
      <c r="A313" s="634"/>
      <c r="E313" s="667"/>
      <c r="I313" s="210"/>
      <c r="M313" s="786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458"/>
      <c r="AT313" s="210"/>
      <c r="AU313" s="210"/>
      <c r="AV313" s="210"/>
      <c r="AW313" s="210"/>
      <c r="AX313" s="210"/>
      <c r="AY313" s="210"/>
      <c r="AZ313" s="210"/>
      <c r="BA313" s="458"/>
      <c r="BB313" s="210"/>
      <c r="BC313" s="210"/>
      <c r="BD313" s="210"/>
      <c r="BE313" s="210"/>
    </row>
    <row r="314" spans="1:57" s="199" customFormat="1" ht="11.5" x14ac:dyDescent="0.25">
      <c r="A314" s="634"/>
      <c r="E314" s="667"/>
      <c r="I314" s="210"/>
      <c r="M314" s="786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458"/>
      <c r="AT314" s="210"/>
      <c r="AU314" s="210"/>
      <c r="AV314" s="210"/>
      <c r="AW314" s="210"/>
      <c r="AX314" s="210"/>
      <c r="AY314" s="210"/>
      <c r="AZ314" s="210"/>
      <c r="BA314" s="458"/>
      <c r="BB314" s="210"/>
      <c r="BC314" s="210"/>
      <c r="BD314" s="210"/>
      <c r="BE314" s="210"/>
    </row>
    <row r="315" spans="1:57" s="199" customFormat="1" ht="11.5" x14ac:dyDescent="0.25">
      <c r="A315" s="634"/>
      <c r="E315" s="667"/>
      <c r="I315" s="210"/>
      <c r="M315" s="786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458"/>
      <c r="AT315" s="210"/>
      <c r="AU315" s="210"/>
      <c r="AV315" s="210"/>
      <c r="AW315" s="210"/>
      <c r="AX315" s="210"/>
      <c r="AY315" s="210"/>
      <c r="AZ315" s="210"/>
      <c r="BA315" s="458"/>
      <c r="BB315" s="210"/>
      <c r="BC315" s="210"/>
      <c r="BD315" s="210"/>
      <c r="BE315" s="210"/>
    </row>
    <row r="316" spans="1:57" s="199" customFormat="1" ht="11.5" x14ac:dyDescent="0.25">
      <c r="A316" s="634"/>
      <c r="E316" s="667"/>
      <c r="I316" s="210"/>
      <c r="M316" s="786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458"/>
      <c r="AT316" s="210"/>
      <c r="AU316" s="210"/>
      <c r="AV316" s="210"/>
      <c r="AW316" s="210"/>
      <c r="AX316" s="210"/>
      <c r="AY316" s="210"/>
      <c r="AZ316" s="210"/>
      <c r="BA316" s="458"/>
      <c r="BB316" s="210"/>
      <c r="BC316" s="210"/>
      <c r="BD316" s="210"/>
      <c r="BE316" s="210"/>
    </row>
    <row r="317" spans="1:57" s="199" customFormat="1" ht="11.5" x14ac:dyDescent="0.25">
      <c r="A317" s="634"/>
      <c r="E317" s="667"/>
      <c r="I317" s="210"/>
      <c r="M317" s="786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458"/>
      <c r="AT317" s="210"/>
      <c r="AU317" s="210"/>
      <c r="AV317" s="210"/>
      <c r="AW317" s="210"/>
      <c r="AX317" s="210"/>
      <c r="AY317" s="210"/>
      <c r="AZ317" s="210"/>
      <c r="BA317" s="458"/>
      <c r="BB317" s="210"/>
      <c r="BC317" s="210"/>
      <c r="BD317" s="210"/>
      <c r="BE317" s="210"/>
    </row>
    <row r="318" spans="1:57" s="199" customFormat="1" ht="11.5" x14ac:dyDescent="0.25">
      <c r="A318" s="634"/>
      <c r="E318" s="667"/>
      <c r="I318" s="210"/>
      <c r="M318" s="786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458"/>
      <c r="AT318" s="210"/>
      <c r="AU318" s="210"/>
      <c r="AV318" s="210"/>
      <c r="AW318" s="210"/>
      <c r="AX318" s="210"/>
      <c r="AY318" s="210"/>
      <c r="AZ318" s="210"/>
      <c r="BA318" s="458"/>
      <c r="BB318" s="210"/>
      <c r="BC318" s="210"/>
      <c r="BD318" s="210"/>
      <c r="BE318" s="210"/>
    </row>
    <row r="319" spans="1:57" s="199" customFormat="1" ht="11.5" x14ac:dyDescent="0.25">
      <c r="A319" s="634"/>
      <c r="E319" s="667"/>
      <c r="I319" s="210"/>
      <c r="M319" s="786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458"/>
      <c r="AT319" s="210"/>
      <c r="AU319" s="210"/>
      <c r="AV319" s="210"/>
      <c r="AW319" s="210"/>
      <c r="AX319" s="210"/>
      <c r="AY319" s="210"/>
      <c r="AZ319" s="210"/>
      <c r="BA319" s="458"/>
      <c r="BB319" s="210"/>
      <c r="BC319" s="210"/>
      <c r="BD319" s="210"/>
      <c r="BE319" s="210"/>
    </row>
    <row r="320" spans="1:57" s="199" customFormat="1" ht="11.5" x14ac:dyDescent="0.25">
      <c r="A320" s="634"/>
      <c r="E320" s="667"/>
      <c r="I320" s="210"/>
      <c r="M320" s="786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458"/>
      <c r="AT320" s="210"/>
      <c r="AU320" s="210"/>
      <c r="AV320" s="210"/>
      <c r="AW320" s="210"/>
      <c r="AX320" s="210"/>
      <c r="AY320" s="210"/>
      <c r="AZ320" s="210"/>
      <c r="BA320" s="458"/>
      <c r="BB320" s="210"/>
      <c r="BC320" s="210"/>
      <c r="BD320" s="210"/>
      <c r="BE320" s="210"/>
    </row>
    <row r="321" spans="1:57" s="199" customFormat="1" ht="11.5" x14ac:dyDescent="0.25">
      <c r="A321" s="634"/>
      <c r="E321" s="667"/>
      <c r="I321" s="210"/>
      <c r="M321" s="786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458"/>
      <c r="AT321" s="210"/>
      <c r="AU321" s="210"/>
      <c r="AV321" s="210"/>
      <c r="AW321" s="210"/>
      <c r="AX321" s="210"/>
      <c r="AY321" s="210"/>
      <c r="AZ321" s="210"/>
      <c r="BA321" s="458"/>
      <c r="BB321" s="210"/>
      <c r="BC321" s="210"/>
      <c r="BD321" s="210"/>
      <c r="BE321" s="210"/>
    </row>
    <row r="322" spans="1:57" s="199" customFormat="1" ht="11.5" x14ac:dyDescent="0.25">
      <c r="A322" s="634"/>
      <c r="E322" s="667"/>
      <c r="I322" s="210"/>
      <c r="M322" s="786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458"/>
      <c r="AT322" s="210"/>
      <c r="AU322" s="210"/>
      <c r="AV322" s="210"/>
      <c r="AW322" s="210"/>
      <c r="AX322" s="210"/>
      <c r="AY322" s="210"/>
      <c r="AZ322" s="210"/>
      <c r="BA322" s="458"/>
      <c r="BB322" s="210"/>
      <c r="BC322" s="210"/>
      <c r="BD322" s="210"/>
      <c r="BE322" s="210"/>
    </row>
    <row r="323" spans="1:57" s="199" customFormat="1" ht="11.5" x14ac:dyDescent="0.25">
      <c r="A323" s="634"/>
      <c r="E323" s="667"/>
      <c r="I323" s="210"/>
      <c r="M323" s="786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458"/>
      <c r="AT323" s="210"/>
      <c r="AU323" s="210"/>
      <c r="AV323" s="210"/>
      <c r="AW323" s="210"/>
      <c r="AX323" s="210"/>
      <c r="AY323" s="210"/>
      <c r="AZ323" s="210"/>
      <c r="BA323" s="458"/>
      <c r="BB323" s="210"/>
      <c r="BC323" s="210"/>
      <c r="BD323" s="210"/>
      <c r="BE323" s="210"/>
    </row>
    <row r="324" spans="1:57" x14ac:dyDescent="0.25">
      <c r="B324" s="199"/>
      <c r="C324" s="199"/>
      <c r="D324" s="199"/>
      <c r="E324" s="667"/>
      <c r="F324" s="199"/>
      <c r="G324" s="199"/>
      <c r="H324" s="199"/>
      <c r="I324" s="210"/>
      <c r="J324" s="199"/>
      <c r="K324" s="199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458"/>
      <c r="AT324" s="210"/>
      <c r="AU324" s="210"/>
      <c r="AV324" s="210"/>
      <c r="AW324" s="210"/>
      <c r="AX324" s="210"/>
      <c r="AY324" s="210"/>
      <c r="AZ324" s="210"/>
      <c r="BA324" s="458"/>
      <c r="BB324" s="210"/>
      <c r="BC324" s="210"/>
      <c r="BD324" s="210"/>
      <c r="BE324" s="210"/>
    </row>
    <row r="325" spans="1:57" x14ac:dyDescent="0.25"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458"/>
      <c r="AT325" s="210"/>
      <c r="AU325" s="210"/>
      <c r="AV325" s="210"/>
      <c r="AW325" s="210"/>
      <c r="AX325" s="210"/>
      <c r="AY325" s="210"/>
      <c r="AZ325" s="210"/>
      <c r="BA325" s="458"/>
      <c r="BB325" s="210"/>
      <c r="BC325" s="210"/>
      <c r="BD325" s="210"/>
      <c r="BE325" s="210"/>
    </row>
    <row r="326" spans="1:57" x14ac:dyDescent="0.25"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/>
      <c r="AF326" s="210"/>
      <c r="AG326" s="210"/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458"/>
      <c r="AT326" s="210"/>
      <c r="AU326" s="210"/>
      <c r="AV326" s="210"/>
      <c r="AW326" s="210"/>
      <c r="AX326" s="210"/>
      <c r="AY326" s="210"/>
      <c r="AZ326" s="210"/>
      <c r="BA326" s="458"/>
      <c r="BB326" s="210"/>
      <c r="BC326" s="210"/>
      <c r="BD326" s="210"/>
      <c r="BE326" s="210"/>
    </row>
    <row r="327" spans="1:57" x14ac:dyDescent="0.25"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/>
      <c r="AF327" s="210"/>
      <c r="AG327" s="210"/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458"/>
      <c r="AT327" s="210"/>
      <c r="AU327" s="210"/>
      <c r="AV327" s="210"/>
      <c r="AW327" s="210"/>
      <c r="AX327" s="210"/>
      <c r="AY327" s="210"/>
      <c r="AZ327" s="210"/>
      <c r="BA327" s="458"/>
      <c r="BB327" s="210"/>
      <c r="BC327" s="210"/>
      <c r="BD327" s="210"/>
      <c r="BE327" s="210"/>
    </row>
    <row r="328" spans="1:57" x14ac:dyDescent="0.25"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458"/>
      <c r="AT328" s="210"/>
      <c r="AU328" s="210"/>
      <c r="AV328" s="210"/>
      <c r="AW328" s="210"/>
      <c r="AX328" s="210"/>
      <c r="AY328" s="210"/>
      <c r="AZ328" s="210"/>
      <c r="BA328" s="458"/>
      <c r="BB328" s="210"/>
      <c r="BC328" s="210"/>
      <c r="BD328" s="210"/>
      <c r="BE328" s="210"/>
    </row>
    <row r="329" spans="1:57" x14ac:dyDescent="0.25"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/>
      <c r="AF329" s="210"/>
      <c r="AG329" s="210"/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458"/>
      <c r="AT329" s="210"/>
      <c r="AU329" s="210"/>
      <c r="AV329" s="210"/>
      <c r="AW329" s="210"/>
      <c r="AX329" s="210"/>
      <c r="AY329" s="210"/>
      <c r="AZ329" s="210"/>
      <c r="BA329" s="458"/>
      <c r="BB329" s="210"/>
      <c r="BC329" s="210"/>
      <c r="BD329" s="210"/>
      <c r="BE329" s="210"/>
    </row>
    <row r="330" spans="1:57" x14ac:dyDescent="0.25"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458"/>
      <c r="AT330" s="210"/>
      <c r="AU330" s="210"/>
      <c r="AV330" s="210"/>
      <c r="AW330" s="210"/>
      <c r="AX330" s="210"/>
      <c r="AY330" s="210"/>
      <c r="AZ330" s="210"/>
      <c r="BA330" s="458"/>
      <c r="BB330" s="210"/>
      <c r="BC330" s="210"/>
      <c r="BD330" s="210"/>
      <c r="BE330" s="210"/>
    </row>
    <row r="331" spans="1:57" x14ac:dyDescent="0.25"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458"/>
      <c r="AT331" s="210"/>
      <c r="AU331" s="210"/>
      <c r="AV331" s="210"/>
      <c r="AW331" s="210"/>
      <c r="AX331" s="210"/>
      <c r="AY331" s="210"/>
      <c r="AZ331" s="210"/>
      <c r="BA331" s="458"/>
      <c r="BB331" s="210"/>
      <c r="BC331" s="210"/>
      <c r="BD331" s="210"/>
      <c r="BE331" s="210"/>
    </row>
    <row r="332" spans="1:57" x14ac:dyDescent="0.25"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458"/>
      <c r="AT332" s="210"/>
      <c r="AU332" s="210"/>
      <c r="AV332" s="210"/>
      <c r="AW332" s="210"/>
      <c r="AX332" s="210"/>
      <c r="AY332" s="210"/>
      <c r="AZ332" s="210"/>
      <c r="BA332" s="458"/>
      <c r="BB332" s="210"/>
      <c r="BC332" s="210"/>
      <c r="BD332" s="210"/>
      <c r="BE332" s="210"/>
    </row>
    <row r="333" spans="1:57" x14ac:dyDescent="0.25"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458"/>
      <c r="AT333" s="210"/>
      <c r="AU333" s="210"/>
      <c r="AV333" s="210"/>
      <c r="AW333" s="210"/>
      <c r="AX333" s="210"/>
      <c r="AY333" s="210"/>
      <c r="AZ333" s="210"/>
      <c r="BA333" s="458"/>
      <c r="BB333" s="210"/>
      <c r="BC333" s="210"/>
      <c r="BD333" s="210"/>
      <c r="BE333" s="210"/>
    </row>
    <row r="334" spans="1:57" x14ac:dyDescent="0.25"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458"/>
      <c r="AT334" s="210"/>
      <c r="AU334" s="210"/>
      <c r="AV334" s="210"/>
      <c r="AW334" s="210"/>
      <c r="AX334" s="210"/>
      <c r="AY334" s="210"/>
      <c r="AZ334" s="210"/>
      <c r="BA334" s="458"/>
      <c r="BB334" s="210"/>
      <c r="BC334" s="210"/>
      <c r="BD334" s="210"/>
      <c r="BE334" s="210"/>
    </row>
    <row r="335" spans="1:57" x14ac:dyDescent="0.25"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458"/>
      <c r="AT335" s="210"/>
      <c r="AU335" s="210"/>
      <c r="AV335" s="210"/>
      <c r="AW335" s="210"/>
      <c r="AX335" s="210"/>
      <c r="AY335" s="210"/>
      <c r="AZ335" s="210"/>
      <c r="BA335" s="458"/>
      <c r="BB335" s="210"/>
      <c r="BC335" s="210"/>
      <c r="BD335" s="210"/>
      <c r="BE335" s="210"/>
    </row>
    <row r="336" spans="1:57" x14ac:dyDescent="0.25"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458"/>
      <c r="AT336" s="210"/>
      <c r="AU336" s="210"/>
      <c r="AV336" s="210"/>
      <c r="AW336" s="210"/>
      <c r="AX336" s="210"/>
      <c r="AY336" s="210"/>
      <c r="AZ336" s="210"/>
      <c r="BA336" s="458"/>
      <c r="BB336" s="210"/>
      <c r="BC336" s="210"/>
      <c r="BD336" s="210"/>
      <c r="BE336" s="210"/>
    </row>
    <row r="337" spans="14:57" x14ac:dyDescent="0.25"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458"/>
      <c r="AT337" s="210"/>
      <c r="AU337" s="210"/>
      <c r="AV337" s="210"/>
      <c r="AW337" s="210"/>
      <c r="AX337" s="210"/>
      <c r="AY337" s="210"/>
      <c r="AZ337" s="210"/>
      <c r="BA337" s="458"/>
      <c r="BB337" s="210"/>
      <c r="BC337" s="210"/>
      <c r="BD337" s="210"/>
      <c r="BE337" s="210"/>
    </row>
    <row r="338" spans="14:57" x14ac:dyDescent="0.25"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458"/>
      <c r="AT338" s="210"/>
      <c r="AU338" s="210"/>
      <c r="AV338" s="210"/>
      <c r="AW338" s="210"/>
      <c r="AX338" s="210"/>
      <c r="AY338" s="210"/>
      <c r="AZ338" s="210"/>
      <c r="BA338" s="458"/>
      <c r="BB338" s="210"/>
      <c r="BC338" s="210"/>
      <c r="BD338" s="210"/>
      <c r="BE338" s="210"/>
    </row>
    <row r="339" spans="14:57" x14ac:dyDescent="0.25"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458"/>
      <c r="AT339" s="210"/>
      <c r="AU339" s="210"/>
      <c r="AV339" s="210"/>
      <c r="AW339" s="210"/>
      <c r="AX339" s="210"/>
      <c r="AY339" s="210"/>
      <c r="AZ339" s="210"/>
      <c r="BA339" s="458"/>
      <c r="BB339" s="210"/>
      <c r="BC339" s="210"/>
      <c r="BD339" s="210"/>
      <c r="BE339" s="210"/>
    </row>
    <row r="340" spans="14:57" x14ac:dyDescent="0.25"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458"/>
      <c r="AT340" s="210"/>
      <c r="AU340" s="210"/>
      <c r="AV340" s="210"/>
      <c r="AW340" s="210"/>
      <c r="AX340" s="210"/>
      <c r="AY340" s="210"/>
      <c r="AZ340" s="210"/>
      <c r="BA340" s="458"/>
      <c r="BB340" s="210"/>
      <c r="BC340" s="210"/>
      <c r="BD340" s="210"/>
      <c r="BE340" s="210"/>
    </row>
    <row r="341" spans="14:57" x14ac:dyDescent="0.25"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458"/>
      <c r="AT341" s="210"/>
      <c r="AU341" s="210"/>
      <c r="AV341" s="210"/>
      <c r="AW341" s="210"/>
      <c r="AX341" s="210"/>
      <c r="AY341" s="210"/>
      <c r="AZ341" s="210"/>
      <c r="BA341" s="458"/>
      <c r="BB341" s="210"/>
      <c r="BC341" s="210"/>
      <c r="BD341" s="210"/>
      <c r="BE341" s="210"/>
    </row>
    <row r="342" spans="14:57" x14ac:dyDescent="0.25"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458"/>
      <c r="AT342" s="210"/>
      <c r="AU342" s="210"/>
      <c r="AV342" s="210"/>
      <c r="AW342" s="210"/>
      <c r="AX342" s="210"/>
      <c r="AY342" s="210"/>
      <c r="AZ342" s="210"/>
      <c r="BA342" s="458"/>
      <c r="BB342" s="210"/>
      <c r="BC342" s="210"/>
      <c r="BD342" s="210"/>
      <c r="BE342" s="210"/>
    </row>
    <row r="343" spans="14:57" x14ac:dyDescent="0.25"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458"/>
      <c r="AT343" s="210"/>
      <c r="AU343" s="210"/>
      <c r="AV343" s="210"/>
      <c r="AW343" s="210"/>
      <c r="AX343" s="210"/>
      <c r="AY343" s="210"/>
      <c r="AZ343" s="210"/>
      <c r="BA343" s="458"/>
      <c r="BB343" s="210"/>
      <c r="BC343" s="210"/>
      <c r="BD343" s="210"/>
      <c r="BE343" s="210"/>
    </row>
    <row r="344" spans="14:57" x14ac:dyDescent="0.25"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458"/>
      <c r="AT344" s="210"/>
      <c r="AU344" s="210"/>
      <c r="AV344" s="210"/>
      <c r="AW344" s="210"/>
      <c r="AX344" s="210"/>
      <c r="AY344" s="210"/>
      <c r="AZ344" s="210"/>
      <c r="BA344" s="458"/>
      <c r="BB344" s="210"/>
      <c r="BC344" s="210"/>
      <c r="BD344" s="210"/>
      <c r="BE344" s="210"/>
    </row>
    <row r="345" spans="14:57" x14ac:dyDescent="0.25"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458"/>
      <c r="AT345" s="210"/>
      <c r="AU345" s="210"/>
      <c r="AV345" s="210"/>
      <c r="AW345" s="210"/>
      <c r="AX345" s="210"/>
      <c r="AY345" s="210"/>
      <c r="AZ345" s="210"/>
      <c r="BA345" s="458"/>
      <c r="BB345" s="210"/>
      <c r="BC345" s="210"/>
      <c r="BD345" s="210"/>
      <c r="BE345" s="210"/>
    </row>
    <row r="346" spans="14:57" x14ac:dyDescent="0.25"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458"/>
      <c r="AT346" s="210"/>
      <c r="AU346" s="210"/>
      <c r="AV346" s="210"/>
      <c r="AW346" s="210"/>
      <c r="AX346" s="210"/>
      <c r="AY346" s="210"/>
      <c r="AZ346" s="210"/>
      <c r="BA346" s="458"/>
      <c r="BB346" s="210"/>
      <c r="BC346" s="210"/>
      <c r="BD346" s="210"/>
      <c r="BE346" s="210"/>
    </row>
    <row r="347" spans="14:57" x14ac:dyDescent="0.25"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458"/>
      <c r="AT347" s="210"/>
      <c r="AU347" s="210"/>
      <c r="AV347" s="210"/>
      <c r="AW347" s="210"/>
      <c r="AX347" s="210"/>
      <c r="AY347" s="210"/>
      <c r="AZ347" s="210"/>
      <c r="BA347" s="458"/>
      <c r="BB347" s="210"/>
      <c r="BC347" s="210"/>
      <c r="BD347" s="210"/>
      <c r="BE347" s="210"/>
    </row>
    <row r="348" spans="14:57" x14ac:dyDescent="0.25"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458"/>
      <c r="AT348" s="210"/>
      <c r="AU348" s="210"/>
      <c r="AV348" s="210"/>
      <c r="AW348" s="210"/>
      <c r="AX348" s="210"/>
      <c r="AY348" s="210"/>
      <c r="AZ348" s="210"/>
      <c r="BA348" s="458"/>
      <c r="BB348" s="210"/>
      <c r="BC348" s="210"/>
      <c r="BD348" s="210"/>
      <c r="BE348" s="210"/>
    </row>
    <row r="349" spans="14:57" x14ac:dyDescent="0.25"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458"/>
      <c r="AT349" s="210"/>
      <c r="AU349" s="210"/>
      <c r="AV349" s="210"/>
      <c r="AW349" s="210"/>
      <c r="AX349" s="210"/>
      <c r="AY349" s="210"/>
      <c r="AZ349" s="210"/>
      <c r="BA349" s="458"/>
      <c r="BB349" s="210"/>
      <c r="BC349" s="210"/>
      <c r="BD349" s="210"/>
      <c r="BE349" s="210"/>
    </row>
    <row r="350" spans="14:57" x14ac:dyDescent="0.25"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458"/>
      <c r="AT350" s="210"/>
      <c r="AU350" s="210"/>
      <c r="AV350" s="210"/>
      <c r="AW350" s="210"/>
      <c r="AX350" s="210"/>
      <c r="AY350" s="210"/>
      <c r="AZ350" s="210"/>
      <c r="BA350" s="458"/>
      <c r="BB350" s="210"/>
      <c r="BC350" s="210"/>
      <c r="BD350" s="210"/>
      <c r="BE350" s="210"/>
    </row>
    <row r="351" spans="14:57" x14ac:dyDescent="0.25"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458"/>
      <c r="AT351" s="210"/>
      <c r="AU351" s="210"/>
      <c r="AV351" s="210"/>
      <c r="AW351" s="210"/>
      <c r="AX351" s="210"/>
      <c r="AY351" s="210"/>
      <c r="AZ351" s="210"/>
      <c r="BA351" s="458"/>
      <c r="BB351" s="210"/>
      <c r="BC351" s="210"/>
      <c r="BD351" s="210"/>
      <c r="BE351" s="210"/>
    </row>
    <row r="352" spans="14:57" x14ac:dyDescent="0.25"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458"/>
      <c r="AT352" s="210"/>
      <c r="AU352" s="210"/>
      <c r="AV352" s="210"/>
      <c r="AW352" s="210"/>
      <c r="AX352" s="210"/>
      <c r="AY352" s="210"/>
      <c r="AZ352" s="210"/>
      <c r="BA352" s="458"/>
      <c r="BB352" s="210"/>
      <c r="BC352" s="210"/>
      <c r="BD352" s="210"/>
      <c r="BE352" s="210"/>
    </row>
    <row r="353" spans="14:57" x14ac:dyDescent="0.25"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/>
      <c r="AF353" s="210"/>
      <c r="AG353" s="210"/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458"/>
      <c r="AT353" s="210"/>
      <c r="AU353" s="210"/>
      <c r="AV353" s="210"/>
      <c r="AW353" s="210"/>
      <c r="AX353" s="210"/>
      <c r="AY353" s="210"/>
      <c r="AZ353" s="210"/>
      <c r="BA353" s="458"/>
      <c r="BB353" s="210"/>
      <c r="BC353" s="210"/>
      <c r="BD353" s="210"/>
      <c r="BE353" s="210"/>
    </row>
    <row r="354" spans="14:57" x14ac:dyDescent="0.25"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/>
      <c r="AF354" s="210"/>
      <c r="AG354" s="210"/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458"/>
      <c r="AT354" s="210"/>
      <c r="AU354" s="210"/>
      <c r="AV354" s="210"/>
      <c r="AW354" s="210"/>
      <c r="AX354" s="210"/>
      <c r="AY354" s="210"/>
      <c r="AZ354" s="210"/>
      <c r="BA354" s="458"/>
      <c r="BB354" s="210"/>
      <c r="BC354" s="210"/>
      <c r="BD354" s="210"/>
      <c r="BE354" s="210"/>
    </row>
    <row r="355" spans="14:57" x14ac:dyDescent="0.25"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/>
      <c r="AF355" s="210"/>
      <c r="AG355" s="210"/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458"/>
      <c r="AT355" s="210"/>
      <c r="AU355" s="210"/>
      <c r="AV355" s="210"/>
      <c r="AW355" s="210"/>
      <c r="AX355" s="210"/>
      <c r="AY355" s="210"/>
      <c r="AZ355" s="210"/>
      <c r="BA355" s="458"/>
      <c r="BB355" s="210"/>
      <c r="BC355" s="210"/>
      <c r="BD355" s="210"/>
      <c r="BE355" s="210"/>
    </row>
    <row r="356" spans="14:57" x14ac:dyDescent="0.25"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458"/>
      <c r="AT356" s="210"/>
      <c r="AU356" s="210"/>
      <c r="AV356" s="210"/>
      <c r="AW356" s="210"/>
      <c r="AX356" s="210"/>
      <c r="AY356" s="210"/>
      <c r="AZ356" s="210"/>
      <c r="BA356" s="458"/>
      <c r="BB356" s="210"/>
      <c r="BC356" s="210"/>
      <c r="BD356" s="210"/>
      <c r="BE356" s="210"/>
    </row>
    <row r="357" spans="14:57" x14ac:dyDescent="0.25"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458"/>
      <c r="AT357" s="210"/>
      <c r="AU357" s="210"/>
      <c r="AV357" s="210"/>
      <c r="AW357" s="210"/>
      <c r="AX357" s="210"/>
      <c r="AY357" s="210"/>
      <c r="AZ357" s="210"/>
      <c r="BA357" s="458"/>
      <c r="BB357" s="210"/>
      <c r="BC357" s="210"/>
      <c r="BD357" s="210"/>
      <c r="BE357" s="210"/>
    </row>
    <row r="358" spans="14:57" x14ac:dyDescent="0.25"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458"/>
      <c r="AT358" s="210"/>
      <c r="AU358" s="210"/>
      <c r="AV358" s="210"/>
      <c r="AW358" s="210"/>
      <c r="AX358" s="210"/>
      <c r="AY358" s="210"/>
      <c r="AZ358" s="210"/>
      <c r="BA358" s="458"/>
      <c r="BB358" s="210"/>
      <c r="BC358" s="210"/>
      <c r="BD358" s="210"/>
      <c r="BE358" s="210"/>
    </row>
    <row r="359" spans="14:57" x14ac:dyDescent="0.25"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458"/>
      <c r="AT359" s="210"/>
      <c r="AU359" s="210"/>
      <c r="AV359" s="210"/>
      <c r="AW359" s="210"/>
      <c r="AX359" s="210"/>
      <c r="AY359" s="210"/>
      <c r="AZ359" s="210"/>
      <c r="BA359" s="458"/>
      <c r="BB359" s="210"/>
      <c r="BC359" s="210"/>
      <c r="BD359" s="210"/>
      <c r="BE359" s="210"/>
    </row>
    <row r="360" spans="14:57" x14ac:dyDescent="0.25"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458"/>
      <c r="AT360" s="210"/>
      <c r="AU360" s="210"/>
      <c r="AV360" s="210"/>
      <c r="AW360" s="210"/>
      <c r="AX360" s="210"/>
      <c r="AY360" s="210"/>
      <c r="AZ360" s="210"/>
      <c r="BA360" s="458"/>
      <c r="BB360" s="210"/>
      <c r="BC360" s="210"/>
      <c r="BD360" s="210"/>
      <c r="BE360" s="210"/>
    </row>
    <row r="361" spans="14:57" x14ac:dyDescent="0.25"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458"/>
      <c r="AT361" s="210"/>
      <c r="AU361" s="210"/>
      <c r="AV361" s="210"/>
      <c r="AW361" s="210"/>
      <c r="AX361" s="210"/>
      <c r="AY361" s="210"/>
      <c r="AZ361" s="210"/>
      <c r="BA361" s="458"/>
      <c r="BB361" s="210"/>
      <c r="BC361" s="210"/>
      <c r="BD361" s="210"/>
      <c r="BE361" s="210"/>
    </row>
    <row r="362" spans="14:57" x14ac:dyDescent="0.25"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458"/>
      <c r="AT362" s="210"/>
      <c r="AU362" s="210"/>
      <c r="AV362" s="210"/>
      <c r="AW362" s="210"/>
      <c r="AX362" s="210"/>
      <c r="AY362" s="210"/>
      <c r="AZ362" s="210"/>
      <c r="BA362" s="458"/>
      <c r="BB362" s="210"/>
      <c r="BC362" s="210"/>
      <c r="BD362" s="210"/>
      <c r="BE362" s="210"/>
    </row>
    <row r="363" spans="14:57" x14ac:dyDescent="0.25"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458"/>
      <c r="AT363" s="210"/>
      <c r="AU363" s="210"/>
      <c r="AV363" s="210"/>
      <c r="AW363" s="210"/>
      <c r="AX363" s="210"/>
      <c r="AY363" s="210"/>
      <c r="AZ363" s="210"/>
      <c r="BA363" s="458"/>
      <c r="BB363" s="210"/>
      <c r="BC363" s="210"/>
      <c r="BD363" s="210"/>
      <c r="BE363" s="210"/>
    </row>
    <row r="364" spans="14:57" x14ac:dyDescent="0.25"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/>
      <c r="AF364" s="210"/>
      <c r="AG364" s="210"/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458"/>
      <c r="AT364" s="210"/>
      <c r="AU364" s="210"/>
      <c r="AV364" s="210"/>
      <c r="AW364" s="210"/>
      <c r="AX364" s="210"/>
      <c r="AY364" s="210"/>
      <c r="AZ364" s="210"/>
      <c r="BA364" s="458"/>
      <c r="BB364" s="210"/>
      <c r="BC364" s="210"/>
      <c r="BD364" s="210"/>
      <c r="BE364" s="210"/>
    </row>
    <row r="365" spans="14:57" x14ac:dyDescent="0.25"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/>
      <c r="AF365" s="210"/>
      <c r="AG365" s="210"/>
      <c r="AH365" s="210"/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458"/>
      <c r="AT365" s="210"/>
      <c r="AU365" s="210"/>
      <c r="AV365" s="210"/>
      <c r="AW365" s="210"/>
      <c r="AX365" s="210"/>
      <c r="AY365" s="210"/>
      <c r="AZ365" s="210"/>
      <c r="BA365" s="458"/>
      <c r="BB365" s="210"/>
      <c r="BC365" s="210"/>
      <c r="BD365" s="210"/>
      <c r="BE365" s="210"/>
    </row>
    <row r="366" spans="14:57" x14ac:dyDescent="0.25"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/>
      <c r="AF366" s="210"/>
      <c r="AG366" s="210"/>
      <c r="AH366" s="210"/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458"/>
      <c r="AT366" s="210"/>
      <c r="AU366" s="210"/>
      <c r="AV366" s="210"/>
      <c r="AW366" s="210"/>
      <c r="AX366" s="210"/>
      <c r="AY366" s="210"/>
      <c r="AZ366" s="210"/>
      <c r="BA366" s="458"/>
      <c r="BB366" s="210"/>
      <c r="BC366" s="210"/>
      <c r="BD366" s="210"/>
      <c r="BE366" s="210"/>
    </row>
    <row r="367" spans="14:57" x14ac:dyDescent="0.25"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458"/>
      <c r="AT367" s="210"/>
      <c r="AU367" s="210"/>
      <c r="AV367" s="210"/>
      <c r="AW367" s="210"/>
      <c r="AX367" s="210"/>
      <c r="AY367" s="210"/>
      <c r="AZ367" s="210"/>
      <c r="BA367" s="458"/>
      <c r="BB367" s="210"/>
      <c r="BC367" s="210"/>
      <c r="BD367" s="210"/>
      <c r="BE367" s="210"/>
    </row>
  </sheetData>
  <sheetProtection algorithmName="SHA-512" hashValue="+X9VoCstjUhBELBOROj8NgXIs12zpCmvni9D18UtwTZBEYow+1I70kICBlhdbqugrUx+v2Zq3DdEZwxsbcJH8w==" saltValue="mgUz9b8YxhXYizMoWRPD0g==" spinCount="100000" sheet="1" formatColumns="0" autoFilter="0"/>
  <autoFilter ref="F10:F290" xr:uid="{00000000-0009-0000-0000-00002A000000}"/>
  <mergeCells count="51">
    <mergeCell ref="H7:K7"/>
    <mergeCell ref="AD8:AD10"/>
    <mergeCell ref="AE8:AE10"/>
    <mergeCell ref="AF8:AF10"/>
    <mergeCell ref="AI8:AI10"/>
    <mergeCell ref="BB205:BB207"/>
    <mergeCell ref="BC205:BC207"/>
    <mergeCell ref="AT130:AT132"/>
    <mergeCell ref="AU130:AU132"/>
    <mergeCell ref="AW130:AW132"/>
    <mergeCell ref="AX130:AX132"/>
    <mergeCell ref="AZ130:AZ132"/>
    <mergeCell ref="AY130:AY132"/>
    <mergeCell ref="B297:K297"/>
    <mergeCell ref="Y8:Y10"/>
    <mergeCell ref="AB8:AB10"/>
    <mergeCell ref="Z8:Z10"/>
    <mergeCell ref="X8:X10"/>
    <mergeCell ref="S8:S10"/>
    <mergeCell ref="R8:R10"/>
    <mergeCell ref="N8:N10"/>
    <mergeCell ref="O8:O10"/>
    <mergeCell ref="Q8:Q10"/>
    <mergeCell ref="T8:T10"/>
    <mergeCell ref="H9:K9"/>
    <mergeCell ref="I307:K307"/>
    <mergeCell ref="AZ8:AZ10"/>
    <mergeCell ref="AT8:AT10"/>
    <mergeCell ref="AU8:AU10"/>
    <mergeCell ref="AW8:AW10"/>
    <mergeCell ref="V8:V10"/>
    <mergeCell ref="P8:P10"/>
    <mergeCell ref="B299:K299"/>
    <mergeCell ref="AO8:AO10"/>
    <mergeCell ref="W8:W10"/>
    <mergeCell ref="AK8:AK10"/>
    <mergeCell ref="B298:K298"/>
    <mergeCell ref="U8:U10"/>
    <mergeCell ref="G292:H292"/>
    <mergeCell ref="AC8:AC10"/>
    <mergeCell ref="AL8:AL10"/>
    <mergeCell ref="BD8:BD10"/>
    <mergeCell ref="AQ8:AQ10"/>
    <mergeCell ref="AH8:AH10"/>
    <mergeCell ref="BB8:BB10"/>
    <mergeCell ref="AM8:AM10"/>
    <mergeCell ref="AN8:AN10"/>
    <mergeCell ref="AP8:AP10"/>
    <mergeCell ref="AR8:AR10"/>
    <mergeCell ref="AY8:AY10"/>
    <mergeCell ref="AX8:AX10"/>
  </mergeCells>
  <phoneticPr fontId="52" type="noConversion"/>
  <hyperlinks>
    <hyperlink ref="BG2" location="Form!A1" tooltip=" " display="Form!A1" xr:uid="{00000000-0004-0000-2A00-000000000000}"/>
    <hyperlink ref="BG3" location="Menu!A1" tooltip=" " display="Menu!A1" xr:uid="{00000000-0004-0000-2A00-000001000000}"/>
    <hyperlink ref="BG7" location="Sum!A1" tooltip=" " display="Sum!A1" xr:uid="{00000000-0004-0000-2A00-000002000000}"/>
    <hyperlink ref="BG4" location="Acs!A1" tooltip=" " display="Acs!A1" xr:uid="{00000000-0004-0000-2A00-000003000000}"/>
    <hyperlink ref="BG5" location="SD!A1" tooltip=" " display="SD!A1" xr:uid="{00000000-0004-0000-2A00-000004000000}"/>
    <hyperlink ref="BG6" location="AL!A1" tooltip=" " display="AL!A1" xr:uid="{00000000-0004-0000-2A00-000005000000}"/>
  </hyperlinks>
  <pageMargins left="0.31496062992125984" right="0.19685039370078741" top="0.19685039370078741" bottom="0.59055118110236227" header="0" footer="0"/>
  <pageSetup paperSize="9" scale="85" orientation="portrait" horizontalDpi="300" verticalDpi="300" r:id="rId1"/>
  <headerFooter alignWithMargins="0"/>
  <cellWatches>
    <cellWatch r="M2"/>
  </cellWatches>
  <ignoredErrors>
    <ignoredError sqref="J271:K274 G271:H274 B271:D274 I271:I274" unlockedFormula="1"/>
    <ignoredError sqref="F14" formula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7"/>
  <dimension ref="B1:E444"/>
  <sheetViews>
    <sheetView workbookViewId="0">
      <selection activeCell="H321" sqref="H321"/>
    </sheetView>
  </sheetViews>
  <sheetFormatPr defaultColWidth="9.1796875" defaultRowHeight="11.5" x14ac:dyDescent="0.25"/>
  <cols>
    <col min="1" max="1" width="3.453125" style="96" customWidth="1"/>
    <col min="2" max="2" width="64.81640625" style="98" customWidth="1"/>
    <col min="3" max="3" width="74.453125" style="96" customWidth="1"/>
    <col min="4" max="16384" width="9.1796875" style="96"/>
  </cols>
  <sheetData>
    <row r="1" spans="2:3" ht="12.5" x14ac:dyDescent="0.25">
      <c r="B1" s="95">
        <f>Form!$U$9</f>
        <v>2</v>
      </c>
      <c r="C1" s="110" t="str">
        <f>$B$113</f>
        <v>Zpět na úvod</v>
      </c>
    </row>
    <row r="2" spans="2:3" x14ac:dyDescent="0.25">
      <c r="B2" s="97"/>
    </row>
    <row r="3" spans="2:3" x14ac:dyDescent="0.25">
      <c r="B3" s="103" t="str">
        <f>IF($B$1=1,#REF!,C3)</f>
        <v>Údaje pro objednávku, zadání slevy od prodejce</v>
      </c>
      <c r="C3" s="96" t="s">
        <v>168</v>
      </c>
    </row>
    <row r="4" spans="2:3" x14ac:dyDescent="0.25">
      <c r="B4" s="103" t="str">
        <f>IF($B$1=1,#REF!,C4)</f>
        <v>Výběr zásuvek a výsuvů</v>
      </c>
      <c r="C4" s="96" t="s">
        <v>198</v>
      </c>
    </row>
    <row r="5" spans="2:3" x14ac:dyDescent="0.25">
      <c r="B5" s="103" t="str">
        <f>IF($B$1=1,#REF!,C5)</f>
        <v>Výběr doplňků</v>
      </c>
      <c r="C5" s="96" t="s">
        <v>211</v>
      </c>
    </row>
    <row r="6" spans="2:3" x14ac:dyDescent="0.25">
      <c r="B6" s="241" t="s">
        <v>319</v>
      </c>
      <c r="C6" s="179" t="s">
        <v>319</v>
      </c>
    </row>
    <row r="7" spans="2:3" x14ac:dyDescent="0.25">
      <c r="B7" s="103" t="str">
        <f>IF($B$1=1,#REF!,C7)</f>
        <v>Výběr AMBIA-LINE</v>
      </c>
      <c r="C7" s="179" t="s">
        <v>415</v>
      </c>
    </row>
    <row r="8" spans="2:3" x14ac:dyDescent="0.25">
      <c r="B8" s="97">
        <f>IF($B$1=1,#REF!,C8)</f>
        <v>0</v>
      </c>
    </row>
    <row r="9" spans="2:3" x14ac:dyDescent="0.25">
      <c r="B9" s="103" t="str">
        <f>IF($B$1=1,#REF!,C9)</f>
        <v>Tato aplikace slouží k snadnějšímu objednávání kování.</v>
      </c>
      <c r="C9" s="96" t="s">
        <v>170</v>
      </c>
    </row>
    <row r="10" spans="2:3" x14ac:dyDescent="0.25">
      <c r="B10" s="97">
        <f>IF($B$1=1,#REF!,C10)</f>
        <v>0</v>
      </c>
    </row>
    <row r="11" spans="2:3" x14ac:dyDescent="0.25">
      <c r="B11" s="103" t="str">
        <f>IF($B$1=1,#REF!,C11)</f>
        <v>Zpět na</v>
      </c>
      <c r="C11" s="96" t="s">
        <v>207</v>
      </c>
    </row>
    <row r="12" spans="2:3" x14ac:dyDescent="0.25">
      <c r="B12" s="103" t="str">
        <f>IF($B$1=1,#REF!,C12)</f>
        <v>Pokračovat na</v>
      </c>
      <c r="C12" s="96" t="s">
        <v>208</v>
      </c>
    </row>
    <row r="13" spans="2:3" x14ac:dyDescent="0.25">
      <c r="B13" s="103" t="str">
        <f>IF($B$1=1,#REF!,C13)</f>
        <v>Úvod</v>
      </c>
      <c r="C13" s="96" t="s">
        <v>180</v>
      </c>
    </row>
    <row r="14" spans="2:3" x14ac:dyDescent="0.25">
      <c r="B14" s="103" t="str">
        <f>IF($B$1=1,#REF!,C14)</f>
        <v>Zásuvky a výsuvy</v>
      </c>
      <c r="C14" s="96" t="s">
        <v>209</v>
      </c>
    </row>
    <row r="15" spans="2:3" x14ac:dyDescent="0.25">
      <c r="B15" s="103" t="str">
        <f>IF($B$1=1,#REF!,C15)</f>
        <v>Přehled</v>
      </c>
      <c r="C15" s="96" t="s">
        <v>190</v>
      </c>
    </row>
    <row r="16" spans="2:3" x14ac:dyDescent="0.25">
      <c r="B16" s="103" t="str">
        <f>IF($B$1=1,#REF!,C16)</f>
        <v>Nápověda</v>
      </c>
      <c r="C16" s="96" t="s">
        <v>115</v>
      </c>
    </row>
    <row r="17" spans="2:3" x14ac:dyDescent="0.25">
      <c r="B17" s="98" t="str">
        <f>IF($B$1=1,#REF!,C17)</f>
        <v>Odkazy</v>
      </c>
      <c r="C17" s="96" t="s">
        <v>116</v>
      </c>
    </row>
    <row r="18" spans="2:3" x14ac:dyDescent="0.25">
      <c r="B18" s="103" t="str">
        <f>IF($B$1=1,#REF!,C18)</f>
        <v>Souhrn</v>
      </c>
      <c r="C18" s="96" t="s">
        <v>210</v>
      </c>
    </row>
    <row r="19" spans="2:3" x14ac:dyDescent="0.25">
      <c r="B19" s="103" t="str">
        <f>IF($B$1=1,#REF!,C19)</f>
        <v>Vybrané zásuvky</v>
      </c>
      <c r="C19" s="96" t="s">
        <v>191</v>
      </c>
    </row>
    <row r="20" spans="2:3" x14ac:dyDescent="0.25">
      <c r="B20" s="103" t="str">
        <f>IF($B$1=1,#REF!,C20)</f>
        <v>Objednávka</v>
      </c>
      <c r="C20" s="96" t="s">
        <v>117</v>
      </c>
    </row>
    <row r="21" spans="2:3" x14ac:dyDescent="0.25">
      <c r="B21" s="103" t="str">
        <f>IF($B$1=1,#REF!,C21)</f>
        <v>Doplňky</v>
      </c>
      <c r="C21" s="96" t="s">
        <v>118</v>
      </c>
    </row>
    <row r="22" spans="2:3" x14ac:dyDescent="0.25">
      <c r="B22" s="103" t="str">
        <f>IF($B$1=1,#REF!,C22)</f>
        <v>Soupis kování</v>
      </c>
      <c r="C22" s="96" t="s">
        <v>119</v>
      </c>
    </row>
    <row r="23" spans="2:3" x14ac:dyDescent="0.25">
      <c r="B23" s="103" t="str">
        <f>IF($B$1=1,#REF!,C23)</f>
        <v>Volitelně</v>
      </c>
      <c r="C23" s="96" t="s">
        <v>212</v>
      </c>
    </row>
    <row r="24" spans="2:3" x14ac:dyDescent="0.25">
      <c r="B24" s="103" t="str">
        <f>IF($B$1=1,#REF!,C24)</f>
        <v>Základní údaje</v>
      </c>
      <c r="C24" s="96" t="s">
        <v>120</v>
      </c>
    </row>
    <row r="25" spans="2:3" x14ac:dyDescent="0.25">
      <c r="B25" s="103" t="str">
        <f>IF($B$1=1,#REF!,C25)</f>
        <v>Informace k objednávání</v>
      </c>
      <c r="C25" s="96" t="s">
        <v>45</v>
      </c>
    </row>
    <row r="26" spans="2:3" x14ac:dyDescent="0.25">
      <c r="B26" s="97">
        <f>IF($B$1=1,#REF!,C26)</f>
        <v>0</v>
      </c>
    </row>
    <row r="27" spans="2:3" x14ac:dyDescent="0.25">
      <c r="B27" s="103" t="str">
        <f>IF($B$1=1,#REF!,C27)</f>
        <v>barva</v>
      </c>
      <c r="C27" s="96" t="s">
        <v>195</v>
      </c>
    </row>
    <row r="28" spans="2:3" x14ac:dyDescent="0.25">
      <c r="B28" s="103" t="str">
        <f>IF($B$1=1,#REF!,C28)</f>
        <v>Orion šedá</v>
      </c>
      <c r="C28" s="179" t="s">
        <v>416</v>
      </c>
    </row>
    <row r="29" spans="2:3" x14ac:dyDescent="0.25">
      <c r="B29" s="103" t="str">
        <f>IF($B$1=1,#REF!,C29)</f>
        <v>hedvábně bílá</v>
      </c>
      <c r="C29" s="96" t="s">
        <v>192</v>
      </c>
    </row>
    <row r="30" spans="2:3" x14ac:dyDescent="0.25">
      <c r="B30" s="103" t="str">
        <f>IF($B$1=1,#REF!,C30)</f>
        <v xml:space="preserve">Terra černá </v>
      </c>
      <c r="C30" s="179" t="s">
        <v>426</v>
      </c>
    </row>
    <row r="31" spans="2:3" x14ac:dyDescent="0.25">
      <c r="B31" s="103" t="str">
        <f>IF($B$1=1,#REF!,C31)</f>
        <v>Polární stříbrná</v>
      </c>
      <c r="C31" s="759" t="s">
        <v>1270</v>
      </c>
    </row>
    <row r="32" spans="2:3" x14ac:dyDescent="0.25">
      <c r="B32" s="103" t="str">
        <f>IF($B$1=1,#REF!,C32)</f>
        <v>Inox</v>
      </c>
      <c r="C32" s="179" t="s">
        <v>425</v>
      </c>
    </row>
    <row r="33" spans="2:3" x14ac:dyDescent="0.25">
      <c r="B33" s="103" t="str">
        <f>IF($B$1=1,#REF!,C33)</f>
        <v>Nebraska dub/OG-M</v>
      </c>
      <c r="C33" s="179" t="s">
        <v>760</v>
      </c>
    </row>
    <row r="34" spans="2:3" x14ac:dyDescent="0.25">
      <c r="B34" s="103" t="str">
        <f>IF($B$1=1,#REF!,C34)</f>
        <v>Bardolino dub/SW-M</v>
      </c>
      <c r="C34" s="179" t="s">
        <v>761</v>
      </c>
    </row>
    <row r="35" spans="2:3" x14ac:dyDescent="0.25">
      <c r="B35" s="103" t="str">
        <f>IF($B$1=1,#REF!,C35)</f>
        <v>Tennessee ořech/TS-M</v>
      </c>
      <c r="C35" s="179" t="s">
        <v>762</v>
      </c>
    </row>
    <row r="36" spans="2:3" x14ac:dyDescent="0.25">
      <c r="B36" s="103" t="str">
        <f>IF($B$1=1,#REF!,C36)</f>
        <v>sklo</v>
      </c>
      <c r="C36" s="96" t="s">
        <v>196</v>
      </c>
    </row>
    <row r="37" spans="2:3" x14ac:dyDescent="0.25">
      <c r="B37" s="103" t="str">
        <f>IF($B$1=1,#REF!,C37)</f>
        <v>čiré</v>
      </c>
      <c r="C37" s="96" t="s">
        <v>193</v>
      </c>
    </row>
    <row r="38" spans="2:3" x14ac:dyDescent="0.25">
      <c r="B38" s="103" t="str">
        <f>IF($B$1=1,#REF!,C38)</f>
        <v>saténované</v>
      </c>
      <c r="C38" s="96" t="s">
        <v>194</v>
      </c>
    </row>
    <row r="39" spans="2:3" x14ac:dyDescent="0.25">
      <c r="B39" s="97"/>
    </row>
    <row r="40" spans="2:3" x14ac:dyDescent="0.25">
      <c r="B40" s="103" t="str">
        <f>IF($B$1=1,#REF!,C40)</f>
        <v>čelní kování</v>
      </c>
      <c r="C40" s="96" t="s">
        <v>197</v>
      </c>
    </row>
    <row r="41" spans="2:3" x14ac:dyDescent="0.25">
      <c r="B41" s="103" t="str">
        <f>IF($B$1=1,#REF!,C41)</f>
        <v>na vruty</v>
      </c>
      <c r="C41" s="96" t="s">
        <v>114</v>
      </c>
    </row>
    <row r="42" spans="2:3" x14ac:dyDescent="0.25">
      <c r="B42" s="97">
        <f>IF($B$1=1,#REF!,C42)</f>
        <v>0</v>
      </c>
    </row>
    <row r="43" spans="2:3" x14ac:dyDescent="0.25">
      <c r="B43" s="103" t="str">
        <f>IF($B$1=1,#REF!,C43)</f>
        <v>barva relingu</v>
      </c>
      <c r="C43" s="96" t="s">
        <v>1026</v>
      </c>
    </row>
    <row r="44" spans="2:3" x14ac:dyDescent="0.25">
      <c r="B44" s="103" t="str">
        <f>IF($B$1=1,#REF!,C44)</f>
        <v>barva plastových dílů</v>
      </c>
      <c r="C44" s="96" t="s">
        <v>1027</v>
      </c>
    </row>
    <row r="45" spans="2:3" x14ac:dyDescent="0.25">
      <c r="B45" s="97">
        <f>IF($B$1=1,#REF!,C45)</f>
        <v>0</v>
      </c>
    </row>
    <row r="46" spans="2:3" x14ac:dyDescent="0.25">
      <c r="B46" s="103" t="str">
        <f>IF($B$1=1,#REF!,C46)</f>
        <v>Standardní materiály</v>
      </c>
      <c r="C46" s="669" t="s">
        <v>1335</v>
      </c>
    </row>
    <row r="47" spans="2:3" x14ac:dyDescent="0.25">
      <c r="B47" s="103" t="str">
        <f>IF($B$1=1,#REF!,C47)</f>
        <v>Tenké materiály</v>
      </c>
      <c r="C47" s="669" t="s">
        <v>1336</v>
      </c>
    </row>
    <row r="48" spans="2:3" x14ac:dyDescent="0.25">
      <c r="B48" s="103" t="str">
        <f>IF($B$1=1,#REF!,C48)</f>
        <v>Materiály tloušťky 8 až 14 mm</v>
      </c>
      <c r="C48" s="669" t="s">
        <v>1337</v>
      </c>
    </row>
    <row r="49" spans="2:3" ht="12.75" customHeight="1" x14ac:dyDescent="0.25">
      <c r="B49" s="97">
        <f>IF($B$1=1,#REF!,C49)</f>
        <v>0</v>
      </c>
      <c r="C49" s="97"/>
    </row>
    <row r="50" spans="2:3" x14ac:dyDescent="0.25">
      <c r="B50" s="103" t="str">
        <f>IF($B$1=1,#REF!,C50)</f>
        <v>Zásuvka</v>
      </c>
      <c r="C50" s="96" t="s">
        <v>172</v>
      </c>
    </row>
    <row r="51" spans="2:3" x14ac:dyDescent="0.25">
      <c r="B51" s="103" t="str">
        <f>IF($B$1=1,#REF!,C51)</f>
        <v>Vnitřní zásuvka</v>
      </c>
      <c r="C51" s="96" t="s">
        <v>173</v>
      </c>
    </row>
    <row r="52" spans="2:3" x14ac:dyDescent="0.25">
      <c r="B52" s="103" t="str">
        <f>IF($B$1=1,#REF!,C52)</f>
        <v>Čelní výsuv</v>
      </c>
      <c r="C52" s="96" t="s">
        <v>174</v>
      </c>
    </row>
    <row r="53" spans="2:3" x14ac:dyDescent="0.25">
      <c r="B53" s="103" t="str">
        <f>IF($B$1=1,#REF!,C53)</f>
        <v>Vnitřní výsuv</v>
      </c>
      <c r="C53" s="96" t="s">
        <v>175</v>
      </c>
    </row>
    <row r="54" spans="2:3" s="97" customFormat="1" x14ac:dyDescent="0.25">
      <c r="B54" s="103" t="str">
        <f>IF($B$1=1,#REF!,C54)</f>
        <v>Dřezová zásuvka</v>
      </c>
      <c r="C54" s="97" t="s">
        <v>176</v>
      </c>
    </row>
    <row r="55" spans="2:3" s="97" customFormat="1" x14ac:dyDescent="0.25">
      <c r="B55" s="103" t="str">
        <f>IF($B$1=1,#REF!,C55)</f>
        <v>Dřezový výsuv</v>
      </c>
      <c r="C55" s="97" t="s">
        <v>177</v>
      </c>
    </row>
    <row r="56" spans="2:3" s="97" customFormat="1" x14ac:dyDescent="0.25"/>
    <row r="57" spans="2:3" x14ac:dyDescent="0.25">
      <c r="B57" s="103" t="str">
        <f>IF($B$1=1,#REF!,C57)</f>
        <v>Zásuvky</v>
      </c>
      <c r="C57" s="96" t="s">
        <v>182</v>
      </c>
    </row>
    <row r="58" spans="2:3" x14ac:dyDescent="0.25">
      <c r="B58" s="103" t="str">
        <f>IF($B$1=1,#REF!,C58)</f>
        <v>Vnitřní zásuvky</v>
      </c>
      <c r="C58" s="96" t="s">
        <v>183</v>
      </c>
    </row>
    <row r="59" spans="2:3" x14ac:dyDescent="0.25">
      <c r="B59" s="103" t="str">
        <f>IF($B$1=1,#REF!,C59)</f>
        <v>Čelní výsuvy</v>
      </c>
      <c r="C59" s="96" t="s">
        <v>184</v>
      </c>
    </row>
    <row r="60" spans="2:3" x14ac:dyDescent="0.25">
      <c r="B60" s="103" t="str">
        <f>IF($B$1=1,#REF!,C60)</f>
        <v>Vnitřní výsuvy</v>
      </c>
      <c r="C60" s="96" t="s">
        <v>185</v>
      </c>
    </row>
    <row r="61" spans="2:3" s="97" customFormat="1" x14ac:dyDescent="0.25">
      <c r="B61" s="103" t="str">
        <f>IF($B$1=1,#REF!,C61)</f>
        <v>Dřezové zásuvky a výsuvy</v>
      </c>
      <c r="C61" s="180" t="s">
        <v>21</v>
      </c>
    </row>
    <row r="62" spans="2:3" s="97" customFormat="1" x14ac:dyDescent="0.25">
      <c r="B62" s="103" t="str">
        <f>IF($B$1=1,#REF!,C62)</f>
        <v>Dřezové výsuvy</v>
      </c>
      <c r="C62" s="97" t="s">
        <v>186</v>
      </c>
    </row>
    <row r="63" spans="2:3" s="97" customFormat="1" x14ac:dyDescent="0.25">
      <c r="B63" s="103" t="str">
        <f>IF($B$1=1,#REF!,C63)</f>
        <v>pro úzké korpusy</v>
      </c>
      <c r="C63" s="165" t="s">
        <v>123</v>
      </c>
    </row>
    <row r="64" spans="2:3" s="97" customFormat="1" x14ac:dyDescent="0.25">
      <c r="B64" s="103" t="str">
        <f>IF($B$1=1,#REF!,C64)</f>
        <v>sestava</v>
      </c>
      <c r="C64" s="165" t="s">
        <v>124</v>
      </c>
    </row>
    <row r="65" spans="2:3" s="97" customFormat="1" x14ac:dyDescent="0.25"/>
    <row r="66" spans="2:3" s="97" customFormat="1" x14ac:dyDescent="0.25">
      <c r="B66" s="103" t="str">
        <f>IF($B$1=1,#REF!,C66)</f>
        <v>Přední zásuvné prvky</v>
      </c>
      <c r="C66" s="548" t="s">
        <v>890</v>
      </c>
    </row>
    <row r="67" spans="2:3" s="97" customFormat="1" x14ac:dyDescent="0.25">
      <c r="B67" s="103" t="str">
        <f>IF($B$1=1,#REF!,C67)</f>
        <v>přední zásuvný prvek</v>
      </c>
      <c r="C67" s="548" t="s">
        <v>891</v>
      </c>
    </row>
    <row r="68" spans="2:3" s="97" customFormat="1" x14ac:dyDescent="0.25">
      <c r="B68" s="103" t="str">
        <f>IF($B$1=1,#REF!,C68)</f>
        <v>Boční zásuvné prvky</v>
      </c>
      <c r="C68" s="548" t="s">
        <v>892</v>
      </c>
    </row>
    <row r="69" spans="2:3" s="97" customFormat="1" x14ac:dyDescent="0.25">
      <c r="B69" s="103" t="str">
        <f>IF($B$1=1,#REF!,C69)</f>
        <v>vysoký</v>
      </c>
      <c r="C69" s="180" t="s">
        <v>418</v>
      </c>
    </row>
    <row r="70" spans="2:3" s="97" customFormat="1" x14ac:dyDescent="0.25">
      <c r="B70" s="103" t="str">
        <f>IF($B$1=1,#REF!,C70)</f>
        <v>nízký</v>
      </c>
      <c r="C70" s="180" t="s">
        <v>417</v>
      </c>
    </row>
    <row r="71" spans="2:3" s="97" customFormat="1" x14ac:dyDescent="0.25">
      <c r="B71" s="103" t="str">
        <f>IF($B$1=1,#REF!,C71)</f>
        <v>Vlastní zásuvné prvky</v>
      </c>
      <c r="C71" s="180" t="s">
        <v>5</v>
      </c>
    </row>
    <row r="72" spans="2:3" x14ac:dyDescent="0.25">
      <c r="B72" s="103" t="str">
        <f>IF($B$1=1,#REF!,C72)</f>
        <v>přední reling</v>
      </c>
      <c r="C72" s="179" t="s">
        <v>405</v>
      </c>
    </row>
    <row r="73" spans="2:3" s="97" customFormat="1" x14ac:dyDescent="0.25"/>
    <row r="74" spans="2:3" s="97" customFormat="1" x14ac:dyDescent="0.25"/>
    <row r="75" spans="2:3" s="97" customFormat="1" x14ac:dyDescent="0.25">
      <c r="B75" s="103" t="str">
        <f>IF($B$1=1,#REF!,C75)</f>
        <v>šířka</v>
      </c>
      <c r="C75" s="97" t="s">
        <v>675</v>
      </c>
    </row>
    <row r="76" spans="2:3" s="97" customFormat="1" x14ac:dyDescent="0.25">
      <c r="B76" s="103" t="str">
        <f>IF($B$1=1,#REF!,C76)</f>
        <v>výška</v>
      </c>
      <c r="C76" s="97" t="s">
        <v>676</v>
      </c>
    </row>
    <row r="77" spans="2:3" s="97" customFormat="1" x14ac:dyDescent="0.25">
      <c r="B77" s="103" t="str">
        <f>IF($B$1=1,#REF!,C77)</f>
        <v>délka</v>
      </c>
      <c r="C77" s="180" t="s">
        <v>728</v>
      </c>
    </row>
    <row r="78" spans="2:3" x14ac:dyDescent="0.25">
      <c r="B78" s="97"/>
    </row>
    <row r="79" spans="2:3" x14ac:dyDescent="0.25">
      <c r="B79" s="103" t="str">
        <f>IF($B$1=1,#REF!,C79)</f>
        <v>označení</v>
      </c>
      <c r="C79" s="96" t="s">
        <v>187</v>
      </c>
    </row>
    <row r="80" spans="2:3" x14ac:dyDescent="0.25">
      <c r="B80" s="103" t="str">
        <f>IF($B$1=1,#REF!,C80)</f>
        <v>bočnice</v>
      </c>
      <c r="C80" s="96" t="s">
        <v>188</v>
      </c>
    </row>
    <row r="81" spans="2:3" x14ac:dyDescent="0.25">
      <c r="B81" s="103" t="str">
        <f>IF($B$1=1,#REF!,C81)</f>
        <v>provedení</v>
      </c>
      <c r="C81" s="548" t="s">
        <v>889</v>
      </c>
    </row>
    <row r="82" spans="2:3" x14ac:dyDescent="0.25">
      <c r="B82" s="103" t="str">
        <f>IF($B$1=1,#REF!,C82)</f>
        <v>provedení čel</v>
      </c>
      <c r="C82" s="669" t="s">
        <v>1334</v>
      </c>
    </row>
    <row r="83" spans="2:3" x14ac:dyDescent="0.25">
      <c r="B83" s="103" t="str">
        <f>IF($B$1=1,#REF!,C83)</f>
        <v>provedení dveří</v>
      </c>
      <c r="C83" s="669" t="s">
        <v>1401</v>
      </c>
    </row>
    <row r="84" spans="2:3" s="97" customFormat="1" x14ac:dyDescent="0.25">
      <c r="B84" s="103" t="str">
        <f>IF($B$1=1,#REF!,C84)</f>
        <v>potřebný prostor</v>
      </c>
      <c r="C84" s="97" t="s">
        <v>189</v>
      </c>
    </row>
    <row r="85" spans="2:3" s="97" customFormat="1" x14ac:dyDescent="0.25">
      <c r="B85" s="103" t="str">
        <f>IF($B$1=1,#REF!,C85)</f>
        <v>Vhodné pro</v>
      </c>
      <c r="C85" s="180" t="s">
        <v>57</v>
      </c>
    </row>
    <row r="86" spans="2:3" s="97" customFormat="1" x14ac:dyDescent="0.25"/>
    <row r="87" spans="2:3" x14ac:dyDescent="0.25">
      <c r="B87" s="97"/>
    </row>
    <row r="88" spans="2:3" x14ac:dyDescent="0.25">
      <c r="B88" s="103" t="str">
        <f>IF($B$1=1,#REF!,C88)</f>
        <v>Cenová hladina</v>
      </c>
      <c r="C88" s="96" t="s">
        <v>94</v>
      </c>
    </row>
    <row r="89" spans="2:3" x14ac:dyDescent="0.25">
      <c r="B89" s="103" t="str">
        <f>IF($B$1=1,#REF!,C89)</f>
        <v>Základní ceny</v>
      </c>
      <c r="C89" s="96" t="s">
        <v>95</v>
      </c>
    </row>
    <row r="90" spans="2:3" x14ac:dyDescent="0.25">
      <c r="B90" s="103" t="str">
        <f>IF($B$1=1,#REF!,C90)</f>
        <v>Nákupní ceny</v>
      </c>
      <c r="C90" s="96" t="s">
        <v>96</v>
      </c>
    </row>
    <row r="91" spans="2:3" s="97" customFormat="1" x14ac:dyDescent="0.25">
      <c r="B91" s="103" t="str">
        <f>IF($B$1=1,#REF!,C91)</f>
        <v>Se slevou</v>
      </c>
      <c r="C91" s="97" t="s">
        <v>97</v>
      </c>
    </row>
    <row r="92" spans="2:3" s="97" customFormat="1" x14ac:dyDescent="0.25">
      <c r="B92" s="103" t="str">
        <f>IF($B$1=1,#REF!,C92)</f>
        <v>Zadejte výši slevy</v>
      </c>
      <c r="C92" s="97" t="s">
        <v>98</v>
      </c>
    </row>
    <row r="93" spans="2:3" s="97" customFormat="1" x14ac:dyDescent="0.25">
      <c r="B93" s="103" t="str">
        <f>IF($B$1=1,#REF!,C93)</f>
        <v>Ceny s volitelnou slevou</v>
      </c>
      <c r="C93" s="96" t="s">
        <v>99</v>
      </c>
    </row>
    <row r="94" spans="2:3" x14ac:dyDescent="0.25">
      <c r="B94" s="103" t="str">
        <f>IF($B$1=1,#REF!,C94)</f>
        <v>Ceny se slevou od prodejce</v>
      </c>
      <c r="C94" s="96" t="s">
        <v>100</v>
      </c>
    </row>
    <row r="95" spans="2:3" x14ac:dyDescent="0.25">
      <c r="B95" s="103" t="str">
        <f>IF($B$1=1,#REF!,C95)</f>
        <v>Nastavit</v>
      </c>
      <c r="C95" s="96" t="s">
        <v>101</v>
      </c>
    </row>
    <row r="96" spans="2:3" x14ac:dyDescent="0.25">
      <c r="B96" s="99"/>
    </row>
    <row r="97" spans="2:3" x14ac:dyDescent="0.25">
      <c r="B97" s="103" t="str">
        <f>IF($B$1=1,#REF!,C97)</f>
        <v>cena kování</v>
      </c>
      <c r="C97" s="179" t="s">
        <v>527</v>
      </c>
    </row>
    <row r="98" spans="2:3" x14ac:dyDescent="0.25">
      <c r="B98" s="103" t="str">
        <f>IF($B$1=1,#REF!,C98)</f>
        <v>Název</v>
      </c>
      <c r="C98" s="96" t="s">
        <v>102</v>
      </c>
    </row>
    <row r="99" spans="2:3" x14ac:dyDescent="0.25">
      <c r="B99" s="103" t="str">
        <f>IF($B$1=1,#REF!,C99)</f>
        <v>Číslo artiklu</v>
      </c>
      <c r="C99" s="96" t="s">
        <v>103</v>
      </c>
    </row>
    <row r="100" spans="2:3" x14ac:dyDescent="0.25">
      <c r="B100" s="103" t="str">
        <f>IF($B$1=1,#REF!,C100)</f>
        <v>Barva</v>
      </c>
      <c r="C100" s="96" t="s">
        <v>237</v>
      </c>
    </row>
    <row r="101" spans="2:3" x14ac:dyDescent="0.25">
      <c r="B101" s="103" t="str">
        <f>IF($B$1=1,#REF!,C101)</f>
        <v>Počet</v>
      </c>
      <c r="C101" s="96" t="s">
        <v>230</v>
      </c>
    </row>
    <row r="102" spans="2:3" x14ac:dyDescent="0.25">
      <c r="B102" s="103" t="str">
        <f>IF($B$1=1,#REF!,C102)</f>
        <v>Počet skříní</v>
      </c>
      <c r="C102" s="179" t="s">
        <v>706</v>
      </c>
    </row>
    <row r="103" spans="2:3" x14ac:dyDescent="0.25">
      <c r="B103" s="103" t="str">
        <f>IF($B$1=1,#REF!,C103)</f>
        <v>Celkový počet ks</v>
      </c>
      <c r="C103" s="179" t="s">
        <v>644</v>
      </c>
    </row>
    <row r="104" spans="2:3" x14ac:dyDescent="0.25">
      <c r="B104" s="103" t="str">
        <f>IF($B$1=1,#REF!,C104)</f>
        <v>Dostupnost</v>
      </c>
      <c r="C104" s="179" t="s">
        <v>757</v>
      </c>
    </row>
    <row r="105" spans="2:3" x14ac:dyDescent="0.25">
      <c r="B105" s="103" t="str">
        <f>IF($B$1=1,#REF!,C105)</f>
        <v>Ks</v>
      </c>
      <c r="C105" s="96" t="s">
        <v>104</v>
      </c>
    </row>
    <row r="106" spans="2:3" x14ac:dyDescent="0.25">
      <c r="B106" s="103" t="str">
        <f>IF($B$1=1,#REF!,C106)</f>
        <v>Jednotková cena</v>
      </c>
      <c r="C106" s="96" t="s">
        <v>105</v>
      </c>
    </row>
    <row r="107" spans="2:3" x14ac:dyDescent="0.25">
      <c r="B107" s="103" t="str">
        <f>IF($B$1=1,#REF!,C107)</f>
        <v>Celkem</v>
      </c>
      <c r="C107" s="96" t="s">
        <v>106</v>
      </c>
    </row>
    <row r="108" spans="2:3" x14ac:dyDescent="0.25">
      <c r="B108" s="103" t="str">
        <f>IF($B$1=1,#REF!,C108)</f>
        <v>Změna</v>
      </c>
      <c r="C108" s="96" t="s">
        <v>107</v>
      </c>
    </row>
    <row r="109" spans="2:3" x14ac:dyDescent="0.25">
      <c r="B109" s="103" t="str">
        <f>IF($B$1=1,#REF!,C109)</f>
        <v>Cena celkem bez DPH</v>
      </c>
      <c r="C109" s="96" t="s">
        <v>108</v>
      </c>
    </row>
    <row r="110" spans="2:3" x14ac:dyDescent="0.25">
      <c r="B110" s="103" t="str">
        <f>IF($B$1=1,#REF!,C110)</f>
        <v>Kč</v>
      </c>
      <c r="C110" s="96" t="s">
        <v>109</v>
      </c>
    </row>
    <row r="111" spans="2:3" x14ac:dyDescent="0.25">
      <c r="B111" s="97">
        <f>IF($B$1=1,#REF!,C111)</f>
        <v>0</v>
      </c>
    </row>
    <row r="112" spans="2:3" x14ac:dyDescent="0.25">
      <c r="B112" s="103" t="str">
        <f>IF($B$1=1,#REF!,C112)</f>
        <v>Zpět</v>
      </c>
      <c r="C112" s="96" t="s">
        <v>121</v>
      </c>
    </row>
    <row r="113" spans="2:3" x14ac:dyDescent="0.25">
      <c r="B113" s="103" t="str">
        <f>IF($B$1=1,#REF!,C113)</f>
        <v>Zpět na úvod</v>
      </c>
      <c r="C113" s="96" t="s">
        <v>238</v>
      </c>
    </row>
    <row r="114" spans="2:3" x14ac:dyDescent="0.25">
      <c r="B114" s="97">
        <f>IF($B$1=1,#REF!,C114)</f>
        <v>0</v>
      </c>
    </row>
    <row r="115" spans="2:3" x14ac:dyDescent="0.25">
      <c r="B115" s="103" t="str">
        <f>IF($B$1=1,#REF!,C115)</f>
        <v>Šířka korpusu</v>
      </c>
      <c r="C115" s="96" t="s">
        <v>110</v>
      </c>
    </row>
    <row r="116" spans="2:3" x14ac:dyDescent="0.25">
      <c r="B116" s="103" t="str">
        <f>IF($B$1=1,#REF!,C116)</f>
        <v>pro zásuvky</v>
      </c>
      <c r="C116" s="179" t="s">
        <v>52</v>
      </c>
    </row>
    <row r="117" spans="2:3" x14ac:dyDescent="0.25">
      <c r="B117" s="103" t="str">
        <f>IF($B$1=1,#REF!,C117)</f>
        <v>pro čelní výsuvy</v>
      </c>
      <c r="C117" s="179" t="s">
        <v>53</v>
      </c>
    </row>
    <row r="118" spans="2:3" x14ac:dyDescent="0.25">
      <c r="B118" s="103" t="str">
        <f>IF($B$1=1,#REF!,C118)</f>
        <v>Jmenovitá délka</v>
      </c>
      <c r="C118" s="179" t="s">
        <v>704</v>
      </c>
    </row>
    <row r="119" spans="2:3" x14ac:dyDescent="0.25">
      <c r="B119" s="103" t="str">
        <f>IF($B$1=1,#REF!,C119)</f>
        <v>Design ocel</v>
      </c>
      <c r="C119" s="180" t="s">
        <v>419</v>
      </c>
    </row>
    <row r="120" spans="2:3" x14ac:dyDescent="0.25">
      <c r="B120" s="103" t="str">
        <f>IF($B$1=1,#REF!,C120)</f>
        <v>Design dřevo</v>
      </c>
      <c r="C120" s="180" t="s">
        <v>420</v>
      </c>
    </row>
    <row r="121" spans="2:3" x14ac:dyDescent="0.25">
      <c r="B121" s="103">
        <f>IF($B$1=1,#REF!,C121)</f>
        <v>0</v>
      </c>
      <c r="C121" s="180"/>
    </row>
    <row r="122" spans="2:3" x14ac:dyDescent="0.25">
      <c r="B122" s="103" t="str">
        <f>IF($B$1=1,#REF!,C122)</f>
        <v>Pro zásuvku</v>
      </c>
      <c r="C122" s="180" t="s">
        <v>729</v>
      </c>
    </row>
    <row r="123" spans="2:3" x14ac:dyDescent="0.25">
      <c r="B123" s="103" t="str">
        <f>IF($B$1=1,#REF!,C123)</f>
        <v>Pro čení výsuv</v>
      </c>
      <c r="C123" s="180" t="s">
        <v>730</v>
      </c>
    </row>
    <row r="124" spans="2:3" x14ac:dyDescent="0.25">
      <c r="B124" s="103" t="str">
        <f>IF($B$1=1,#REF!,C124)</f>
        <v>od jmenovité délky</v>
      </c>
      <c r="C124" s="180" t="s">
        <v>731</v>
      </c>
    </row>
    <row r="125" spans="2:3" x14ac:dyDescent="0.25">
      <c r="B125" s="103" t="str">
        <f>IF($B$1=1,#REF!,C125)</f>
        <v>Misky</v>
      </c>
      <c r="C125" s="180" t="s">
        <v>91</v>
      </c>
    </row>
    <row r="126" spans="2:3" x14ac:dyDescent="0.25">
      <c r="B126" s="103" t="str">
        <f>IF($B$1=1,#REF!,C126)</f>
        <v>Příčné dělící prvky</v>
      </c>
      <c r="C126" s="180" t="s">
        <v>92</v>
      </c>
    </row>
    <row r="127" spans="2:3" x14ac:dyDescent="0.25">
      <c r="B127" s="103" t="str">
        <f>IF($B$1=1,#REF!,C127)</f>
        <v>Pomůcky do kuchyně</v>
      </c>
      <c r="C127" s="180" t="s">
        <v>93</v>
      </c>
    </row>
    <row r="128" spans="2:3" x14ac:dyDescent="0.25">
      <c r="B128" s="103"/>
      <c r="C128" s="97"/>
    </row>
    <row r="129" spans="2:3" ht="12.5" x14ac:dyDescent="0.25">
      <c r="B129" s="103" t="str">
        <f>IF($B$1=1,#REF!,C129)</f>
        <v>Korpusové lišty</v>
      </c>
      <c r="C129" s="547" t="s">
        <v>705</v>
      </c>
    </row>
    <row r="130" spans="2:3" ht="12.5" x14ac:dyDescent="0.25">
      <c r="B130" s="103" t="str">
        <f>IF($B$1=1,#REF!,C130)</f>
        <v>Bočnice nahoře</v>
      </c>
      <c r="C130" s="547" t="s">
        <v>710</v>
      </c>
    </row>
    <row r="131" spans="2:3" ht="12.5" x14ac:dyDescent="0.25">
      <c r="B131" s="103" t="str">
        <f>IF($B$1=1,#REF!,C131)</f>
        <v>Bočnice dole</v>
      </c>
      <c r="C131" s="547" t="s">
        <v>711</v>
      </c>
    </row>
    <row r="132" spans="2:3" ht="12.5" x14ac:dyDescent="0.25">
      <c r="B132" s="103" t="str">
        <f>IF($B$1=1,#REF!,C132)</f>
        <v>pro mezistěnu</v>
      </c>
      <c r="C132" s="547" t="s">
        <v>202</v>
      </c>
    </row>
    <row r="133" spans="2:3" ht="12.5" x14ac:dyDescent="0.25">
      <c r="B133" s="103" t="str">
        <f>IF($B$1=1,#REF!,C133)</f>
        <v>Příčné dělení</v>
      </c>
      <c r="C133" s="547" t="s">
        <v>48</v>
      </c>
    </row>
    <row r="134" spans="2:3" ht="12.5" x14ac:dyDescent="0.25">
      <c r="B134" s="103" t="str">
        <f>IF($B$1=1,#REF!,C134)</f>
        <v>Podélné dělení</v>
      </c>
      <c r="C134" s="547" t="s">
        <v>229</v>
      </c>
    </row>
    <row r="135" spans="2:3" ht="12.5" x14ac:dyDescent="0.25">
      <c r="B135" s="103" t="str">
        <f>IF($B$1=1,#REF!,C135)</f>
        <v>Držák talířů</v>
      </c>
      <c r="C135" s="547" t="s">
        <v>244</v>
      </c>
    </row>
    <row r="136" spans="2:3" ht="12.5" x14ac:dyDescent="0.25">
      <c r="B136" s="103" t="str">
        <f>IF($B$1=1,#REF!,C136)</f>
        <v>Držáky talířů</v>
      </c>
      <c r="C136" s="547" t="s">
        <v>49</v>
      </c>
    </row>
    <row r="137" spans="2:3" ht="12.5" x14ac:dyDescent="0.25">
      <c r="B137" s="103" t="str">
        <f>IF($B$1=1,#REF!,C137)</f>
        <v>Držák nožů</v>
      </c>
      <c r="C137" s="547" t="s">
        <v>30</v>
      </c>
    </row>
    <row r="138" spans="2:3" ht="12.5" x14ac:dyDescent="0.25">
      <c r="B138" s="103" t="str">
        <f>IF($B$1=1,#REF!,C138)</f>
        <v>Mezistěna</v>
      </c>
      <c r="C138" s="547" t="s">
        <v>231</v>
      </c>
    </row>
    <row r="139" spans="2:3" ht="12.5" x14ac:dyDescent="0.25">
      <c r="B139" s="103" t="str">
        <f>IF($B$1=1,#REF!,C139)</f>
        <v>Mezistěny</v>
      </c>
      <c r="C139" s="547" t="s">
        <v>50</v>
      </c>
    </row>
    <row r="140" spans="2:3" ht="12.5" x14ac:dyDescent="0.25">
      <c r="B140" s="103" t="str">
        <f>IF($B$1=1,#REF!,C140)</f>
        <v>Stojánek na kořenky</v>
      </c>
      <c r="C140" s="547" t="s">
        <v>516</v>
      </c>
    </row>
    <row r="141" spans="2:3" ht="12.5" x14ac:dyDescent="0.25">
      <c r="B141" s="103" t="str">
        <f>IF($B$1=1,#REF!,C141)</f>
        <v>Držáky na kořenky</v>
      </c>
      <c r="C141" s="547" t="s">
        <v>51</v>
      </c>
    </row>
    <row r="142" spans="2:3" ht="12.5" x14ac:dyDescent="0.25">
      <c r="B142" s="103" t="str">
        <f>IF($B$1=1,#REF!,C142)</f>
        <v>Řezačka potravinové folie</v>
      </c>
      <c r="C142" s="547" t="s">
        <v>727</v>
      </c>
    </row>
    <row r="143" spans="2:3" ht="12.5" x14ac:dyDescent="0.25">
      <c r="B143" s="103" t="str">
        <f>IF($B$1=1,#REF!,C143)</f>
        <v>s fólií</v>
      </c>
      <c r="C143" s="547" t="s">
        <v>732</v>
      </c>
    </row>
    <row r="144" spans="2:3" ht="12.5" x14ac:dyDescent="0.25">
      <c r="B144" s="103" t="str">
        <f>IF($B$1=1,#REF!,C144)</f>
        <v>bez fólie</v>
      </c>
      <c r="C144" s="547" t="s">
        <v>733</v>
      </c>
    </row>
    <row r="145" spans="2:3" ht="12.5" x14ac:dyDescent="0.25">
      <c r="B145" s="103"/>
      <c r="C145" s="547"/>
    </row>
    <row r="146" spans="2:3" ht="12.5" x14ac:dyDescent="0.25">
      <c r="B146" s="103" t="str">
        <f>IF($B$1=1,#REF!,C146)</f>
        <v>Základní prvek</v>
      </c>
      <c r="C146" s="547" t="s">
        <v>205</v>
      </c>
    </row>
    <row r="147" spans="2:3" ht="12.5" x14ac:dyDescent="0.25">
      <c r="B147" s="103" t="str">
        <f>IF($B$1=1,#REF!,C147)</f>
        <v>Přířezy příčky</v>
      </c>
      <c r="C147" s="547" t="s">
        <v>203</v>
      </c>
    </row>
    <row r="148" spans="2:3" ht="12.5" x14ac:dyDescent="0.25">
      <c r="B148" s="103" t="str">
        <f>IF($B$1=1,#REF!,C148)</f>
        <v>Přířezy relingu</v>
      </c>
      <c r="C148" s="547" t="s">
        <v>61</v>
      </c>
    </row>
    <row r="149" spans="2:3" x14ac:dyDescent="0.25">
      <c r="B149" s="103" t="str">
        <f>IF($B$1=1,#REF!,C149)</f>
        <v>Přířezy prvků</v>
      </c>
      <c r="C149" s="100" t="s">
        <v>213</v>
      </c>
    </row>
    <row r="150" spans="2:3" x14ac:dyDescent="0.25">
      <c r="B150" s="103" t="str">
        <f>IF($B$1=1,#REF!,C150)</f>
        <v>Délky příček</v>
      </c>
      <c r="C150" s="100" t="s">
        <v>204</v>
      </c>
    </row>
    <row r="151" spans="2:3" x14ac:dyDescent="0.25">
      <c r="B151" s="103" t="str">
        <f>IF($B$1=1,#REF!,C151)</f>
        <v>Délka relingu</v>
      </c>
      <c r="C151" s="100" t="s">
        <v>60</v>
      </c>
    </row>
    <row r="152" spans="2:3" ht="12.5" x14ac:dyDescent="0.25">
      <c r="B152" s="103" t="str">
        <f>IF($B$1=1,#REF!,C152)</f>
        <v>Příčky</v>
      </c>
      <c r="C152" s="547" t="s">
        <v>206</v>
      </c>
    </row>
    <row r="153" spans="2:3" ht="12.5" x14ac:dyDescent="0.25">
      <c r="B153" s="103" t="str">
        <f>IF($B$1=1,#REF!,C153)</f>
        <v>Přední díl</v>
      </c>
      <c r="C153" s="547" t="s">
        <v>214</v>
      </c>
    </row>
    <row r="154" spans="2:3" ht="12.5" x14ac:dyDescent="0.25">
      <c r="B154" s="103" t="str">
        <f t="shared" ref="B154:B159" si="0">C154</f>
        <v>Příčný reling</v>
      </c>
      <c r="C154" s="547" t="s">
        <v>215</v>
      </c>
    </row>
    <row r="155" spans="2:3" ht="12.5" x14ac:dyDescent="0.25">
      <c r="B155" s="103" t="str">
        <f t="shared" si="0"/>
        <v>Příčný reling ke zkrácení</v>
      </c>
      <c r="C155" s="547" t="s">
        <v>59</v>
      </c>
    </row>
    <row r="156" spans="2:3" ht="12.5" x14ac:dyDescent="0.25">
      <c r="B156" s="103" t="str">
        <f t="shared" si="0"/>
        <v>Držák příčného relingu</v>
      </c>
      <c r="C156" s="547" t="s">
        <v>917</v>
      </c>
    </row>
    <row r="157" spans="2:3" ht="12.5" x14ac:dyDescent="0.25">
      <c r="B157" s="103" t="str">
        <f t="shared" si="0"/>
        <v>Podélné dělení pro reling</v>
      </c>
      <c r="C157" s="547" t="s">
        <v>62</v>
      </c>
    </row>
    <row r="158" spans="2:3" ht="12.5" x14ac:dyDescent="0.25">
      <c r="B158" s="103" t="str">
        <f t="shared" si="0"/>
        <v>Ostatní</v>
      </c>
      <c r="C158" s="547" t="s">
        <v>29</v>
      </c>
    </row>
    <row r="159" spans="2:3" ht="12.5" x14ac:dyDescent="0.25">
      <c r="B159" s="103" t="str">
        <f t="shared" si="0"/>
        <v>Závěsy pro potravinové skříně</v>
      </c>
      <c r="C159" s="547" t="s">
        <v>303</v>
      </c>
    </row>
    <row r="160" spans="2:3" x14ac:dyDescent="0.25">
      <c r="B160" s="97"/>
      <c r="C160" s="97"/>
    </row>
    <row r="161" spans="2:3" x14ac:dyDescent="0.25">
      <c r="B161" s="103" t="str">
        <f>IF($B$1=1,#REF!,C161)</f>
        <v>Pro každý výsuv je započítán jeden přední díl</v>
      </c>
      <c r="C161" s="97" t="s">
        <v>218</v>
      </c>
    </row>
    <row r="162" spans="2:3" x14ac:dyDescent="0.25">
      <c r="B162" s="103" t="str">
        <f>IF($B$1=1,#REF!,C162)</f>
        <v>Pro každý výsuv je započítán jeden přední díl a jeden příčný reling</v>
      </c>
      <c r="C162" s="97" t="s">
        <v>216</v>
      </c>
    </row>
    <row r="163" spans="2:3" x14ac:dyDescent="0.25">
      <c r="B163" s="103" t="str">
        <f>IF($B$1=1,#REF!,C163)</f>
        <v>Potřebný počet předních dílů upravte v objednávce</v>
      </c>
      <c r="C163" s="97" t="s">
        <v>219</v>
      </c>
    </row>
    <row r="164" spans="2:3" x14ac:dyDescent="0.25">
      <c r="B164" s="103" t="str">
        <f>IF($B$1=1,#REF!,C164)</f>
        <v>Potřebný počet předních dílů a relingů upravte v objednávce</v>
      </c>
      <c r="C164" s="97" t="s">
        <v>217</v>
      </c>
    </row>
    <row r="165" spans="2:3" x14ac:dyDescent="0.25">
      <c r="B165" s="103" t="str">
        <f>IF($B$1=1,#REF!,C165)</f>
        <v>Nastavené počty korpusových lišt</v>
      </c>
      <c r="C165" s="180" t="s">
        <v>707</v>
      </c>
    </row>
    <row r="166" spans="2:3" x14ac:dyDescent="0.25">
      <c r="B166" s="103" t="str">
        <f>IF($B$1=1,#REF!,C166)</f>
        <v>Doporučené počty korpusových lišt</v>
      </c>
      <c r="C166" s="97" t="s">
        <v>986</v>
      </c>
    </row>
    <row r="167" spans="2:3" x14ac:dyDescent="0.25">
      <c r="B167" s="103" t="str">
        <f>IF($B$1=1,#REF!,C167)</f>
        <v>Pokud chcete jiné složení, zadejte požadovaný počet 40kg korpusových lišt</v>
      </c>
      <c r="C167" s="180" t="s">
        <v>25</v>
      </c>
    </row>
    <row r="168" spans="2:3" x14ac:dyDescent="0.25">
      <c r="B168" s="103" t="str">
        <f>IF($B$1=1,#REF!,C168)</f>
        <v>70kg lišty se dopopočítají</v>
      </c>
      <c r="C168" s="180" t="s">
        <v>26</v>
      </c>
    </row>
    <row r="169" spans="2:3" x14ac:dyDescent="0.25">
      <c r="B169" s="103" t="str">
        <f>IF($B$1=1,#REF!,C169)</f>
        <v>Pozor!</v>
      </c>
      <c r="C169" s="180" t="s">
        <v>752</v>
      </c>
    </row>
    <row r="170" spans="2:3" x14ac:dyDescent="0.25">
      <c r="B170" s="103" t="str">
        <f>IF($B$1=1,#REF!,C170)</f>
        <v>Zadejte zásuvné prvky</v>
      </c>
      <c r="C170" s="180" t="s">
        <v>753</v>
      </c>
    </row>
    <row r="171" spans="2:3" x14ac:dyDescent="0.25">
      <c r="B171" s="103" t="str">
        <f>IF($B$1=1,#REF!,C171)</f>
        <v>Zadejte celkový počet předních zásuvných prvků pro příslušnou šířku korpusu</v>
      </c>
      <c r="C171" s="548" t="s">
        <v>893</v>
      </c>
    </row>
    <row r="172" spans="2:3" x14ac:dyDescent="0.25">
      <c r="B172" s="103" t="str">
        <f>IF($B$1=1,#REF!,C172)</f>
        <v>Boční zásuvné prvky se načtou automaticky</v>
      </c>
      <c r="C172" s="548" t="s">
        <v>894</v>
      </c>
    </row>
    <row r="173" spans="2:3" x14ac:dyDescent="0.25">
      <c r="B173" s="103" t="str">
        <f>IF($B$1=1,#REF!,C173)</f>
        <v>Složení čelních zásuvných prvků</v>
      </c>
      <c r="C173" s="548" t="s">
        <v>907</v>
      </c>
    </row>
    <row r="174" spans="2:3" x14ac:dyDescent="0.25">
      <c r="B174" s="103" t="str">
        <f>IF($B$1=1,#REF!,C174)</f>
        <v>Chcete-li jiné složení zásuvných prvků, upravte počty v objednávce</v>
      </c>
      <c r="C174" s="180" t="s">
        <v>7</v>
      </c>
    </row>
    <row r="175" spans="2:3" x14ac:dyDescent="0.25">
      <c r="B175" s="103" t="str">
        <f>IF($B$1=1,#REF!,C175)</f>
        <v>Máte-li zásuvné prvky vlastní, počty nezadávejte</v>
      </c>
      <c r="C175" s="180" t="s">
        <v>751</v>
      </c>
    </row>
    <row r="176" spans="2:3" x14ac:dyDescent="0.25">
      <c r="B176" s="103" t="str">
        <f>IF($B$1=1,#REF!,C176)</f>
        <v>Máte-li zásuvné prvky vlastní, upravte počty v objednávce</v>
      </c>
      <c r="C176" s="180" t="s">
        <v>6</v>
      </c>
    </row>
    <row r="177" spans="2:3" x14ac:dyDescent="0.25">
      <c r="B177" s="103" t="str">
        <f>IF($B$1=1,#REF!,C177)</f>
        <v>Chybí počty zásuvných prvků</v>
      </c>
      <c r="C177" s="180" t="s">
        <v>27</v>
      </c>
    </row>
    <row r="178" spans="2:3" x14ac:dyDescent="0.25">
      <c r="B178" s="97"/>
      <c r="C178" s="97"/>
    </row>
    <row r="179" spans="2:3" x14ac:dyDescent="0.25">
      <c r="B179" s="103" t="str">
        <f>IF($B$1=1,#REF!,C179)</f>
        <v>možnosti</v>
      </c>
      <c r="C179" s="180" t="s">
        <v>715</v>
      </c>
    </row>
    <row r="180" spans="2:3" x14ac:dyDescent="0.25">
      <c r="B180" s="103" t="str">
        <f>IF($B$1=1,#REF!,C180)</f>
        <v>nahoře</v>
      </c>
      <c r="C180" s="180" t="s">
        <v>9</v>
      </c>
    </row>
    <row r="181" spans="2:3" x14ac:dyDescent="0.25">
      <c r="B181" s="103" t="str">
        <f>IF($B$1=1,#REF!,C181)</f>
        <v>dole</v>
      </c>
      <c r="C181" s="180" t="s">
        <v>10</v>
      </c>
    </row>
    <row r="182" spans="2:3" x14ac:dyDescent="0.25">
      <c r="B182" s="103" t="str">
        <f>IF($B$1=1,#REF!,C182)</f>
        <v>nelze</v>
      </c>
      <c r="C182" s="548" t="s">
        <v>1267</v>
      </c>
    </row>
    <row r="183" spans="2:3" x14ac:dyDescent="0.25">
      <c r="B183" s="103" t="str">
        <f>IF($B$1=1,#REF!,C183)</f>
        <v>Pro délku 600mm jen bočnice M nebo C</v>
      </c>
      <c r="C183" s="180" t="s">
        <v>8</v>
      </c>
    </row>
    <row r="184" spans="2:3" ht="12.5" x14ac:dyDescent="0.25">
      <c r="B184" s="103" t="str">
        <f>IF($B$1=1,#REF!,C184)</f>
        <v>Pro výšku N nejsou jmenovité délky 400 a 550 mm v provedení Inox k dispozici</v>
      </c>
      <c r="C184" s="117" t="s">
        <v>1268</v>
      </c>
    </row>
    <row r="185" spans="2:3" ht="12.5" x14ac:dyDescent="0.25">
      <c r="B185" s="103" t="str">
        <f>IF($B$1=1,#REF!,C185)</f>
        <v>Pro výšku K nejsou jmenovité délky 300 a 600 mm v provedení Inox k dispozici</v>
      </c>
      <c r="C185" s="117" t="s">
        <v>1269</v>
      </c>
    </row>
    <row r="186" spans="2:3" ht="12.5" x14ac:dyDescent="0.25">
      <c r="B186" s="103">
        <f>IF($B$1=1,#REF!,C186)</f>
        <v>0</v>
      </c>
      <c r="C186" s="117"/>
    </row>
    <row r="187" spans="2:3" x14ac:dyDescent="0.25">
      <c r="B187" s="97"/>
      <c r="C187" s="97"/>
    </row>
    <row r="188" spans="2:3" x14ac:dyDescent="0.25">
      <c r="B188" s="103" t="str">
        <f>IF($B$1=1,#REF!,C188)</f>
        <v>Zadejte bočnici pro horní zásuvku - viz možnosti</v>
      </c>
      <c r="C188" s="180" t="s">
        <v>714</v>
      </c>
    </row>
    <row r="189" spans="2:3" x14ac:dyDescent="0.25">
      <c r="B189" s="103" t="str">
        <f>IF($B$1=1,#REF!,C189)</f>
        <v>Výšku bočnic pro horní zásuvku lze změnit</v>
      </c>
      <c r="C189" s="180" t="s">
        <v>716</v>
      </c>
    </row>
    <row r="190" spans="2:3" x14ac:dyDescent="0.25">
      <c r="B190" s="103" t="str">
        <f>IF($B$1=1,#REF!,C190)</f>
        <v>Nutno ověřit dostupnost</v>
      </c>
      <c r="C190" s="180" t="s">
        <v>754</v>
      </c>
    </row>
    <row r="191" spans="2:3" x14ac:dyDescent="0.25">
      <c r="B191" s="103" t="str">
        <f>IF($B$1=1,#REF!,C191)</f>
        <v>Ověřte dostupnost u svého dodavatele</v>
      </c>
      <c r="C191" s="180" t="s">
        <v>755</v>
      </c>
    </row>
    <row r="192" spans="2:3" x14ac:dyDescent="0.25">
      <c r="B192" s="103" t="str">
        <f>IF($B$1=1,#REF!,C192)</f>
        <v>Objednávka obsahuje artikly s omezenou dostupností</v>
      </c>
      <c r="C192" s="180" t="s">
        <v>759</v>
      </c>
    </row>
    <row r="193" spans="2:3" x14ac:dyDescent="0.25">
      <c r="B193" s="103" t="str">
        <f>IF($B$1=1,#REF!,C193)</f>
        <v>Vybráno celkem</v>
      </c>
      <c r="C193" s="548" t="s">
        <v>764</v>
      </c>
    </row>
    <row r="194" spans="2:3" x14ac:dyDescent="0.25">
      <c r="B194" s="103" t="str">
        <f>IF($B$1=1,#REF!,C194)</f>
        <v>zásuvek a výsuvů</v>
      </c>
      <c r="C194" s="548" t="s">
        <v>765</v>
      </c>
    </row>
    <row r="195" spans="2:3" x14ac:dyDescent="0.25">
      <c r="B195" s="103" t="str">
        <f>IF($B$1=1,#REF!,C195)</f>
        <v>potravinových skříní</v>
      </c>
      <c r="C195" s="548" t="s">
        <v>766</v>
      </c>
    </row>
    <row r="196" spans="2:3" x14ac:dyDescent="0.25">
      <c r="B196" s="103" t="str">
        <f>IF($B$1=1,#REF!,C196)</f>
        <v>prvků AMBIA-LINE</v>
      </c>
      <c r="C196" s="548" t="s">
        <v>767</v>
      </c>
    </row>
    <row r="197" spans="2:3" x14ac:dyDescent="0.25">
      <c r="B197" s="103" t="str">
        <f>IF($B$1=1,#REF!,C197)</f>
        <v>Adaptér je nutný pro připojení rámečku k dřevěné zadní stěně</v>
      </c>
      <c r="C197" s="548" t="s">
        <v>768</v>
      </c>
    </row>
    <row r="198" spans="2:3" x14ac:dyDescent="0.25">
      <c r="B198" s="103" t="str">
        <f>IF($B$1=1,#REF!,C198)</f>
        <v>Jen pro rámeček</v>
      </c>
      <c r="C198" s="548" t="s">
        <v>769</v>
      </c>
    </row>
    <row r="199" spans="2:3" x14ac:dyDescent="0.25">
      <c r="B199" s="103" t="str">
        <f>IF($B$1=1,#REF!,C199)</f>
        <v>Zóny DYNAMIC SPACE</v>
      </c>
      <c r="C199" s="180" t="s">
        <v>54</v>
      </c>
    </row>
    <row r="200" spans="2:3" x14ac:dyDescent="0.25">
      <c r="B200" s="103" t="str">
        <f>IF($B$1=1,#REF!,C200)</f>
        <v>Zásoby</v>
      </c>
      <c r="C200" s="180" t="s">
        <v>220</v>
      </c>
    </row>
    <row r="201" spans="2:3" x14ac:dyDescent="0.25">
      <c r="B201" s="103" t="str">
        <f>IF($B$1=1,#REF!,C201)</f>
        <v>Ukládání</v>
      </c>
      <c r="C201" s="180" t="s">
        <v>223</v>
      </c>
    </row>
    <row r="202" spans="2:3" x14ac:dyDescent="0.25">
      <c r="B202" s="103" t="str">
        <f>IF($B$1=1,#REF!,C202)</f>
        <v>Mytí</v>
      </c>
      <c r="C202" s="180" t="s">
        <v>224</v>
      </c>
    </row>
    <row r="203" spans="2:3" x14ac:dyDescent="0.25">
      <c r="B203" s="103" t="str">
        <f>IF($B$1=1,#REF!,C203)</f>
        <v>Příprava</v>
      </c>
      <c r="C203" s="180" t="s">
        <v>225</v>
      </c>
    </row>
    <row r="204" spans="2:3" x14ac:dyDescent="0.25">
      <c r="B204" s="103" t="str">
        <f>IF($B$1=1,#REF!,C204)</f>
        <v>Vaření / pečení</v>
      </c>
      <c r="C204" s="180" t="s">
        <v>55</v>
      </c>
    </row>
    <row r="205" spans="2:3" customFormat="1" ht="12" customHeight="1" x14ac:dyDescent="0.35">
      <c r="C205" s="549"/>
    </row>
    <row r="206" spans="2:3" x14ac:dyDescent="0.25">
      <c r="B206" s="98" t="str">
        <f>IF($B$1=1,#REF!,C206)</f>
        <v>Doporučená hodnota</v>
      </c>
      <c r="C206" s="97" t="s">
        <v>113</v>
      </c>
    </row>
    <row r="207" spans="2:3" x14ac:dyDescent="0.25">
      <c r="B207" s="97">
        <f>IF($B$1=1,#REF!,C207)</f>
        <v>0</v>
      </c>
      <c r="C207" s="97"/>
    </row>
    <row r="208" spans="2:3" x14ac:dyDescent="0.25">
      <c r="B208" s="97">
        <f>IF($B$1=1,#REF!,C208)</f>
        <v>0</v>
      </c>
      <c r="C208" s="97"/>
    </row>
    <row r="209" spans="2:5" x14ac:dyDescent="0.25">
      <c r="B209" s="103" t="str">
        <f>IF($B$1=1,#REF!,C209)</f>
        <v>Příborníky</v>
      </c>
      <c r="C209" s="550" t="s">
        <v>720</v>
      </c>
    </row>
    <row r="210" spans="2:5" ht="12.5" x14ac:dyDescent="0.25">
      <c r="B210" s="103" t="str">
        <f>IF($B$1=1,#REF!,C210)</f>
        <v>Zásuvkové rámečky</v>
      </c>
      <c r="C210" s="550" t="s">
        <v>721</v>
      </c>
      <c r="E210" s="2"/>
    </row>
    <row r="211" spans="2:5" x14ac:dyDescent="0.25">
      <c r="B211" s="103" t="str">
        <f>IF($B$1=1,#REF!,C211)</f>
        <v xml:space="preserve">Zásuvkové rámečky pro jmenovitou délku od </v>
      </c>
      <c r="C211" s="550" t="s">
        <v>725</v>
      </c>
    </row>
    <row r="212" spans="2:5" ht="12.5" x14ac:dyDescent="0.25">
      <c r="B212" s="103" t="str">
        <f>IF($B$1=1,#REF!,C212)</f>
        <v>Rámečky pro čelní výsuv</v>
      </c>
      <c r="C212" s="551" t="s">
        <v>722</v>
      </c>
      <c r="E212" s="2"/>
    </row>
    <row r="213" spans="2:5" ht="12.5" x14ac:dyDescent="0.25">
      <c r="B213" s="103" t="str">
        <f>IF($B$1=1,#REF!,C213)</f>
        <v>Rámečky pro čelní výsuv pro jmenovitu délku od</v>
      </c>
      <c r="C213" s="551" t="s">
        <v>724</v>
      </c>
      <c r="E213" s="2"/>
    </row>
    <row r="214" spans="2:5" x14ac:dyDescent="0.25">
      <c r="B214" s="103" t="str">
        <f>IF($B$1=1,#REF!,C214)</f>
        <v>Adaptér pro zadní stěnu</v>
      </c>
      <c r="C214" s="100" t="s">
        <v>723</v>
      </c>
    </row>
    <row r="215" spans="2:5" ht="12.5" x14ac:dyDescent="0.25">
      <c r="B215" s="103" t="str">
        <f>IF($B$1=1,#REF!,C215)</f>
        <v>Souprava na lahve</v>
      </c>
      <c r="C215" s="97" t="s">
        <v>1006</v>
      </c>
      <c r="E215" s="2"/>
    </row>
    <row r="216" spans="2:5" ht="12.5" x14ac:dyDescent="0.25">
      <c r="B216" s="103" t="str">
        <f>IF($B$1=1,#REF!,C216)</f>
        <v>Pro rámeček šířky</v>
      </c>
      <c r="C216" s="97" t="s">
        <v>1007</v>
      </c>
      <c r="E216" s="2"/>
    </row>
    <row r="217" spans="2:5" ht="12.5" x14ac:dyDescent="0.25">
      <c r="B217" s="103" t="str">
        <f>IF($B$1=1,#REF!,C217)</f>
        <v>Samostatné příčky - viz Výběr doplňků</v>
      </c>
      <c r="C217" s="100" t="s">
        <v>726</v>
      </c>
      <c r="D217" s="101"/>
      <c r="E217" s="2"/>
    </row>
    <row r="218" spans="2:5" x14ac:dyDescent="0.25">
      <c r="B218" s="103" t="str">
        <f>IF($B$1=1,#REF!,C218)</f>
        <v>Hrnce, poklice</v>
      </c>
      <c r="C218" s="100" t="s">
        <v>304</v>
      </c>
    </row>
    <row r="219" spans="2:5" ht="12.5" x14ac:dyDescent="0.25">
      <c r="B219" s="103" t="str">
        <f>IF($B$1=1,#REF!,C219)</f>
        <v xml:space="preserve">Ukládání potravin </v>
      </c>
      <c r="C219" s="547" t="s">
        <v>305</v>
      </c>
      <c r="D219" s="101"/>
    </row>
    <row r="220" spans="2:5" ht="12.5" x14ac:dyDescent="0.25">
      <c r="B220" s="103" t="str">
        <f>IF($B$1=1,#REF!,C220)</f>
        <v>Načatá balení potravin</v>
      </c>
      <c r="C220" s="547" t="s">
        <v>308</v>
      </c>
      <c r="D220" s="101"/>
    </row>
    <row r="221" spans="2:5" s="97" customFormat="1" ht="12.5" x14ac:dyDescent="0.25">
      <c r="B221" s="103" t="str">
        <f>IF($B$1=1,#REF!,C221)</f>
        <v>Misky a mísy</v>
      </c>
      <c r="C221" s="547" t="s">
        <v>306</v>
      </c>
      <c r="D221" s="102"/>
    </row>
    <row r="222" spans="2:5" ht="12.5" x14ac:dyDescent="0.25">
      <c r="B222" s="103" t="str">
        <f>IF($B$1=1,#REF!,C222)</f>
        <v>Hrnce, poklice, náčiní</v>
      </c>
      <c r="C222" s="547" t="s">
        <v>307</v>
      </c>
      <c r="D222" s="101"/>
    </row>
    <row r="223" spans="2:5" x14ac:dyDescent="0.25">
      <c r="B223" s="103" t="str">
        <f>IF($B$1=1,#REF!,C223)</f>
        <v>Ukládání talířů</v>
      </c>
      <c r="C223" s="100" t="s">
        <v>309</v>
      </c>
      <c r="D223" s="101"/>
    </row>
    <row r="224" spans="2:5" ht="12.5" x14ac:dyDescent="0.25">
      <c r="B224" s="103" t="str">
        <f>IF($B$1=1,#REF!,C224)</f>
        <v>Odpadkové koše, mycí prostředky</v>
      </c>
      <c r="C224" s="547" t="s">
        <v>310</v>
      </c>
    </row>
    <row r="225" spans="2:3" ht="12.5" x14ac:dyDescent="0.25">
      <c r="B225" s="103" t="str">
        <f>IF($B$1=1,#REF!,C225)</f>
        <v>Láhve, načatá balení potravin</v>
      </c>
      <c r="C225" s="547" t="s">
        <v>311</v>
      </c>
    </row>
    <row r="226" spans="2:3" ht="12.5" x14ac:dyDescent="0.25">
      <c r="B226" s="103" t="str">
        <f>IF($B$1=1,#REF!,C226)</f>
        <v>Koření, načatá balení potravin</v>
      </c>
      <c r="C226" s="547" t="s">
        <v>312</v>
      </c>
    </row>
    <row r="227" spans="2:3" ht="12.5" x14ac:dyDescent="0.25">
      <c r="B227" s="103" t="str">
        <f>IF($B$1=1,#REF!,C227)</f>
        <v>Koření</v>
      </c>
      <c r="C227" s="547" t="s">
        <v>313</v>
      </c>
    </row>
    <row r="228" spans="2:3" ht="12.5" x14ac:dyDescent="0.25">
      <c r="B228" s="103" t="str">
        <f>IF($B$1=1,#REF!,C228)</f>
        <v>Láhve, prkýnka na krájení</v>
      </c>
      <c r="C228" s="547" t="s">
        <v>314</v>
      </c>
    </row>
    <row r="229" spans="2:3" ht="12.5" x14ac:dyDescent="0.25">
      <c r="B229" s="103" t="str">
        <f>IF($B$1=1,#REF!,C229)</f>
        <v>Láhve (oleje, octy)</v>
      </c>
      <c r="C229" s="547" t="s">
        <v>315</v>
      </c>
    </row>
    <row r="230" spans="2:3" ht="12.5" x14ac:dyDescent="0.25">
      <c r="B230" s="103" t="str">
        <f>IF($B$1=1,#REF!,C230)</f>
        <v>Formy, plechy na pečení</v>
      </c>
      <c r="C230" s="547" t="s">
        <v>316</v>
      </c>
    </row>
    <row r="231" spans="2:3" x14ac:dyDescent="0.25">
      <c r="B231" s="103" t="str">
        <f>IF($B$1=1,#REF!,C231)</f>
        <v>Není vhodná pro vnitřní výsuv</v>
      </c>
      <c r="C231" s="97" t="s">
        <v>1008</v>
      </c>
    </row>
    <row r="232" spans="2:3" ht="12.5" x14ac:dyDescent="0.25">
      <c r="B232" s="103"/>
      <c r="C232" s="547"/>
    </row>
    <row r="233" spans="2:3" x14ac:dyDescent="0.25">
      <c r="B233" s="103" t="str">
        <f>IF($B$1=1,#REF!,C233)</f>
        <v>Nahoru</v>
      </c>
      <c r="C233" s="180" t="s">
        <v>317</v>
      </c>
    </row>
    <row r="234" spans="2:3" x14ac:dyDescent="0.25">
      <c r="B234" s="103" t="str">
        <f>IF($B$1=1,#REF!,C234)</f>
        <v>od</v>
      </c>
      <c r="C234" s="97" t="s">
        <v>128</v>
      </c>
    </row>
    <row r="235" spans="2:3" x14ac:dyDescent="0.25">
      <c r="B235" s="103" t="str">
        <f>IF($B$1=1,#REF!,C235)</f>
        <v>do</v>
      </c>
      <c r="C235" s="97" t="s">
        <v>122</v>
      </c>
    </row>
    <row r="236" spans="2:3" x14ac:dyDescent="0.25">
      <c r="B236" s="97">
        <f>IF($B$1=1,#REF!,C236)</f>
        <v>0</v>
      </c>
      <c r="C236" s="97"/>
    </row>
    <row r="237" spans="2:3" x14ac:dyDescent="0.25">
      <c r="B237" s="103" t="str">
        <f>IF($B$1=1,#REF!,C237)</f>
        <v>Vzhledem k šířce korpusu je nutné použití synchronizace pro TIP-ON</v>
      </c>
      <c r="C237" s="552" t="s">
        <v>138</v>
      </c>
    </row>
    <row r="238" spans="2:3" x14ac:dyDescent="0.25">
      <c r="B238" s="103" t="str">
        <f>IF($B$1=1,#REF!,C238)</f>
        <v>Věnujte pozornost pokynům - zde</v>
      </c>
      <c r="C238" s="552" t="s">
        <v>139</v>
      </c>
    </row>
    <row r="239" spans="2:3" x14ac:dyDescent="0.25">
      <c r="B239" s="103" t="str">
        <f>IF($B$1=1,#REF!,C239)</f>
        <v>Synchronizaci vyberte v sekci Doplňky</v>
      </c>
      <c r="C239" s="552" t="s">
        <v>140</v>
      </c>
    </row>
    <row r="240" spans="2:3" ht="13.5" customHeight="1" x14ac:dyDescent="0.25">
      <c r="B240" s="103" t="str">
        <f>IF($B$1=1,#REF!,C240)</f>
        <v>Minimální rozměry přířezu dna</v>
      </c>
      <c r="C240" s="553" t="s">
        <v>141</v>
      </c>
    </row>
    <row r="241" spans="2:3" x14ac:dyDescent="0.25">
      <c r="B241" s="103" t="str">
        <f>IF($B$1=1,#REF!,C241)</f>
        <v>Není-li možné minimální rozměry dodržet, nelze použít výsuvy s TIP-ON</v>
      </c>
      <c r="C241" s="552" t="s">
        <v>142</v>
      </c>
    </row>
    <row r="242" spans="2:3" x14ac:dyDescent="0.25">
      <c r="B242" s="98" t="str">
        <f>IF($B$1=1,#REF!,C242)</f>
        <v>Firma Blum ani prodejci neručí za jejich správnost.</v>
      </c>
      <c r="C242" s="97" t="s">
        <v>143</v>
      </c>
    </row>
    <row r="243" spans="2:3" x14ac:dyDescent="0.25">
      <c r="B243" s="97">
        <f>IF($B$1=1,#REF!,C243)</f>
        <v>0</v>
      </c>
      <c r="C243" s="97"/>
    </row>
    <row r="244" spans="2:3" x14ac:dyDescent="0.25">
      <c r="B244" s="97">
        <f>IF($B$1=1,#REF!,C244)</f>
        <v>0</v>
      </c>
      <c r="C244" s="97"/>
    </row>
    <row r="245" spans="2:3" x14ac:dyDescent="0.25">
      <c r="B245" s="103" t="str">
        <f>IF($B$1=1,#REF!,C245)</f>
        <v>Formulář pro identifikační údaje</v>
      </c>
      <c r="C245" s="97" t="s">
        <v>144</v>
      </c>
    </row>
    <row r="246" spans="2:3" x14ac:dyDescent="0.25">
      <c r="B246" s="103" t="str">
        <f>IF($B$1=1,#REF!,C246)</f>
        <v>Odběratel</v>
      </c>
      <c r="C246" s="97" t="s">
        <v>145</v>
      </c>
    </row>
    <row r="247" spans="2:3" x14ac:dyDescent="0.25">
      <c r="B247" s="103" t="str">
        <f>IF($B$1=1,#REF!,C247)</f>
        <v>Adresa</v>
      </c>
      <c r="C247" s="97" t="s">
        <v>146</v>
      </c>
    </row>
    <row r="248" spans="2:3" x14ac:dyDescent="0.25">
      <c r="B248" s="103" t="str">
        <f>IF($B$1=1,#REF!,C248)</f>
        <v>Dodací adresa</v>
      </c>
      <c r="C248" s="97" t="s">
        <v>147</v>
      </c>
    </row>
    <row r="249" spans="2:3" x14ac:dyDescent="0.25">
      <c r="B249" s="103" t="str">
        <f>IF($B$1=1,#REF!,C249)</f>
        <v>IČO, DIČ</v>
      </c>
      <c r="C249" s="97" t="s">
        <v>148</v>
      </c>
    </row>
    <row r="250" spans="2:3" x14ac:dyDescent="0.25">
      <c r="B250" s="103" t="str">
        <f>IF($B$1=1,#REF!,C250)</f>
        <v>Telefon, fax, e-mail</v>
      </c>
      <c r="C250" s="97" t="s">
        <v>149</v>
      </c>
    </row>
    <row r="251" spans="2:3" x14ac:dyDescent="0.25">
      <c r="B251" s="103" t="str">
        <f>IF($B$1=1,#REF!,C251)</f>
        <v>Číslo objednávky</v>
      </c>
      <c r="C251" s="97" t="s">
        <v>150</v>
      </c>
    </row>
    <row r="252" spans="2:3" x14ac:dyDescent="0.25">
      <c r="B252" s="103" t="str">
        <f>IF($B$1=1,#REF!,C252)</f>
        <v>Zakázka</v>
      </c>
      <c r="C252" s="97" t="s">
        <v>151</v>
      </c>
    </row>
    <row r="253" spans="2:3" x14ac:dyDescent="0.25">
      <c r="B253" s="97">
        <f>IF($B$1=1,#REF!,C253)</f>
        <v>0</v>
      </c>
      <c r="C253" s="97"/>
    </row>
    <row r="254" spans="2:3" x14ac:dyDescent="0.25">
      <c r="B254" s="103" t="str">
        <f>IF($B$1=1,#REF!,C254)</f>
        <v>Verze</v>
      </c>
      <c r="C254" s="97" t="s">
        <v>129</v>
      </c>
    </row>
    <row r="255" spans="2:3" x14ac:dyDescent="0.25">
      <c r="B255" s="103" t="str">
        <f>IF($B$1=1,#REF!,C255)</f>
        <v>Platnost ceníku od</v>
      </c>
      <c r="C255" s="97" t="s">
        <v>130</v>
      </c>
    </row>
    <row r="256" spans="2:3" x14ac:dyDescent="0.25">
      <c r="B256" s="103" t="str">
        <f>IF($B$1=1,#REF!,C256)</f>
        <v>Sleva</v>
      </c>
      <c r="C256" s="97" t="s">
        <v>131</v>
      </c>
    </row>
    <row r="257" spans="2:3" x14ac:dyDescent="0.25">
      <c r="B257" s="103" t="str">
        <f>IF($B$1=1,#REF!,C257)</f>
        <v>Prodejce</v>
      </c>
      <c r="C257" s="97" t="s">
        <v>132</v>
      </c>
    </row>
    <row r="258" spans="2:3" x14ac:dyDescent="0.25">
      <c r="B258" s="103" t="str">
        <f>IF($B$1=1,#REF!,C258)</f>
        <v>Sleva od prodejce</v>
      </c>
      <c r="C258" s="97" t="s">
        <v>133</v>
      </c>
    </row>
    <row r="259" spans="2:3" x14ac:dyDescent="0.25">
      <c r="B259" s="103" t="str">
        <f>IF($B$1=1,#REF!,C259)</f>
        <v>Ceník</v>
      </c>
      <c r="C259" s="97" t="s">
        <v>134</v>
      </c>
    </row>
    <row r="260" spans="2:3" x14ac:dyDescent="0.25">
      <c r="B260" s="97"/>
      <c r="C260" s="97"/>
    </row>
    <row r="261" spans="2:3" x14ac:dyDescent="0.25">
      <c r="B261" s="97">
        <f>IF($B$1=1,#REF!,C261)</f>
        <v>0</v>
      </c>
      <c r="C261" s="97"/>
    </row>
    <row r="262" spans="2:3" x14ac:dyDescent="0.25">
      <c r="B262" s="103" t="str">
        <f>IF($B$1=1,#REF!,C262)</f>
        <v>Poznámka</v>
      </c>
      <c r="C262" s="97" t="s">
        <v>152</v>
      </c>
    </row>
    <row r="263" spans="2:3" x14ac:dyDescent="0.25">
      <c r="B263" s="97">
        <f>IF($B$1=1,#REF!,C263)</f>
        <v>0</v>
      </c>
      <c r="C263" s="97"/>
    </row>
    <row r="264" spans="2:3" x14ac:dyDescent="0.25">
      <c r="B264" s="103" t="str">
        <f>IF($B$1=1,#REF!,C264)</f>
        <v>Zde můžete vložit vlastní položky (následujících 10 řádků, zobrazí se v objednávce)</v>
      </c>
      <c r="C264" s="97" t="s">
        <v>153</v>
      </c>
    </row>
    <row r="265" spans="2:3" x14ac:dyDescent="0.25">
      <c r="B265" s="97">
        <f>IF($B$1=1,#REF!,C265)</f>
        <v>0</v>
      </c>
      <c r="C265" s="97"/>
    </row>
    <row r="266" spans="2:3" x14ac:dyDescent="0.25">
      <c r="B266" s="97">
        <f>IF($B$1=1,#REF!,C266)</f>
        <v>0</v>
      </c>
      <c r="C266" s="97"/>
    </row>
    <row r="267" spans="2:3" x14ac:dyDescent="0.25">
      <c r="B267" s="97">
        <f>IF($B$1=1,#REF!,C267)</f>
        <v>0</v>
      </c>
      <c r="C267" s="97"/>
    </row>
    <row r="268" spans="2:3" x14ac:dyDescent="0.25">
      <c r="B268" s="103" t="str">
        <f>IF($B$1=1,#REF!,C268)</f>
        <v>Vítejte v aplikaci BOXPLAN</v>
      </c>
      <c r="C268" s="97" t="s">
        <v>199</v>
      </c>
    </row>
    <row r="269" spans="2:3" x14ac:dyDescent="0.25">
      <c r="B269" s="103" t="str">
        <f>IF($B$1=1,#REF!,C269)</f>
        <v>Před prvním spuštěním</v>
      </c>
      <c r="C269" s="97" t="s">
        <v>156</v>
      </c>
    </row>
    <row r="270" spans="2:3" x14ac:dyDescent="0.25">
      <c r="B270" s="103" t="str">
        <f>IF($B$1=1,#REF!,C270)</f>
        <v xml:space="preserve">Přejděte na </v>
      </c>
      <c r="C270" s="97" t="s">
        <v>157</v>
      </c>
    </row>
    <row r="271" spans="2:3" x14ac:dyDescent="0.25">
      <c r="B271" s="103" t="str">
        <f>IF($B$1=1,#REF!,C271)</f>
        <v>Vyplňte identifikační údaje a výši slevy od prodejce</v>
      </c>
      <c r="C271" s="180" t="s">
        <v>221</v>
      </c>
    </row>
    <row r="272" spans="2:3" x14ac:dyDescent="0.25">
      <c r="B272" s="103" t="str">
        <f>IF($B$1=1,#REF!,C272)</f>
        <v>Po vyplnění se vraťte na úvod a subor uložte nebo zavřete s potvrzením změn</v>
      </c>
      <c r="C272" s="180" t="s">
        <v>222</v>
      </c>
    </row>
    <row r="273" spans="2:3" x14ac:dyDescent="0.25">
      <c r="B273" s="103" t="str">
        <f>IF($B$1=1,#REF!,C273)</f>
        <v>Identifikační údaje se budou zobrazovat v objednávkách</v>
      </c>
      <c r="C273" s="97" t="s">
        <v>158</v>
      </c>
    </row>
    <row r="274" spans="2:3" x14ac:dyDescent="0.25">
      <c r="B274" s="97">
        <f>IF($B$1=1,#REF!,C274)</f>
        <v>0</v>
      </c>
      <c r="C274" s="97"/>
    </row>
    <row r="275" spans="2:3" x14ac:dyDescent="0.25">
      <c r="B275" s="103" t="str">
        <f>IF($B$1=1,#REF!,C275)</f>
        <v>Na úvodní obrazovce vyberte, jaké ceny se budou zobrazovat:</v>
      </c>
      <c r="C275" s="97" t="s">
        <v>159</v>
      </c>
    </row>
    <row r="276" spans="2:3" x14ac:dyDescent="0.25">
      <c r="B276" s="103" t="str">
        <f>IF($B$1=1,#REF!,C276)</f>
        <v>Základní (ceníkové) ceny bez slevy</v>
      </c>
      <c r="C276" s="97" t="s">
        <v>160</v>
      </c>
    </row>
    <row r="277" spans="2:3" x14ac:dyDescent="0.25">
      <c r="B277" s="103" t="str">
        <f>IF($B$1=1,#REF!,C277)</f>
        <v xml:space="preserve">Zadáte-li slevu s mínusovým znamínkem, zobrazí se ceny o tuto hodnotu vyšší </v>
      </c>
      <c r="C277" s="180" t="s">
        <v>33</v>
      </c>
    </row>
    <row r="278" spans="2:3" x14ac:dyDescent="0.25">
      <c r="B278" s="97">
        <f>IF($B$1=1,#REF!,C278)</f>
        <v>0</v>
      </c>
      <c r="C278" s="97"/>
    </row>
    <row r="279" spans="2:3" x14ac:dyDescent="0.25">
      <c r="B279" s="103" t="str">
        <f>IF($B$1=1,#REF!,C279)</f>
        <v>Volby</v>
      </c>
      <c r="C279" s="669" t="s">
        <v>1341</v>
      </c>
    </row>
    <row r="280" spans="2:3" x14ac:dyDescent="0.25">
      <c r="B280" s="103" t="str">
        <f>IF($B$1=1,#REF!,C280)</f>
        <v>Vyberte barvu povrchové úpravy</v>
      </c>
      <c r="C280" s="180" t="s">
        <v>32</v>
      </c>
    </row>
    <row r="281" spans="2:3" x14ac:dyDescent="0.25">
      <c r="B281" s="103" t="str">
        <f>IF($B$1=1,#REF!,C281)</f>
        <v>Vyberte, z čeho budou vyrobeny čela</v>
      </c>
      <c r="C281" s="669" t="s">
        <v>1338</v>
      </c>
    </row>
    <row r="282" spans="2:3" x14ac:dyDescent="0.25">
      <c r="B282" s="103" t="str">
        <f>IF($B$1=1,#REF!,C282)</f>
        <v>materiály tloušťky od 15 mm</v>
      </c>
      <c r="C282" s="669" t="s">
        <v>1339</v>
      </c>
    </row>
    <row r="283" spans="2:3" x14ac:dyDescent="0.25">
      <c r="B283" s="103" t="str">
        <f>IF($B$1=1,#REF!,C283)</f>
        <v>materiály tloušťky od 8 do 14 mm</v>
      </c>
      <c r="C283" s="669" t="s">
        <v>1340</v>
      </c>
    </row>
    <row r="284" spans="2:3" x14ac:dyDescent="0.25">
      <c r="B284" s="103" t="str">
        <f>IF($B$1=1,#REF!,C284)</f>
        <v>Vyberte způsob montáže čelního kování</v>
      </c>
      <c r="C284" s="180" t="s">
        <v>31</v>
      </c>
    </row>
    <row r="285" spans="2:3" x14ac:dyDescent="0.25">
      <c r="B285" s="97">
        <f>IF($B$1=1,#REF!,C285)</f>
        <v>0</v>
      </c>
      <c r="C285" s="97"/>
    </row>
    <row r="286" spans="2:3" x14ac:dyDescent="0.25">
      <c r="B286" s="103" t="str">
        <f>IF($B$1=1,#REF!,C286)</f>
        <v>Kliknutím na označení vyberte požadovaný výsuv</v>
      </c>
      <c r="C286" s="180" t="s">
        <v>34</v>
      </c>
    </row>
    <row r="287" spans="2:3" x14ac:dyDescent="0.25">
      <c r="B287" s="97"/>
      <c r="C287" s="97"/>
    </row>
    <row r="288" spans="2:3" x14ac:dyDescent="0.25">
      <c r="B288" s="98" t="str">
        <f>IF($B$1=1,#REF!,C288)</f>
        <v>Legenda</v>
      </c>
      <c r="C288" s="97" t="s">
        <v>161</v>
      </c>
    </row>
    <row r="289" spans="2:3" x14ac:dyDescent="0.25">
      <c r="B289" s="98" t="str">
        <f>IF($B$1=1,#REF!,C289)</f>
        <v>Výpočet hmotnosti</v>
      </c>
      <c r="C289" s="97" t="s">
        <v>127</v>
      </c>
    </row>
    <row r="290" spans="2:3" x14ac:dyDescent="0.25">
      <c r="B290" s="98" t="str">
        <f>IF($B$1=1,#REF!,C290)</f>
        <v>Upozornění</v>
      </c>
      <c r="C290" s="97" t="s">
        <v>162</v>
      </c>
    </row>
    <row r="291" spans="2:3" x14ac:dyDescent="0.25">
      <c r="B291" s="98" t="str">
        <f>IF($B$1=1,#REF!,C291)</f>
        <v>Informace a vysvětlivky</v>
      </c>
      <c r="C291" s="97" t="s">
        <v>163</v>
      </c>
    </row>
    <row r="292" spans="2:3" x14ac:dyDescent="0.25">
      <c r="B292" s="98" t="str">
        <f>IF($B$1=1,#REF!,C292)</f>
        <v>Tip</v>
      </c>
      <c r="C292" s="97" t="s">
        <v>164</v>
      </c>
    </row>
    <row r="293" spans="2:3" x14ac:dyDescent="0.25">
      <c r="B293" s="98" t="str">
        <f>IF($B$1=1,#REF!,C293)</f>
        <v>Nápověda</v>
      </c>
      <c r="C293" s="97" t="s">
        <v>115</v>
      </c>
    </row>
    <row r="294" spans="2:3" x14ac:dyDescent="0.25">
      <c r="B294" s="98" t="str">
        <f>IF($B$1=1,#REF!,C294)</f>
        <v>Odkazy na brožury, montážní návody a instrukážní videa</v>
      </c>
      <c r="C294" s="97" t="s">
        <v>165</v>
      </c>
    </row>
    <row r="295" spans="2:3" x14ac:dyDescent="0.25">
      <c r="B295" s="98" t="str">
        <f>IF($B$1=1,#REF!,C295)</f>
        <v>Soubory PDF</v>
      </c>
      <c r="C295" s="97" t="s">
        <v>166</v>
      </c>
    </row>
    <row r="296" spans="2:3" x14ac:dyDescent="0.25">
      <c r="B296" s="97"/>
      <c r="C296" s="97"/>
    </row>
    <row r="297" spans="2:3" x14ac:dyDescent="0.25">
      <c r="B297" s="103" t="str">
        <f>IF($B$1=1,#REF!,C297)</f>
        <v>Po úpravě objenávky odfiltrujte pomocí filtru ve sloupci "Ks" prázné řádky.</v>
      </c>
      <c r="C297" s="97" t="s">
        <v>167</v>
      </c>
    </row>
    <row r="298" spans="2:3" x14ac:dyDescent="0.25">
      <c r="B298" s="97"/>
      <c r="C298" s="97"/>
    </row>
    <row r="299" spans="2:3" x14ac:dyDescent="0.25">
      <c r="B299" s="103" t="str">
        <f>IF($B$1=1,#REF!,C299)</f>
        <v>Chcete-li objednávku uložit nebo odeslat jako přílohu, vytvořte nový soubor kliknutím na odkaz</v>
      </c>
      <c r="C299" s="554" t="s">
        <v>155</v>
      </c>
    </row>
    <row r="300" spans="2:3" x14ac:dyDescent="0.25">
      <c r="B300" s="97"/>
      <c r="C300" s="97"/>
    </row>
    <row r="301" spans="2:3" x14ac:dyDescent="0.25">
      <c r="B301" s="103" t="str">
        <f>IF($B$1=1,#REF!,C301)</f>
        <v>Vytvořit objednávku</v>
      </c>
      <c r="C301" s="180" t="s">
        <v>154</v>
      </c>
    </row>
    <row r="302" spans="2:3" x14ac:dyDescent="0.25">
      <c r="B302" s="97"/>
    </row>
    <row r="303" spans="2:3" x14ac:dyDescent="0.25">
      <c r="B303" s="103" t="str">
        <f>IF($B$1=1,#REF!,C303)</f>
        <v>Výběr sady jednotek</v>
      </c>
      <c r="C303" s="97" t="s">
        <v>973</v>
      </c>
    </row>
    <row r="304" spans="2:3" x14ac:dyDescent="0.25">
      <c r="B304" s="103">
        <f>IF($B$1=1,#REF!,C304)</f>
        <v>0</v>
      </c>
      <c r="C304" s="708"/>
    </row>
    <row r="305" spans="2:3" x14ac:dyDescent="0.25">
      <c r="B305" s="103" t="str">
        <f>IF($B$1=1,#REF!,C305)</f>
        <v>Zadejte počty skříní podle šířky korpusu a délky výsuvů</v>
      </c>
      <c r="C305" s="97" t="s">
        <v>993</v>
      </c>
    </row>
    <row r="306" spans="2:3" x14ac:dyDescent="0.25">
      <c r="B306" s="103" t="str">
        <f>IF($B$1=1,#REF!,C306)</f>
        <v>Poté zadejte požadované složení korpusových lišt</v>
      </c>
      <c r="C306" s="97" t="s">
        <v>988</v>
      </c>
    </row>
    <row r="307" spans="2:3" x14ac:dyDescent="0.25">
      <c r="B307" s="103" t="str">
        <f>IF($B$1=1,#REF!,C307)</f>
        <v>Zadejte počty 40kg korpusových lišt, 70kg lišty se dopočítají</v>
      </c>
      <c r="C307" s="97" t="s">
        <v>989</v>
      </c>
    </row>
    <row r="308" spans="2:3" x14ac:dyDescent="0.25">
      <c r="B308" s="103">
        <f>IF($B$1=1,#REF!,C308)</f>
        <v>0</v>
      </c>
      <c r="C308" s="708"/>
    </row>
    <row r="309" spans="2:3" x14ac:dyDescent="0.25">
      <c r="B309" s="103" t="str">
        <f>IF($B$1=1,#REF!,C309)</f>
        <v>Zadejte počet korpusových lišt, pokud chcete jiné, než přednastavené složení</v>
      </c>
      <c r="C309" s="97" t="s">
        <v>994</v>
      </c>
    </row>
    <row r="310" spans="2:3" x14ac:dyDescent="0.25">
      <c r="B310" s="103" t="str">
        <f>IF($B$1=1,#REF!,C310)</f>
        <v>Otevírání dveří</v>
      </c>
      <c r="C310" s="97" t="s">
        <v>1398</v>
      </c>
    </row>
    <row r="311" spans="2:3" x14ac:dyDescent="0.25">
      <c r="B311" s="97"/>
    </row>
    <row r="312" spans="2:3" x14ac:dyDescent="0.25">
      <c r="B312" s="103" t="str">
        <f>IF($B$1=1,#REF!,C312)</f>
        <v>Sada jednotek TIP-ON BLUMOTION</v>
      </c>
      <c r="C312" s="97" t="s">
        <v>945</v>
      </c>
    </row>
    <row r="313" spans="2:3" x14ac:dyDescent="0.25">
      <c r="B313" s="103" t="str">
        <f>IF($B$1=1,#REF!,C313)</f>
        <v xml:space="preserve">Synchronizace bude přidána automaticky. </v>
      </c>
      <c r="C313" s="97" t="s">
        <v>1018</v>
      </c>
    </row>
    <row r="314" spans="2:3" x14ac:dyDescent="0.25">
      <c r="B314" s="103" t="str">
        <f>IF($B$1=1,#REF!,C314)</f>
        <v>Pozor! Pro každý výsuv je započítána jedna hřídel. Počet hřídelí upravte v objednávce!</v>
      </c>
      <c r="C314" s="97" t="s">
        <v>1014</v>
      </c>
    </row>
    <row r="315" spans="2:3" x14ac:dyDescent="0.25">
      <c r="B315" s="103" t="str">
        <f>IF($B$1=1,#REF!,C315)</f>
        <v>Jednotka</v>
      </c>
      <c r="C315" s="97" t="s">
        <v>983</v>
      </c>
    </row>
    <row r="316" spans="2:3" x14ac:dyDescent="0.25">
      <c r="B316" s="103" t="str">
        <f>IF($B$1=1,#REF!,C316)</f>
        <v>S0 a S1 pouze pro jmenovitou délku 270 a 300 mm</v>
      </c>
      <c r="C316" s="97" t="s">
        <v>1011</v>
      </c>
    </row>
    <row r="317" spans="2:3" x14ac:dyDescent="0.25">
      <c r="B317" s="103" t="str">
        <f>IF($B$1=1,#REF!,C317)</f>
        <v>Pro výsuvy délky 270 a 300 mm vyberte jednotky S0 nebo S1</v>
      </c>
      <c r="C317" s="97" t="s">
        <v>1012</v>
      </c>
    </row>
    <row r="318" spans="2:3" x14ac:dyDescent="0.25">
      <c r="B318" s="103" t="str">
        <f>IF($B$1=1,#REF!,C318)</f>
        <v>Počet jednotek L neodpovídá počtu korpusových lišt</v>
      </c>
      <c r="C318" s="97" t="s">
        <v>977</v>
      </c>
    </row>
    <row r="319" spans="2:3" x14ac:dyDescent="0.25">
      <c r="B319" s="103" t="str">
        <f>IF($B$1=1,#REF!,C319)</f>
        <v>Počet jednotek S neodpovídá počtu korpusových lišt</v>
      </c>
      <c r="C319" s="97" t="s">
        <v>1013</v>
      </c>
    </row>
    <row r="320" spans="2:3" x14ac:dyDescent="0.25">
      <c r="B320" s="103" t="str">
        <f>IF($B$1=1,#REF!,C320)</f>
        <v>Využití pro</v>
      </c>
      <c r="C320" s="97" t="s">
        <v>980</v>
      </c>
    </row>
    <row r="321" spans="2:3" x14ac:dyDescent="0.25">
      <c r="B321" s="103" t="str">
        <f>IF($B$1=1,#REF!,C321)</f>
        <v>Doporučené hodnoty hmotnosti</v>
      </c>
      <c r="C321" s="97" t="s">
        <v>981</v>
      </c>
    </row>
    <row r="322" spans="2:3" x14ac:dyDescent="0.25">
      <c r="B322" s="103" t="str">
        <f>IF($B$1=1,#REF!,C322)</f>
        <v>Celková hmotnost výsuvu (hmotnost výsuvu včetně náplně)</v>
      </c>
      <c r="C322" s="97" t="s">
        <v>982</v>
      </c>
    </row>
    <row r="323" spans="2:3" x14ac:dyDescent="0.25">
      <c r="B323" s="103" t="str">
        <f>IF($B$1=1,#REF!,C323)</f>
        <v>a sada unašečů TIP-ON BLUMOTION</v>
      </c>
      <c r="C323" s="97" t="s">
        <v>985</v>
      </c>
    </row>
    <row r="324" spans="2:3" x14ac:dyDescent="0.25">
      <c r="B324" s="103" t="str">
        <f>IF($B$1=1,#REF!,C324)</f>
        <v>Jednotky TIP-ON BLUMOTION budou přidány automaticky</v>
      </c>
      <c r="C324" s="97" t="s">
        <v>987</v>
      </c>
    </row>
    <row r="325" spans="2:3" x14ac:dyDescent="0.25">
      <c r="B325" s="103" t="str">
        <f>IF($B$1=1,#REF!,C325)</f>
        <v>Jednotky L1 nelze kombinovat s lištami se zvýšenou nosností (70 kg)</v>
      </c>
      <c r="C325" s="669" t="s">
        <v>1379</v>
      </c>
    </row>
    <row r="326" spans="2:3" x14ac:dyDescent="0.25">
      <c r="B326" s="103" t="str">
        <f>IF($B$1=1,#REF!,C326)</f>
        <v>Jednotky L5 nelze kombinovat s lištami se základní nosností (40 kg)</v>
      </c>
      <c r="C326" s="669" t="s">
        <v>1380</v>
      </c>
    </row>
    <row r="327" spans="2:3" x14ac:dyDescent="0.25">
      <c r="B327" s="97"/>
      <c r="C327" s="548"/>
    </row>
    <row r="328" spans="2:3" x14ac:dyDescent="0.25">
      <c r="B328" s="97"/>
      <c r="C328" s="548"/>
    </row>
    <row r="329" spans="2:3" ht="12.5" x14ac:dyDescent="0.25">
      <c r="B329" s="97"/>
      <c r="C329" s="2"/>
    </row>
    <row r="330" spans="2:3" x14ac:dyDescent="0.25">
      <c r="B330" s="97"/>
    </row>
    <row r="331" spans="2:3" x14ac:dyDescent="0.25">
      <c r="B331" s="97"/>
    </row>
    <row r="332" spans="2:3" x14ac:dyDescent="0.25">
      <c r="B332" s="97"/>
    </row>
    <row r="333" spans="2:3" x14ac:dyDescent="0.25">
      <c r="B333" s="97"/>
    </row>
    <row r="334" spans="2:3" x14ac:dyDescent="0.25">
      <c r="B334" s="97"/>
    </row>
    <row r="335" spans="2:3" x14ac:dyDescent="0.25">
      <c r="B335" s="97"/>
    </row>
    <row r="336" spans="2:3" x14ac:dyDescent="0.25">
      <c r="B336" s="97"/>
    </row>
    <row r="337" spans="2:2" x14ac:dyDescent="0.25">
      <c r="B337" s="97"/>
    </row>
    <row r="338" spans="2:2" x14ac:dyDescent="0.25">
      <c r="B338" s="97"/>
    </row>
    <row r="339" spans="2:2" x14ac:dyDescent="0.25">
      <c r="B339" s="97"/>
    </row>
    <row r="340" spans="2:2" x14ac:dyDescent="0.25">
      <c r="B340" s="97"/>
    </row>
    <row r="341" spans="2:2" x14ac:dyDescent="0.25">
      <c r="B341" s="97"/>
    </row>
    <row r="342" spans="2:2" x14ac:dyDescent="0.25">
      <c r="B342" s="97"/>
    </row>
    <row r="343" spans="2:2" x14ac:dyDescent="0.25">
      <c r="B343" s="97"/>
    </row>
    <row r="344" spans="2:2" x14ac:dyDescent="0.25">
      <c r="B344" s="97"/>
    </row>
    <row r="345" spans="2:2" x14ac:dyDescent="0.25">
      <c r="B345" s="97"/>
    </row>
    <row r="346" spans="2:2" x14ac:dyDescent="0.25">
      <c r="B346" s="97"/>
    </row>
    <row r="347" spans="2:2" x14ac:dyDescent="0.25">
      <c r="B347" s="97"/>
    </row>
    <row r="348" spans="2:2" x14ac:dyDescent="0.25">
      <c r="B348" s="97"/>
    </row>
    <row r="349" spans="2:2" x14ac:dyDescent="0.25">
      <c r="B349" s="97"/>
    </row>
    <row r="350" spans="2:2" x14ac:dyDescent="0.25">
      <c r="B350" s="97"/>
    </row>
    <row r="351" spans="2:2" x14ac:dyDescent="0.25">
      <c r="B351" s="97"/>
    </row>
    <row r="352" spans="2:2" x14ac:dyDescent="0.25">
      <c r="B352" s="97"/>
    </row>
    <row r="353" spans="2:2" x14ac:dyDescent="0.25">
      <c r="B353" s="97"/>
    </row>
    <row r="354" spans="2:2" x14ac:dyDescent="0.25">
      <c r="B354" s="97"/>
    </row>
    <row r="355" spans="2:2" x14ac:dyDescent="0.25">
      <c r="B355" s="97"/>
    </row>
    <row r="356" spans="2:2" x14ac:dyDescent="0.25">
      <c r="B356" s="97"/>
    </row>
    <row r="357" spans="2:2" x14ac:dyDescent="0.25">
      <c r="B357" s="97"/>
    </row>
    <row r="358" spans="2:2" x14ac:dyDescent="0.25">
      <c r="B358" s="97"/>
    </row>
    <row r="359" spans="2:2" x14ac:dyDescent="0.25">
      <c r="B359" s="97"/>
    </row>
    <row r="360" spans="2:2" x14ac:dyDescent="0.25">
      <c r="B360" s="97"/>
    </row>
    <row r="361" spans="2:2" x14ac:dyDescent="0.25">
      <c r="B361" s="97"/>
    </row>
    <row r="362" spans="2:2" x14ac:dyDescent="0.25">
      <c r="B362" s="97"/>
    </row>
    <row r="363" spans="2:2" x14ac:dyDescent="0.25">
      <c r="B363" s="97"/>
    </row>
    <row r="364" spans="2:2" x14ac:dyDescent="0.25">
      <c r="B364" s="97"/>
    </row>
    <row r="365" spans="2:2" x14ac:dyDescent="0.25">
      <c r="B365" s="97"/>
    </row>
    <row r="366" spans="2:2" x14ac:dyDescent="0.25">
      <c r="B366" s="97"/>
    </row>
    <row r="367" spans="2:2" x14ac:dyDescent="0.25">
      <c r="B367" s="97"/>
    </row>
    <row r="368" spans="2:2" x14ac:dyDescent="0.25">
      <c r="B368" s="97"/>
    </row>
    <row r="369" spans="2:2" x14ac:dyDescent="0.25">
      <c r="B369" s="97"/>
    </row>
    <row r="370" spans="2:2" x14ac:dyDescent="0.25">
      <c r="B370" s="97"/>
    </row>
    <row r="371" spans="2:2" x14ac:dyDescent="0.25">
      <c r="B371" s="97"/>
    </row>
    <row r="372" spans="2:2" x14ac:dyDescent="0.25">
      <c r="B372" s="97"/>
    </row>
    <row r="373" spans="2:2" x14ac:dyDescent="0.25">
      <c r="B373" s="97"/>
    </row>
    <row r="374" spans="2:2" x14ac:dyDescent="0.25">
      <c r="B374" s="97"/>
    </row>
    <row r="375" spans="2:2" x14ac:dyDescent="0.25">
      <c r="B375" s="97"/>
    </row>
    <row r="376" spans="2:2" x14ac:dyDescent="0.25">
      <c r="B376" s="97"/>
    </row>
    <row r="377" spans="2:2" x14ac:dyDescent="0.25">
      <c r="B377" s="97"/>
    </row>
    <row r="378" spans="2:2" x14ac:dyDescent="0.25">
      <c r="B378" s="97"/>
    </row>
    <row r="379" spans="2:2" x14ac:dyDescent="0.25">
      <c r="B379" s="97"/>
    </row>
    <row r="380" spans="2:2" x14ac:dyDescent="0.25">
      <c r="B380" s="97"/>
    </row>
    <row r="381" spans="2:2" x14ac:dyDescent="0.25">
      <c r="B381" s="97"/>
    </row>
    <row r="382" spans="2:2" x14ac:dyDescent="0.25">
      <c r="B382" s="97"/>
    </row>
    <row r="383" spans="2:2" x14ac:dyDescent="0.25">
      <c r="B383" s="97"/>
    </row>
    <row r="384" spans="2:2" x14ac:dyDescent="0.25">
      <c r="B384" s="97"/>
    </row>
    <row r="385" spans="2:2" x14ac:dyDescent="0.25">
      <c r="B385" s="97"/>
    </row>
    <row r="386" spans="2:2" x14ac:dyDescent="0.25">
      <c r="B386" s="97"/>
    </row>
    <row r="387" spans="2:2" x14ac:dyDescent="0.25">
      <c r="B387" s="97"/>
    </row>
    <row r="388" spans="2:2" x14ac:dyDescent="0.25">
      <c r="B388" s="97"/>
    </row>
    <row r="389" spans="2:2" x14ac:dyDescent="0.25">
      <c r="B389" s="97"/>
    </row>
    <row r="390" spans="2:2" x14ac:dyDescent="0.25">
      <c r="B390" s="97"/>
    </row>
    <row r="391" spans="2:2" x14ac:dyDescent="0.25">
      <c r="B391" s="97"/>
    </row>
    <row r="392" spans="2:2" x14ac:dyDescent="0.25">
      <c r="B392" s="97"/>
    </row>
    <row r="393" spans="2:2" x14ac:dyDescent="0.25">
      <c r="B393" s="97"/>
    </row>
    <row r="394" spans="2:2" x14ac:dyDescent="0.25">
      <c r="B394" s="97"/>
    </row>
    <row r="395" spans="2:2" x14ac:dyDescent="0.25">
      <c r="B395" s="97"/>
    </row>
    <row r="396" spans="2:2" x14ac:dyDescent="0.25">
      <c r="B396" s="97"/>
    </row>
    <row r="397" spans="2:2" x14ac:dyDescent="0.25">
      <c r="B397" s="97"/>
    </row>
    <row r="398" spans="2:2" x14ac:dyDescent="0.25">
      <c r="B398" s="97"/>
    </row>
    <row r="399" spans="2:2" x14ac:dyDescent="0.25">
      <c r="B399" s="97"/>
    </row>
    <row r="400" spans="2:2" x14ac:dyDescent="0.25">
      <c r="B400" s="97"/>
    </row>
    <row r="401" spans="2:2" x14ac:dyDescent="0.25">
      <c r="B401" s="97"/>
    </row>
    <row r="402" spans="2:2" x14ac:dyDescent="0.25">
      <c r="B402" s="97"/>
    </row>
    <row r="403" spans="2:2" x14ac:dyDescent="0.25">
      <c r="B403" s="97"/>
    </row>
    <row r="404" spans="2:2" x14ac:dyDescent="0.25">
      <c r="B404" s="97"/>
    </row>
    <row r="405" spans="2:2" x14ac:dyDescent="0.25">
      <c r="B405" s="97"/>
    </row>
    <row r="406" spans="2:2" x14ac:dyDescent="0.25">
      <c r="B406" s="97"/>
    </row>
    <row r="407" spans="2:2" x14ac:dyDescent="0.25">
      <c r="B407" s="97"/>
    </row>
    <row r="408" spans="2:2" x14ac:dyDescent="0.25">
      <c r="B408" s="97"/>
    </row>
    <row r="409" spans="2:2" x14ac:dyDescent="0.25">
      <c r="B409" s="97"/>
    </row>
    <row r="410" spans="2:2" x14ac:dyDescent="0.25">
      <c r="B410" s="97"/>
    </row>
    <row r="411" spans="2:2" x14ac:dyDescent="0.25">
      <c r="B411" s="97"/>
    </row>
    <row r="412" spans="2:2" x14ac:dyDescent="0.25">
      <c r="B412" s="97"/>
    </row>
    <row r="413" spans="2:2" x14ac:dyDescent="0.25">
      <c r="B413" s="97"/>
    </row>
    <row r="414" spans="2:2" x14ac:dyDescent="0.25">
      <c r="B414" s="97"/>
    </row>
    <row r="415" spans="2:2" x14ac:dyDescent="0.25">
      <c r="B415" s="97"/>
    </row>
    <row r="416" spans="2:2" x14ac:dyDescent="0.25">
      <c r="B416" s="97"/>
    </row>
    <row r="417" spans="2:2" x14ac:dyDescent="0.25">
      <c r="B417" s="97"/>
    </row>
    <row r="418" spans="2:2" x14ac:dyDescent="0.25">
      <c r="B418" s="97"/>
    </row>
    <row r="419" spans="2:2" x14ac:dyDescent="0.25">
      <c r="B419" s="97"/>
    </row>
    <row r="420" spans="2:2" x14ac:dyDescent="0.25">
      <c r="B420" s="97"/>
    </row>
    <row r="421" spans="2:2" x14ac:dyDescent="0.25">
      <c r="B421" s="97"/>
    </row>
    <row r="422" spans="2:2" x14ac:dyDescent="0.25">
      <c r="B422" s="97"/>
    </row>
    <row r="423" spans="2:2" x14ac:dyDescent="0.25">
      <c r="B423" s="97"/>
    </row>
    <row r="424" spans="2:2" x14ac:dyDescent="0.25">
      <c r="B424" s="97"/>
    </row>
    <row r="425" spans="2:2" x14ac:dyDescent="0.25">
      <c r="B425" s="97"/>
    </row>
    <row r="426" spans="2:2" x14ac:dyDescent="0.25">
      <c r="B426" s="97"/>
    </row>
    <row r="427" spans="2:2" x14ac:dyDescent="0.25">
      <c r="B427" s="97"/>
    </row>
    <row r="428" spans="2:2" x14ac:dyDescent="0.25">
      <c r="B428" s="97"/>
    </row>
    <row r="429" spans="2:2" x14ac:dyDescent="0.25">
      <c r="B429" s="97"/>
    </row>
    <row r="430" spans="2:2" x14ac:dyDescent="0.25">
      <c r="B430" s="97"/>
    </row>
    <row r="431" spans="2:2" x14ac:dyDescent="0.25">
      <c r="B431" s="97"/>
    </row>
    <row r="432" spans="2:2" x14ac:dyDescent="0.25">
      <c r="B432" s="97"/>
    </row>
    <row r="433" spans="2:2" x14ac:dyDescent="0.25">
      <c r="B433" s="97"/>
    </row>
    <row r="434" spans="2:2" x14ac:dyDescent="0.25">
      <c r="B434" s="97"/>
    </row>
    <row r="435" spans="2:2" x14ac:dyDescent="0.25">
      <c r="B435" s="97"/>
    </row>
    <row r="436" spans="2:2" x14ac:dyDescent="0.25">
      <c r="B436" s="97"/>
    </row>
    <row r="437" spans="2:2" x14ac:dyDescent="0.25">
      <c r="B437" s="97"/>
    </row>
    <row r="438" spans="2:2" x14ac:dyDescent="0.25">
      <c r="B438" s="97"/>
    </row>
    <row r="439" spans="2:2" x14ac:dyDescent="0.25">
      <c r="B439" s="97"/>
    </row>
    <row r="440" spans="2:2" x14ac:dyDescent="0.25">
      <c r="B440" s="97"/>
    </row>
    <row r="441" spans="2:2" x14ac:dyDescent="0.25">
      <c r="B441" s="97"/>
    </row>
    <row r="442" spans="2:2" x14ac:dyDescent="0.25">
      <c r="B442" s="97"/>
    </row>
    <row r="443" spans="2:2" x14ac:dyDescent="0.25">
      <c r="B443" s="97"/>
    </row>
    <row r="444" spans="2:2" x14ac:dyDescent="0.25">
      <c r="B444" s="97"/>
    </row>
  </sheetData>
  <sheetProtection algorithmName="SHA-512" hashValue="timhFLsYutLypsCd9z4RUzTZ9o1AsLuWdCwT53fSvwBLrN7iqvvejmGHL0ZGTDQdHoX54sHYw1Xo4rlf2yX6jQ==" saltValue="0KB+YxchWzOEQoWdWLJ9Zw==" spinCount="100000" sheet="1" objects="1" scenarios="1"/>
  <phoneticPr fontId="52" type="noConversion"/>
  <hyperlinks>
    <hyperlink ref="C1" location="Form!A1" tooltip=" " display="Form!A1" xr:uid="{00000000-0004-0000-2B00-000000000000}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8">
    <tabColor theme="1" tint="0.499984740745262"/>
  </sheetPr>
  <dimension ref="A1:Z800"/>
  <sheetViews>
    <sheetView topLeftCell="AA1" workbookViewId="0">
      <selection activeCell="AH6" sqref="AH6"/>
    </sheetView>
  </sheetViews>
  <sheetFormatPr defaultRowHeight="14.5" x14ac:dyDescent="0.35"/>
  <cols>
    <col min="1" max="1" width="44.26953125" hidden="1" customWidth="1"/>
    <col min="2" max="2" width="16.1796875" hidden="1" customWidth="1"/>
    <col min="3" max="3" width="7.1796875" hidden="1" customWidth="1"/>
    <col min="4" max="4" width="2.1796875" style="523" hidden="1" customWidth="1"/>
    <col min="5" max="5" width="1.54296875" hidden="1" customWidth="1"/>
    <col min="6" max="6" width="11.81640625" hidden="1" customWidth="1"/>
    <col min="7" max="8" width="4" hidden="1" customWidth="1"/>
    <col min="9" max="9" width="9.453125" hidden="1" customWidth="1"/>
    <col min="10" max="10" width="5" hidden="1" customWidth="1"/>
    <col min="11" max="11" width="4.26953125" style="24" hidden="1" customWidth="1"/>
    <col min="12" max="12" width="44.26953125" hidden="1" customWidth="1"/>
    <col min="13" max="13" width="16.54296875" hidden="1" customWidth="1"/>
    <col min="14" max="14" width="9.1796875" hidden="1" customWidth="1"/>
    <col min="15" max="15" width="3.26953125" style="526" hidden="1" customWidth="1"/>
    <col min="16" max="16" width="1.54296875" hidden="1" customWidth="1"/>
    <col min="17" max="17" width="13.7265625" hidden="1" customWidth="1"/>
    <col min="18" max="19" width="1.81640625" hidden="1" customWidth="1"/>
    <col min="20" max="21" width="13.7265625" hidden="1" customWidth="1"/>
    <col min="22" max="22" width="0" hidden="1" customWidth="1"/>
    <col min="23" max="23" width="17.54296875" hidden="1" customWidth="1"/>
    <col min="24" max="26" width="0" hidden="1" customWidth="1"/>
  </cols>
  <sheetData>
    <row r="1" spans="1:25" ht="15" thickBot="1" x14ac:dyDescent="0.4">
      <c r="A1" s="2"/>
      <c r="B1" s="2"/>
      <c r="C1" s="2"/>
      <c r="D1" s="73"/>
      <c r="E1" s="2"/>
      <c r="F1" s="2"/>
      <c r="G1" s="2"/>
      <c r="H1" s="2"/>
      <c r="I1" s="2"/>
      <c r="J1" s="2"/>
      <c r="O1" s="524"/>
    </row>
    <row r="2" spans="1:25" ht="15" thickBot="1" x14ac:dyDescent="0.4">
      <c r="A2" s="74" t="s">
        <v>74</v>
      </c>
      <c r="B2" s="75" t="str">
        <f>IF(C2=1,"šedá",IF(C2=2,"hedvábně bílá",IF(C2=3,"černá Terra",IF(C2=4,"silver", IF(C2=5, "Inox", "x")))))</f>
        <v>šedá</v>
      </c>
      <c r="C2" s="76">
        <f>Form!$O$2</f>
        <v>1</v>
      </c>
      <c r="D2" s="505"/>
      <c r="E2" s="2"/>
      <c r="F2" s="2"/>
      <c r="G2" s="2"/>
      <c r="H2" s="2"/>
      <c r="I2" s="2"/>
      <c r="J2" s="2"/>
      <c r="L2" s="159" t="str">
        <f>List!$B$113</f>
        <v>Zpět na úvod</v>
      </c>
      <c r="O2" s="524"/>
    </row>
    <row r="3" spans="1:25" ht="15" thickBot="1" x14ac:dyDescent="0.4">
      <c r="A3" s="74" t="s">
        <v>1374</v>
      </c>
      <c r="B3" s="75" t="str">
        <f>IF(C3=1,"standard",IF(C3=2,"tenké","chyba"))</f>
        <v>standard</v>
      </c>
      <c r="C3" s="76">
        <f>Form!$R$14</f>
        <v>1</v>
      </c>
      <c r="D3" s="505"/>
      <c r="E3" s="2"/>
      <c r="F3" s="2"/>
      <c r="G3" s="2"/>
      <c r="H3" s="2"/>
      <c r="I3" s="2"/>
      <c r="J3" s="2"/>
      <c r="K3" s="51"/>
      <c r="O3" s="524"/>
    </row>
    <row r="4" spans="1:25" ht="15" thickBot="1" x14ac:dyDescent="0.4">
      <c r="A4" s="74" t="s">
        <v>84</v>
      </c>
      <c r="B4" s="75" t="str">
        <f>IF(C4=1,"na vruty",IF(C4=2,"EXPANDO","chyba"))</f>
        <v>na vruty</v>
      </c>
      <c r="C4" s="76">
        <f>Form!$O$14</f>
        <v>1</v>
      </c>
      <c r="D4" s="505"/>
      <c r="E4" s="2"/>
      <c r="F4" s="2"/>
      <c r="G4" s="2"/>
      <c r="H4" s="2"/>
      <c r="I4" s="2"/>
      <c r="J4" s="2"/>
      <c r="O4" s="524"/>
    </row>
    <row r="5" spans="1:25" x14ac:dyDescent="0.35">
      <c r="A5" s="2"/>
      <c r="B5" s="2"/>
      <c r="C5" s="2"/>
      <c r="D5" s="73"/>
      <c r="E5" s="2"/>
      <c r="F5" s="2"/>
      <c r="G5" s="2"/>
      <c r="H5" s="2"/>
      <c r="I5" s="2"/>
      <c r="J5" s="2"/>
      <c r="O5" s="524"/>
    </row>
    <row r="6" spans="1:25" x14ac:dyDescent="0.35">
      <c r="A6" s="74" t="s">
        <v>75</v>
      </c>
      <c r="B6" s="2"/>
      <c r="C6" s="73">
        <f>Form!$O$24</f>
        <v>1</v>
      </c>
      <c r="D6" s="73"/>
      <c r="E6" s="2"/>
      <c r="F6" s="93">
        <f>Form!$J$23</f>
        <v>0</v>
      </c>
      <c r="G6" s="167"/>
      <c r="H6" s="167"/>
      <c r="I6" s="167"/>
      <c r="J6" s="167"/>
      <c r="O6" s="524"/>
    </row>
    <row r="7" spans="1:25" x14ac:dyDescent="0.35">
      <c r="A7" s="2"/>
      <c r="B7" s="2"/>
      <c r="C7" s="2"/>
      <c r="D7" s="73"/>
      <c r="E7" s="2"/>
      <c r="F7" s="2"/>
      <c r="G7" s="2"/>
      <c r="H7" s="2"/>
      <c r="I7" s="2"/>
      <c r="J7" s="2"/>
      <c r="O7" s="524"/>
    </row>
    <row r="8" spans="1:25" x14ac:dyDescent="0.35">
      <c r="A8" s="2"/>
      <c r="B8" s="2"/>
      <c r="C8" s="2"/>
      <c r="D8" s="73"/>
      <c r="E8" s="2"/>
      <c r="F8" s="2"/>
      <c r="G8" s="2"/>
      <c r="H8" s="2"/>
      <c r="I8" s="2"/>
      <c r="J8" s="2"/>
      <c r="O8" s="524"/>
    </row>
    <row r="9" spans="1:25" x14ac:dyDescent="0.35">
      <c r="A9" s="2"/>
      <c r="B9" s="2"/>
      <c r="C9" s="2"/>
      <c r="D9" s="73"/>
      <c r="E9" s="2"/>
      <c r="F9" s="2"/>
      <c r="G9" s="2"/>
      <c r="H9" s="2"/>
      <c r="I9" s="2"/>
      <c r="J9" s="2"/>
      <c r="O9" s="524"/>
    </row>
    <row r="10" spans="1:25" ht="15" thickBot="1" x14ac:dyDescent="0.4">
      <c r="A10" s="85" t="str">
        <f t="shared" ref="A10:J10" si="0">L10</f>
        <v>Název</v>
      </c>
      <c r="B10" s="85" t="str">
        <f t="shared" si="0"/>
        <v>Číslo artiklu</v>
      </c>
      <c r="C10" s="85" t="str">
        <f t="shared" si="0"/>
        <v>Barva</v>
      </c>
      <c r="D10" s="85" t="str">
        <f t="shared" si="0"/>
        <v>Dostupnost</v>
      </c>
      <c r="E10" s="85" t="str">
        <f t="shared" si="0"/>
        <v>Počet</v>
      </c>
      <c r="F10" s="537" t="str">
        <f t="shared" si="0"/>
        <v>Jednotková cena</v>
      </c>
      <c r="G10" s="537" t="str">
        <f t="shared" si="0"/>
        <v>Celkem</v>
      </c>
      <c r="H10" s="537" t="str">
        <f t="shared" si="0"/>
        <v>Změna</v>
      </c>
      <c r="I10" s="537" t="str">
        <f t="shared" si="0"/>
        <v>IDNr.</v>
      </c>
      <c r="J10" s="537">
        <f t="shared" si="0"/>
        <v>0</v>
      </c>
      <c r="K10" s="20"/>
      <c r="L10" s="60" t="str">
        <f>Price!A10</f>
        <v>Název</v>
      </c>
      <c r="M10" s="60" t="str">
        <f>Price!B10</f>
        <v>Číslo artiklu</v>
      </c>
      <c r="N10" s="60" t="str">
        <f>Price!C10</f>
        <v>Barva</v>
      </c>
      <c r="O10" s="60" t="str">
        <f>Price!D10</f>
        <v>Dostupnost</v>
      </c>
      <c r="P10" s="60" t="str">
        <f>List!B101</f>
        <v>Počet</v>
      </c>
      <c r="Q10" s="60" t="str">
        <f>Price!F10</f>
        <v>Jednotková cena</v>
      </c>
      <c r="R10" s="60" t="str">
        <f>List!$B$107</f>
        <v>Celkem</v>
      </c>
      <c r="S10" s="60" t="str">
        <f>List!$B$108</f>
        <v>Změna</v>
      </c>
      <c r="T10" s="166" t="str">
        <f>Price!G10</f>
        <v>IDNr.</v>
      </c>
      <c r="U10" s="166">
        <f>Price!H10</f>
        <v>0</v>
      </c>
      <c r="V10" s="13"/>
      <c r="W10" s="12" t="s">
        <v>239</v>
      </c>
      <c r="X10" s="14"/>
      <c r="Y10" s="14"/>
    </row>
    <row r="11" spans="1:25" ht="15" thickBot="1" x14ac:dyDescent="0.4">
      <c r="A11" s="86" t="str">
        <f>IF($C$2=1,L11,IF($C$2=2,L12,IF($C$2=3,L13,IF($C$2=4,L14, IF($C$2=5, L15, "  chyba")))))</f>
        <v>Bočnice N 400mm, Orion šedá</v>
      </c>
      <c r="B11" s="87" t="str">
        <f t="shared" ref="B11" si="1">IF($C$2=1,M11,IF($C$2=2,M12,IF($C$2=3,M13,IF($C$2=4,M14, IF($C$2=5, M15, "  chyba")))))</f>
        <v>770N4002S</v>
      </c>
      <c r="C11" s="87" t="str">
        <f t="shared" ref="C11" si="2">IF($C$2=1,N11,IF($C$2=2,N12,IF($C$2=3,N13,IF($C$2=4,N14, IF($C$2=5, N15, "  chyba")))))</f>
        <v>OG-M</v>
      </c>
      <c r="D11" s="527" t="str">
        <f t="shared" ref="D11" si="3">IF($C$2=1,O11,IF($C$2=2,O12,IF($C$2=3,O13,IF($C$2=4,O14, IF($C$2=5, O15, "  chyba")))))</f>
        <v>!</v>
      </c>
      <c r="E11" s="88"/>
      <c r="F11" s="89">
        <f t="shared" ref="F11" si="4">IF($C$2=1,Q11,IF($C$2=2,Q12,IF($C$2=3,Q13,IF($C$2=4,Q14, IF($C$2=5, Q15, "  chyba")))))</f>
        <v>595.32592999999997</v>
      </c>
      <c r="G11" s="65"/>
      <c r="H11" s="65"/>
      <c r="I11" s="168">
        <f t="shared" ref="I11" si="5">IF($C$2=1,T11,IF($C$2=2,T12,IF($C$2=3,T13,IF($C$2=4,T14, IF($C$2=5, T15, "  chyba")))))</f>
        <v>1644316</v>
      </c>
      <c r="J11" s="168">
        <f t="shared" ref="J11" si="6">IF($C$2=1,U11,IF($C$2=2,U12,IF($C$2=3,U13,IF($C$2=4,U14, IF($C$2=5, U15, "  chyba")))))</f>
        <v>348904</v>
      </c>
      <c r="K11" s="20"/>
      <c r="L11" s="61" t="str">
        <f>Price!A11</f>
        <v>Bočnice N 400mm, Orion šedá</v>
      </c>
      <c r="M11" s="15" t="str">
        <f>Price!B11</f>
        <v>770N4002S</v>
      </c>
      <c r="N11" s="15" t="str">
        <f>Price!C11</f>
        <v>OG-M</v>
      </c>
      <c r="O11" s="525" t="str">
        <f>Price!D11</f>
        <v>!</v>
      </c>
      <c r="P11" s="16"/>
      <c r="Q11" s="17">
        <f>Price!F11</f>
        <v>595.32592999999997</v>
      </c>
      <c r="R11" s="318"/>
      <c r="S11" s="318"/>
      <c r="T11" s="12">
        <f>Price!G11</f>
        <v>1644316</v>
      </c>
      <c r="U11" s="252">
        <f>Price!H11</f>
        <v>348904</v>
      </c>
      <c r="V11" s="13"/>
      <c r="W11" s="18">
        <f>Price!H8</f>
        <v>43543</v>
      </c>
      <c r="X11" s="14"/>
      <c r="Y11" s="14"/>
    </row>
    <row r="12" spans="1:25" x14ac:dyDescent="0.35">
      <c r="A12" s="85"/>
      <c r="B12" s="85"/>
      <c r="C12" s="85"/>
      <c r="D12" s="85"/>
      <c r="E12" s="85"/>
      <c r="F12" s="537"/>
      <c r="G12" s="537"/>
      <c r="H12" s="537"/>
      <c r="I12" s="537"/>
      <c r="J12" s="537"/>
      <c r="K12" s="20"/>
      <c r="L12" s="61" t="str">
        <f>Price!A12</f>
        <v>Bočnice N 440mm, hedvábně bílá</v>
      </c>
      <c r="M12" s="15" t="str">
        <f>Price!B12</f>
        <v>770N4002S</v>
      </c>
      <c r="N12" s="15" t="str">
        <f>Price!C12</f>
        <v>SW-M</v>
      </c>
      <c r="O12" s="525" t="str">
        <f>Price!D12</f>
        <v>!</v>
      </c>
      <c r="P12" s="16"/>
      <c r="Q12" s="17">
        <f>Price!F12</f>
        <v>595.32592999999997</v>
      </c>
      <c r="R12" s="318"/>
      <c r="S12" s="318"/>
      <c r="T12" s="12">
        <f>Price!G12</f>
        <v>1719428</v>
      </c>
      <c r="U12" s="252">
        <f>Price!H12</f>
        <v>348902</v>
      </c>
      <c r="V12" s="13"/>
      <c r="X12" s="14"/>
      <c r="Y12" s="14"/>
    </row>
    <row r="13" spans="1:25" x14ac:dyDescent="0.35">
      <c r="A13" s="85"/>
      <c r="B13" s="85"/>
      <c r="C13" s="85"/>
      <c r="D13" s="85"/>
      <c r="E13" s="85"/>
      <c r="F13" s="537"/>
      <c r="G13" s="537"/>
      <c r="H13" s="537"/>
      <c r="I13" s="537"/>
      <c r="J13" s="537"/>
      <c r="K13" s="20"/>
      <c r="L13" s="61" t="str">
        <f>Price!A13</f>
        <v xml:space="preserve">Bočnice N 400mm, Terra černá </v>
      </c>
      <c r="M13" s="15" t="str">
        <f>Price!B13</f>
        <v>770N4002S</v>
      </c>
      <c r="N13" s="15" t="str">
        <f>Price!C13</f>
        <v>TS-M</v>
      </c>
      <c r="O13" s="525" t="str">
        <f>Price!D13</f>
        <v>!</v>
      </c>
      <c r="P13" s="16"/>
      <c r="Q13" s="17">
        <f>Price!F13</f>
        <v>595.32600000000002</v>
      </c>
      <c r="R13" s="318"/>
      <c r="S13" s="318"/>
      <c r="T13" s="12">
        <f>Price!G13</f>
        <v>1892938</v>
      </c>
      <c r="U13" s="252">
        <f>Price!H13</f>
        <v>348905</v>
      </c>
      <c r="V13" s="13"/>
      <c r="X13" s="14"/>
      <c r="Y13" s="14"/>
    </row>
    <row r="14" spans="1:25" x14ac:dyDescent="0.35">
      <c r="A14" s="85"/>
      <c r="B14" s="85"/>
      <c r="C14" s="85"/>
      <c r="D14" s="85"/>
      <c r="E14" s="85"/>
      <c r="F14" s="537"/>
      <c r="G14" s="537"/>
      <c r="H14" s="537"/>
      <c r="I14" s="537"/>
      <c r="J14" s="537"/>
      <c r="K14" s="20"/>
      <c r="L14" s="61" t="str">
        <f>Price!A14</f>
        <v>Bočnice N 400mm, Polar stříbrná</v>
      </c>
      <c r="M14" s="15" t="str">
        <f>Price!B14</f>
        <v>770N4002S</v>
      </c>
      <c r="N14" s="15" t="str">
        <f>Price!C14</f>
        <v>PS-M</v>
      </c>
      <c r="O14" s="525" t="str">
        <f>Price!D14</f>
        <v>!</v>
      </c>
      <c r="P14" s="16"/>
      <c r="Q14" s="17">
        <f>Price!F14</f>
        <v>595.32592999999997</v>
      </c>
      <c r="R14" s="318"/>
      <c r="S14" s="318"/>
      <c r="T14" s="12">
        <f>Price!G14</f>
        <v>3535490</v>
      </c>
      <c r="U14" s="252">
        <f>Price!H14</f>
        <v>348907</v>
      </c>
      <c r="V14" s="13"/>
      <c r="X14" s="14"/>
      <c r="Y14" s="14"/>
    </row>
    <row r="15" spans="1:25" x14ac:dyDescent="0.35">
      <c r="A15" s="85"/>
      <c r="B15" s="85"/>
      <c r="C15" s="85"/>
      <c r="D15" s="85"/>
      <c r="E15" s="85"/>
      <c r="F15" s="537"/>
      <c r="G15" s="537"/>
      <c r="H15" s="537"/>
      <c r="I15" s="537"/>
      <c r="J15" s="537"/>
      <c r="K15" s="20"/>
      <c r="L15" s="61">
        <f>Price!A15</f>
        <v>0</v>
      </c>
      <c r="M15" s="15">
        <f>Price!B15</f>
        <v>0</v>
      </c>
      <c r="N15" s="15">
        <f>Price!C15</f>
        <v>0</v>
      </c>
      <c r="O15" s="525">
        <f>Price!D15</f>
        <v>0</v>
      </c>
      <c r="P15" s="16"/>
      <c r="Q15" s="17">
        <f>Price!F15</f>
        <v>0</v>
      </c>
      <c r="R15" s="318"/>
      <c r="S15" s="318"/>
      <c r="T15" s="12">
        <f>Price!G15</f>
        <v>0</v>
      </c>
      <c r="U15" s="252">
        <f>Price!H15</f>
        <v>0</v>
      </c>
      <c r="V15" s="13"/>
      <c r="X15" s="14"/>
      <c r="Y15" s="14"/>
    </row>
    <row r="16" spans="1:25" ht="15" thickBot="1" x14ac:dyDescent="0.4">
      <c r="A16" s="86" t="str">
        <f>IF($C$2=1,L16,IF($C$2=2,L17,IF($C$2=3,L18,IF($C$2=4,L19, IF($C$2=5, L20, "  chyba")))))</f>
        <v>Bočnice N 450mm, Orion šedá</v>
      </c>
      <c r="B16" s="87" t="str">
        <f t="shared" ref="B16:F16" si="7">IF($C$2=1,M16,IF($C$2=2,M17,IF($C$2=3,M18,IF($C$2=4,M19, IF($C$2=5, M20, "  chyba")))))</f>
        <v>770N4502S</v>
      </c>
      <c r="C16" s="87" t="str">
        <f t="shared" si="7"/>
        <v>OG-M</v>
      </c>
      <c r="D16" s="527" t="str">
        <f t="shared" si="7"/>
        <v>!</v>
      </c>
      <c r="E16" s="88"/>
      <c r="F16" s="89">
        <f t="shared" si="7"/>
        <v>602.38358000000005</v>
      </c>
      <c r="G16" s="65"/>
      <c r="H16" s="65"/>
      <c r="I16" s="168">
        <f t="shared" ref="I16:J16" si="8">IF($C$2=1,T16,IF($C$2=2,T17,IF($C$2=3,T18,IF($C$2=4,T19, IF($C$2=5, T20, "  chyba")))))</f>
        <v>9950830</v>
      </c>
      <c r="J16" s="168">
        <f t="shared" si="8"/>
        <v>227434</v>
      </c>
      <c r="K16" s="20"/>
      <c r="L16" s="61" t="str">
        <f>Price!A16</f>
        <v>Bočnice N 450mm, Orion šedá</v>
      </c>
      <c r="M16" s="15" t="str">
        <f>Price!B16</f>
        <v>770N4502S</v>
      </c>
      <c r="N16" s="15" t="str">
        <f>Price!C16</f>
        <v>OG-M</v>
      </c>
      <c r="O16" s="525" t="str">
        <f>Price!D16</f>
        <v>!</v>
      </c>
      <c r="P16" s="16"/>
      <c r="Q16" s="17">
        <f>Price!F16</f>
        <v>602.38358000000005</v>
      </c>
      <c r="R16" s="318"/>
      <c r="S16" s="318"/>
      <c r="T16" s="12">
        <f>Price!G16</f>
        <v>9950830</v>
      </c>
      <c r="U16" s="252">
        <f>Price!H16</f>
        <v>227434</v>
      </c>
      <c r="V16" s="13"/>
      <c r="W16" s="14"/>
      <c r="X16" s="14"/>
      <c r="Y16" s="14"/>
    </row>
    <row r="17" spans="1:26" x14ac:dyDescent="0.35">
      <c r="A17" s="77"/>
      <c r="B17" s="160"/>
      <c r="C17" s="160"/>
      <c r="D17" s="528"/>
      <c r="E17" s="78"/>
      <c r="F17" s="65"/>
      <c r="G17" s="65"/>
      <c r="H17" s="65"/>
      <c r="I17" s="65"/>
      <c r="J17" s="65"/>
      <c r="K17" s="20"/>
      <c r="L17" s="61" t="str">
        <f>Price!A17</f>
        <v>Bočnice N 450mm, hedvábně bílá</v>
      </c>
      <c r="M17" s="15" t="str">
        <f>Price!B17</f>
        <v>770N4502S</v>
      </c>
      <c r="N17" s="15" t="str">
        <f>Price!C17</f>
        <v>SW-M</v>
      </c>
      <c r="O17" s="525" t="str">
        <f>Price!D17</f>
        <v>!</v>
      </c>
      <c r="P17" s="16"/>
      <c r="Q17" s="17">
        <f>Price!F17</f>
        <v>602.38358000000005</v>
      </c>
      <c r="R17" s="318"/>
      <c r="S17" s="318"/>
      <c r="T17" s="12">
        <f>Price!G17</f>
        <v>9968111</v>
      </c>
      <c r="U17" s="252">
        <f>Price!H17</f>
        <v>227433</v>
      </c>
      <c r="V17" s="13"/>
      <c r="X17" s="14"/>
      <c r="Y17" s="14"/>
    </row>
    <row r="18" spans="1:26" x14ac:dyDescent="0.35">
      <c r="A18" s="79"/>
      <c r="B18" s="161"/>
      <c r="C18" s="161"/>
      <c r="D18" s="529"/>
      <c r="E18" s="78"/>
      <c r="F18" s="67"/>
      <c r="G18" s="67"/>
      <c r="H18" s="67"/>
      <c r="I18" s="67"/>
      <c r="J18" s="67"/>
      <c r="K18" s="62"/>
      <c r="L18" s="61" t="str">
        <f>Price!A18</f>
        <v>Bočnice N 450mm, Terra černá</v>
      </c>
      <c r="M18" s="15" t="str">
        <f>Price!B18</f>
        <v>770N4502S</v>
      </c>
      <c r="N18" s="15" t="str">
        <f>Price!C18</f>
        <v>TS-M</v>
      </c>
      <c r="O18" s="525" t="str">
        <f>Price!D18</f>
        <v>!</v>
      </c>
      <c r="P18" s="16"/>
      <c r="Q18" s="17">
        <f>Price!F18</f>
        <v>602.38358000000005</v>
      </c>
      <c r="R18" s="318"/>
      <c r="S18" s="318"/>
      <c r="T18" s="12">
        <f>Price!G18</f>
        <v>9976170</v>
      </c>
      <c r="U18" s="252">
        <f>Price!H18</f>
        <v>227435</v>
      </c>
      <c r="V18" s="13"/>
      <c r="X18" s="14"/>
      <c r="Y18" s="14"/>
    </row>
    <row r="19" spans="1:26" x14ac:dyDescent="0.35">
      <c r="A19" s="79"/>
      <c r="B19" s="161"/>
      <c r="C19" s="161"/>
      <c r="D19" s="529"/>
      <c r="E19" s="78"/>
      <c r="F19" s="67"/>
      <c r="G19" s="67"/>
      <c r="H19" s="67"/>
      <c r="I19" s="67"/>
      <c r="J19" s="67"/>
      <c r="K19" s="62"/>
      <c r="L19" s="61" t="str">
        <f>Price!A19</f>
        <v>Bočnice N 450mm, Polar stříbrná</v>
      </c>
      <c r="M19" s="15" t="str">
        <f>Price!B19</f>
        <v>770N4502S</v>
      </c>
      <c r="N19" s="15" t="str">
        <f>Price!C19</f>
        <v>PS-M</v>
      </c>
      <c r="O19" s="525" t="str">
        <f>Price!D19</f>
        <v>!</v>
      </c>
      <c r="P19" s="16"/>
      <c r="Q19" s="17">
        <f>Price!F19</f>
        <v>602.38358000000005</v>
      </c>
      <c r="R19" s="318"/>
      <c r="S19" s="318"/>
      <c r="T19" s="12">
        <f>Price!G19</f>
        <v>1897318</v>
      </c>
      <c r="U19" s="252">
        <f>Price!H19</f>
        <v>348908</v>
      </c>
      <c r="V19" s="13"/>
      <c r="W19" s="741"/>
      <c r="X19" s="14"/>
      <c r="Y19" s="14"/>
    </row>
    <row r="20" spans="1:26" x14ac:dyDescent="0.35">
      <c r="A20" s="58"/>
      <c r="B20" s="160"/>
      <c r="C20" s="160"/>
      <c r="D20" s="528"/>
      <c r="E20" s="78"/>
      <c r="F20" s="65"/>
      <c r="G20" s="65"/>
      <c r="H20" s="65"/>
      <c r="I20" s="65"/>
      <c r="J20" s="65"/>
      <c r="K20" s="63"/>
      <c r="L20" s="61" t="str">
        <f>Price!A20</f>
        <v>Bočnice N 450mm, nerez</v>
      </c>
      <c r="M20" s="15" t="str">
        <f>Price!B20</f>
        <v>770N4502I</v>
      </c>
      <c r="N20" s="15" t="str">
        <f>Price!C20</f>
        <v>Inox</v>
      </c>
      <c r="O20" s="525" t="str">
        <f>Price!D20</f>
        <v>!</v>
      </c>
      <c r="P20" s="16"/>
      <c r="Q20" s="17">
        <f>Price!F20</f>
        <v>1122.5021200000001</v>
      </c>
      <c r="R20" s="318"/>
      <c r="S20" s="318"/>
      <c r="T20" s="12">
        <f>Price!G20</f>
        <v>9929474</v>
      </c>
      <c r="U20" s="252">
        <f>Price!H20</f>
        <v>227436</v>
      </c>
      <c r="V20" s="13"/>
      <c r="W20" s="13"/>
      <c r="X20" s="14"/>
      <c r="Y20" s="14"/>
    </row>
    <row r="21" spans="1:26" ht="15" thickBot="1" x14ac:dyDescent="0.4">
      <c r="A21" s="86" t="str">
        <f>IF($C$2=1,L21,IF($C$2=2,L22,IF($C$2=3,L23,IF($C$2=4,L24, IF($C$2=5, L25, "  chyba")))))</f>
        <v>Bočnice N 500mm, Orion šedá</v>
      </c>
      <c r="B21" s="87" t="str">
        <f t="shared" ref="B21" si="9">IF($C$2=1,M21,IF($C$2=2,M22,IF($C$2=3,M23,IF($C$2=4,M24, IF($C$2=5, M25, "  chyba")))))</f>
        <v>770N5002S</v>
      </c>
      <c r="C21" s="87" t="str">
        <f t="shared" ref="C21" si="10">IF($C$2=1,N21,IF($C$2=2,N22,IF($C$2=3,N23,IF($C$2=4,N24, IF($C$2=5, N25, "  chyba")))))</f>
        <v>OG-M</v>
      </c>
      <c r="D21" s="527">
        <f t="shared" ref="D21" si="11">IF($C$2=1,O21,IF($C$2=2,O22,IF($C$2=3,O23,IF($C$2=4,O24, IF($C$2=5, O25, "  chyba")))))</f>
        <v>0</v>
      </c>
      <c r="E21" s="88"/>
      <c r="F21" s="89">
        <f t="shared" ref="F21" si="12">IF($C$2=1,Q21,IF($C$2=2,Q22,IF($C$2=3,Q23,IF($C$2=4,Q24, IF($C$2=5, Q25, "  chyba")))))</f>
        <v>609.44718999999998</v>
      </c>
      <c r="G21" s="65"/>
      <c r="H21" s="65"/>
      <c r="I21" s="168">
        <f t="shared" ref="I21" si="13">IF($C$2=1,T21,IF($C$2=2,T22,IF($C$2=3,T23,IF($C$2=4,T24, IF($C$2=5, T25, "  chyba")))))</f>
        <v>9978373</v>
      </c>
      <c r="J21" s="168">
        <f t="shared" ref="J21" si="14">IF($C$2=1,U21,IF($C$2=2,U22,IF($C$2=3,U23,IF($C$2=4,U24, IF($C$2=5, U25, "  chyba")))))</f>
        <v>227438</v>
      </c>
      <c r="K21" s="20"/>
      <c r="L21" s="61" t="str">
        <f>Price!A21</f>
        <v>Bočnice N 500mm, Orion šedá</v>
      </c>
      <c r="M21" s="15" t="str">
        <f>Price!B21</f>
        <v>770N5002S</v>
      </c>
      <c r="N21" s="15" t="str">
        <f>Price!C21</f>
        <v>OG-M</v>
      </c>
      <c r="O21" s="525">
        <f>Price!D21</f>
        <v>0</v>
      </c>
      <c r="P21" s="16"/>
      <c r="Q21" s="17">
        <f>Price!F21</f>
        <v>609.44718999999998</v>
      </c>
      <c r="R21" s="318"/>
      <c r="S21" s="318"/>
      <c r="T21" s="12">
        <f>Price!G21</f>
        <v>9978373</v>
      </c>
      <c r="U21" s="252">
        <f>Price!H21</f>
        <v>227438</v>
      </c>
      <c r="V21" s="13"/>
      <c r="W21" s="57"/>
      <c r="X21" s="58"/>
      <c r="Y21" s="58"/>
      <c r="Z21" s="24"/>
    </row>
    <row r="22" spans="1:26" x14ac:dyDescent="0.35">
      <c r="A22" s="77"/>
      <c r="B22" s="160"/>
      <c r="C22" s="160"/>
      <c r="D22" s="528"/>
      <c r="E22" s="78"/>
      <c r="F22" s="65"/>
      <c r="G22" s="65"/>
      <c r="H22" s="65"/>
      <c r="I22" s="160"/>
      <c r="J22" s="160"/>
      <c r="K22" s="20"/>
      <c r="L22" s="61" t="str">
        <f>Price!A22</f>
        <v>Bočnice N 500mm, hedvábně bílá</v>
      </c>
      <c r="M22" s="15" t="str">
        <f>Price!B22</f>
        <v>770N5002S</v>
      </c>
      <c r="N22" s="15" t="str">
        <f>Price!C22</f>
        <v>SW-M</v>
      </c>
      <c r="O22" s="525">
        <f>Price!D22</f>
        <v>0</v>
      </c>
      <c r="P22" s="16"/>
      <c r="Q22" s="17">
        <f>Price!F22</f>
        <v>609.44718999999998</v>
      </c>
      <c r="R22" s="318"/>
      <c r="S22" s="318"/>
      <c r="T22" s="12">
        <f>Price!G22</f>
        <v>9980005</v>
      </c>
      <c r="U22" s="252">
        <f>Price!H22</f>
        <v>227437</v>
      </c>
      <c r="V22" s="13"/>
      <c r="W22" s="59"/>
      <c r="X22" s="59"/>
      <c r="Y22" s="59"/>
      <c r="Z22" s="24"/>
    </row>
    <row r="23" spans="1:26" x14ac:dyDescent="0.35">
      <c r="A23" s="79"/>
      <c r="B23" s="161"/>
      <c r="C23" s="161"/>
      <c r="D23" s="529"/>
      <c r="E23" s="78"/>
      <c r="F23" s="67"/>
      <c r="G23" s="67"/>
      <c r="H23" s="67"/>
      <c r="I23" s="161"/>
      <c r="J23" s="161"/>
      <c r="K23" s="62"/>
      <c r="L23" s="61" t="str">
        <f>Price!A23</f>
        <v>Bočnice N 500mm, Terra černá</v>
      </c>
      <c r="M23" s="15" t="str">
        <f>Price!B23</f>
        <v>770N5002S</v>
      </c>
      <c r="N23" s="15" t="str">
        <f>Price!C23</f>
        <v>TS-M</v>
      </c>
      <c r="O23" s="525">
        <f>Price!D23</f>
        <v>0</v>
      </c>
      <c r="P23" s="16"/>
      <c r="Q23" s="17">
        <f>Price!F23</f>
        <v>609.44718999999998</v>
      </c>
      <c r="R23" s="318"/>
      <c r="S23" s="318"/>
      <c r="T23" s="12">
        <f>Price!G23</f>
        <v>9995392</v>
      </c>
      <c r="U23" s="252">
        <f>Price!H23</f>
        <v>227439</v>
      </c>
      <c r="V23" s="13"/>
      <c r="W23" s="59"/>
      <c r="X23" s="59"/>
      <c r="Y23" s="59"/>
      <c r="Z23" s="24"/>
    </row>
    <row r="24" spans="1:26" x14ac:dyDescent="0.35">
      <c r="A24" s="79"/>
      <c r="B24" s="161"/>
      <c r="C24" s="161"/>
      <c r="D24" s="529"/>
      <c r="E24" s="78"/>
      <c r="F24" s="67"/>
      <c r="G24" s="67"/>
      <c r="H24" s="67"/>
      <c r="I24" s="161"/>
      <c r="J24" s="161"/>
      <c r="K24" s="62"/>
      <c r="L24" s="61" t="str">
        <f>Price!A24</f>
        <v>Bočnice N 500mm, Polar stříbrná</v>
      </c>
      <c r="M24" s="15" t="str">
        <f>Price!B24</f>
        <v>770N5002S</v>
      </c>
      <c r="N24" s="15" t="str">
        <f>Price!C24</f>
        <v>PS-M</v>
      </c>
      <c r="O24" s="525">
        <f>Price!D24</f>
        <v>0</v>
      </c>
      <c r="P24" s="16"/>
      <c r="Q24" s="17">
        <f>Price!F24</f>
        <v>609.44718999999998</v>
      </c>
      <c r="R24" s="318"/>
      <c r="S24" s="318"/>
      <c r="T24" s="12">
        <f>Price!G24</f>
        <v>1991097</v>
      </c>
      <c r="U24" s="252">
        <f>Price!H24</f>
        <v>348909</v>
      </c>
      <c r="V24" s="13"/>
      <c r="W24" s="59"/>
      <c r="X24" s="59"/>
      <c r="Y24" s="59"/>
      <c r="Z24" s="24"/>
    </row>
    <row r="25" spans="1:26" x14ac:dyDescent="0.35">
      <c r="A25" s="58"/>
      <c r="B25" s="160"/>
      <c r="C25" s="160"/>
      <c r="D25" s="528"/>
      <c r="E25" s="78"/>
      <c r="F25" s="65"/>
      <c r="G25" s="65"/>
      <c r="H25" s="65"/>
      <c r="I25" s="160"/>
      <c r="J25" s="160"/>
      <c r="K25" s="63"/>
      <c r="L25" s="61" t="str">
        <f>Price!A25</f>
        <v>Bočnice N 500mm, nerez</v>
      </c>
      <c r="M25" s="15" t="str">
        <f>Price!B25</f>
        <v>770N5002I</v>
      </c>
      <c r="N25" s="15" t="str">
        <f>Price!C25</f>
        <v>Inox</v>
      </c>
      <c r="O25" s="525" t="str">
        <f>Price!D25</f>
        <v>!</v>
      </c>
      <c r="P25" s="16"/>
      <c r="Q25" s="17">
        <f>Price!F25</f>
        <v>1147.2194</v>
      </c>
      <c r="R25" s="318"/>
      <c r="S25" s="318"/>
      <c r="T25" s="12">
        <f>Price!G25</f>
        <v>1181705</v>
      </c>
      <c r="U25" s="252">
        <f>Price!H25</f>
        <v>227440</v>
      </c>
      <c r="V25" s="13"/>
      <c r="W25" s="59"/>
      <c r="X25" s="59"/>
      <c r="Y25" s="59"/>
      <c r="Z25" s="24"/>
    </row>
    <row r="26" spans="1:26" ht="15" thickBot="1" x14ac:dyDescent="0.4">
      <c r="A26" s="86" t="str">
        <f>IF($C$2=1,L26,IF($C$2=2,L27,IF($C$2=3,L28,IF($C$2=4,L29, IF($C$2=5, L30, "  chyba")))))</f>
        <v>Bočnice N 550mm, Orion šedá</v>
      </c>
      <c r="B26" s="87" t="str">
        <f t="shared" ref="B26" si="15">IF($C$2=1,M26,IF($C$2=2,M27,IF($C$2=3,M28,IF($C$2=4,M29, IF($C$2=5, M30, "  chyba")))))</f>
        <v>770N5502S</v>
      </c>
      <c r="C26" s="87" t="str">
        <f t="shared" ref="C26" si="16">IF($C$2=1,N26,IF($C$2=2,N27,IF($C$2=3,N28,IF($C$2=4,N29, IF($C$2=5, N30, "  chyba")))))</f>
        <v>OG-M</v>
      </c>
      <c r="D26" s="527" t="str">
        <f t="shared" ref="D26" si="17">IF($C$2=1,O26,IF($C$2=2,O27,IF($C$2=3,O28,IF($C$2=4,O29, IF($C$2=5, O30, "  chyba")))))</f>
        <v>!</v>
      </c>
      <c r="E26" s="88"/>
      <c r="F26" s="89">
        <f t="shared" ref="F26" si="18">IF($C$2=1,Q26,IF($C$2=2,Q27,IF($C$2=3,Q28,IF($C$2=4,Q29, IF($C$2=5, Q30, "  chyba")))))</f>
        <v>665.95</v>
      </c>
      <c r="G26" s="65"/>
      <c r="H26" s="65"/>
      <c r="I26" s="168">
        <f t="shared" ref="I26" si="19">IF($C$2=1,T26,IF($C$2=2,T27,IF($C$2=3,T28,IF($C$2=4,T29, IF($C$2=5, T30, "  chyba")))))</f>
        <v>2041244</v>
      </c>
      <c r="J26" s="168">
        <f t="shared" ref="J26" si="20">IF($C$2=1,U26,IF($C$2=2,U27,IF($C$2=3,U28,IF($C$2=4,U29, IF($C$2=5, U30, "  chyba")))))</f>
        <v>348913</v>
      </c>
      <c r="K26" s="63"/>
      <c r="L26" s="61" t="str">
        <f>Price!A26</f>
        <v>Bočnice N 550mm, Orion šedá</v>
      </c>
      <c r="M26" s="15" t="str">
        <f>Price!B26</f>
        <v>770N5502S</v>
      </c>
      <c r="N26" s="15" t="str">
        <f>Price!C26</f>
        <v>OG-M</v>
      </c>
      <c r="O26" s="525" t="str">
        <f>Price!D26</f>
        <v>!</v>
      </c>
      <c r="P26" s="16"/>
      <c r="Q26" s="17">
        <f>Price!F26</f>
        <v>665.95</v>
      </c>
      <c r="R26" s="318"/>
      <c r="S26" s="318"/>
      <c r="T26" s="12">
        <f>Price!G26</f>
        <v>2041244</v>
      </c>
      <c r="U26" s="252">
        <f>Price!H26</f>
        <v>348913</v>
      </c>
      <c r="V26" s="13"/>
      <c r="W26" s="59"/>
      <c r="X26" s="59"/>
      <c r="Y26" s="59"/>
      <c r="Z26" s="24"/>
    </row>
    <row r="27" spans="1:26" x14ac:dyDescent="0.35">
      <c r="A27" s="58"/>
      <c r="B27" s="160"/>
      <c r="C27" s="160"/>
      <c r="D27" s="528"/>
      <c r="E27" s="78"/>
      <c r="F27" s="65"/>
      <c r="G27" s="65"/>
      <c r="H27" s="65"/>
      <c r="I27" s="160"/>
      <c r="J27" s="160"/>
      <c r="K27" s="63"/>
      <c r="L27" s="61" t="str">
        <f>Price!A27</f>
        <v>Bočnice N 550mm, hedvábně bílá</v>
      </c>
      <c r="M27" s="15" t="str">
        <f>Price!B27</f>
        <v>770N5502S</v>
      </c>
      <c r="N27" s="15" t="str">
        <f>Price!C27</f>
        <v>SW-M</v>
      </c>
      <c r="O27" s="525" t="str">
        <f>Price!D27</f>
        <v>!</v>
      </c>
      <c r="P27" s="16"/>
      <c r="Q27" s="17">
        <f>Price!F27</f>
        <v>665.95</v>
      </c>
      <c r="R27" s="318"/>
      <c r="S27" s="318"/>
      <c r="T27" s="12">
        <f>Price!G27</f>
        <v>2180063</v>
      </c>
      <c r="U27" s="252">
        <f>Price!H27</f>
        <v>348914</v>
      </c>
      <c r="V27" s="13"/>
      <c r="W27" s="59"/>
      <c r="X27" s="59"/>
      <c r="Y27" s="59"/>
      <c r="Z27" s="24"/>
    </row>
    <row r="28" spans="1:26" x14ac:dyDescent="0.35">
      <c r="A28" s="58"/>
      <c r="B28" s="160"/>
      <c r="C28" s="160"/>
      <c r="D28" s="528"/>
      <c r="E28" s="78"/>
      <c r="F28" s="65"/>
      <c r="G28" s="65"/>
      <c r="H28" s="65"/>
      <c r="I28" s="160"/>
      <c r="J28" s="160"/>
      <c r="K28" s="63"/>
      <c r="L28" s="61" t="str">
        <f>Price!A28</f>
        <v>Bočnice N 550mm, Terra černá</v>
      </c>
      <c r="M28" s="15" t="str">
        <f>Price!B28</f>
        <v>770N5502S</v>
      </c>
      <c r="N28" s="15" t="str">
        <f>Price!C28</f>
        <v>TS-M</v>
      </c>
      <c r="O28" s="525" t="str">
        <f>Price!D28</f>
        <v>!</v>
      </c>
      <c r="P28" s="16"/>
      <c r="Q28" s="17">
        <f>Price!F28</f>
        <v>665.95</v>
      </c>
      <c r="R28" s="318"/>
      <c r="S28" s="318"/>
      <c r="T28" s="12">
        <f>Price!G28</f>
        <v>4079262</v>
      </c>
      <c r="U28" s="252">
        <f>Price!H28</f>
        <v>348912</v>
      </c>
      <c r="V28" s="13"/>
      <c r="W28" s="59"/>
      <c r="X28" s="59"/>
      <c r="Y28" s="59"/>
      <c r="Z28" s="24"/>
    </row>
    <row r="29" spans="1:26" x14ac:dyDescent="0.35">
      <c r="A29" s="58"/>
      <c r="B29" s="160"/>
      <c r="C29" s="160"/>
      <c r="D29" s="528"/>
      <c r="E29" s="78"/>
      <c r="F29" s="65"/>
      <c r="G29" s="65"/>
      <c r="H29" s="65"/>
      <c r="I29" s="160"/>
      <c r="J29" s="160"/>
      <c r="K29" s="63"/>
      <c r="L29" s="61" t="str">
        <f>Price!A29</f>
        <v>Bočnice N 550mm, Polar stříbrná</v>
      </c>
      <c r="M29" s="15" t="str">
        <f>Price!B29</f>
        <v>770N5502S</v>
      </c>
      <c r="N29" s="15" t="str">
        <f>Price!C29</f>
        <v>PS-M</v>
      </c>
      <c r="O29" s="525" t="str">
        <f>Price!D29</f>
        <v>!</v>
      </c>
      <c r="P29" s="16"/>
      <c r="Q29" s="17">
        <f>Price!F29</f>
        <v>665.94478000000004</v>
      </c>
      <c r="R29" s="318"/>
      <c r="S29" s="318"/>
      <c r="T29" s="12">
        <f>Price!G29</f>
        <v>2009509</v>
      </c>
      <c r="U29" s="252">
        <f>Price!H29</f>
        <v>348910</v>
      </c>
      <c r="V29" s="13"/>
      <c r="W29" s="59"/>
      <c r="X29" s="59"/>
      <c r="Y29" s="59"/>
      <c r="Z29" s="24"/>
    </row>
    <row r="30" spans="1:26" x14ac:dyDescent="0.35">
      <c r="A30" s="58"/>
      <c r="B30" s="160"/>
      <c r="C30" s="160"/>
      <c r="D30" s="528"/>
      <c r="E30" s="78"/>
      <c r="F30" s="65"/>
      <c r="G30" s="65"/>
      <c r="H30" s="65"/>
      <c r="I30" s="160"/>
      <c r="J30" s="160"/>
      <c r="K30" s="63"/>
      <c r="L30" s="61">
        <f>Price!A30</f>
        <v>0</v>
      </c>
      <c r="M30" s="15">
        <f>Price!B30</f>
        <v>0</v>
      </c>
      <c r="N30" s="15">
        <f>Price!C30</f>
        <v>0</v>
      </c>
      <c r="O30" s="525">
        <f>Price!D30</f>
        <v>0</v>
      </c>
      <c r="P30" s="16"/>
      <c r="Q30" s="17">
        <f>Price!F30</f>
        <v>0</v>
      </c>
      <c r="R30" s="318"/>
      <c r="S30" s="318"/>
      <c r="T30" s="12">
        <f>Price!G30</f>
        <v>0</v>
      </c>
      <c r="U30" s="252">
        <f>Price!H30</f>
        <v>0</v>
      </c>
      <c r="V30" s="13"/>
      <c r="W30" s="59"/>
      <c r="X30" s="59"/>
      <c r="Y30" s="59"/>
      <c r="Z30" s="24"/>
    </row>
    <row r="31" spans="1:26" ht="15" thickBot="1" x14ac:dyDescent="0.4">
      <c r="A31" s="86" t="str">
        <f>IF($C$2=1,L31,IF($C$2=2,L32,IF($C$2=3,L33,IF($C$2=4,L34, IF($C$2=5, L35, "  chyba")))))</f>
        <v>Bočnice M 270mm, Orion šedá</v>
      </c>
      <c r="B31" s="87" t="str">
        <f t="shared" ref="B31" si="21">IF($C$2=1,M31,IF($C$2=2,M32,IF($C$2=3,M33,IF($C$2=4,M34, IF($C$2=5, M35, "  chyba")))))</f>
        <v>770M2702S</v>
      </c>
      <c r="C31" s="87" t="str">
        <f t="shared" ref="C31" si="22">IF($C$2=1,N31,IF($C$2=2,N32,IF($C$2=3,N33,IF($C$2=4,N34, IF($C$2=5, N35, "  chyba")))))</f>
        <v>OG-M</v>
      </c>
      <c r="D31" s="527">
        <f t="shared" ref="D31" si="23">IF($C$2=1,O31,IF($C$2=2,O32,IF($C$2=3,O33,IF($C$2=4,O34, IF($C$2=5, O35, "  chyba")))))</f>
        <v>0</v>
      </c>
      <c r="E31" s="88"/>
      <c r="F31" s="89">
        <f t="shared" ref="F31" si="24">IF($C$2=1,Q31,IF($C$2=2,Q32,IF($C$2=3,Q33,IF($C$2=4,Q34, IF($C$2=5, Q35, "  chyba")))))</f>
        <v>588.26232000000005</v>
      </c>
      <c r="G31" s="65"/>
      <c r="H31" s="65"/>
      <c r="I31" s="168">
        <f t="shared" ref="I31" si="25">IF($C$2=1,T31,IF($C$2=2,T32,IF($C$2=3,T33,IF($C$2=4,T34, IF($C$2=5, T35, "  chyba")))))</f>
        <v>8145106</v>
      </c>
      <c r="J31" s="168">
        <f t="shared" ref="J31" si="26">IF($C$2=1,U31,IF($C$2=2,U32,IF($C$2=3,U33,IF($C$2=4,U34, IF($C$2=5, U35, "  chyba")))))</f>
        <v>227442</v>
      </c>
      <c r="K31" s="20"/>
      <c r="L31" s="61" t="str">
        <f>Price!A31</f>
        <v>Bočnice M 270mm, Orion šedá</v>
      </c>
      <c r="M31" s="15" t="str">
        <f>Price!B31</f>
        <v>770M2702S</v>
      </c>
      <c r="N31" s="15" t="str">
        <f>Price!C31</f>
        <v>OG-M</v>
      </c>
      <c r="O31" s="525">
        <f>Price!D31</f>
        <v>0</v>
      </c>
      <c r="P31" s="16"/>
      <c r="Q31" s="17">
        <f>Price!F31</f>
        <v>588.26232000000005</v>
      </c>
      <c r="R31" s="318"/>
      <c r="S31" s="318"/>
      <c r="T31" s="12">
        <f>Price!G31</f>
        <v>8145106</v>
      </c>
      <c r="U31" s="252">
        <f>Price!H31</f>
        <v>227442</v>
      </c>
      <c r="V31" s="13"/>
      <c r="W31" s="59"/>
      <c r="X31" s="59"/>
      <c r="Y31" s="59"/>
      <c r="Z31" s="24"/>
    </row>
    <row r="32" spans="1:26" x14ac:dyDescent="0.35">
      <c r="A32" s="77"/>
      <c r="B32" s="160"/>
      <c r="C32" s="160"/>
      <c r="D32" s="528"/>
      <c r="E32" s="78"/>
      <c r="F32" s="65"/>
      <c r="G32" s="65"/>
      <c r="H32" s="65"/>
      <c r="I32" s="160"/>
      <c r="J32" s="160"/>
      <c r="K32" s="20"/>
      <c r="L32" s="61" t="str">
        <f>Price!A32</f>
        <v>Bočnice M 270mm, hedvábně bílá</v>
      </c>
      <c r="M32" s="15" t="str">
        <f>Price!B32</f>
        <v>770M2702S</v>
      </c>
      <c r="N32" s="15" t="str">
        <f>Price!C32</f>
        <v>SW-M</v>
      </c>
      <c r="O32" s="525">
        <f>Price!D32</f>
        <v>0</v>
      </c>
      <c r="P32" s="16"/>
      <c r="Q32" s="17">
        <f>Price!F32</f>
        <v>588.26232000000005</v>
      </c>
      <c r="R32" s="318"/>
      <c r="S32" s="318"/>
      <c r="T32" s="12">
        <f>Price!G32</f>
        <v>8156603</v>
      </c>
      <c r="U32" s="252">
        <f>Price!H32</f>
        <v>227441</v>
      </c>
      <c r="V32" s="13"/>
      <c r="W32" s="59"/>
      <c r="X32" s="59"/>
      <c r="Y32" s="59"/>
      <c r="Z32" s="24"/>
    </row>
    <row r="33" spans="1:26" x14ac:dyDescent="0.35">
      <c r="A33" s="79"/>
      <c r="B33" s="161"/>
      <c r="C33" s="161"/>
      <c r="D33" s="529"/>
      <c r="E33" s="78"/>
      <c r="F33" s="67"/>
      <c r="G33" s="67"/>
      <c r="H33" s="67"/>
      <c r="I33" s="161"/>
      <c r="J33" s="161"/>
      <c r="K33" s="62"/>
      <c r="L33" s="61" t="str">
        <f>Price!A33</f>
        <v>Bočnice M 270mm, Terra černá</v>
      </c>
      <c r="M33" s="15" t="str">
        <f>Price!B33</f>
        <v>770M2702S</v>
      </c>
      <c r="N33" s="15" t="str">
        <f>Price!C33</f>
        <v>TS-M</v>
      </c>
      <c r="O33" s="525">
        <f>Price!D33</f>
        <v>0</v>
      </c>
      <c r="P33" s="16"/>
      <c r="Q33" s="17">
        <f>Price!F33</f>
        <v>588.26232000000005</v>
      </c>
      <c r="R33" s="318"/>
      <c r="S33" s="318"/>
      <c r="T33" s="12">
        <f>Price!G33</f>
        <v>8161028</v>
      </c>
      <c r="U33" s="252">
        <f>Price!H33</f>
        <v>227443</v>
      </c>
      <c r="V33" s="13"/>
      <c r="W33" s="59"/>
      <c r="X33" s="59"/>
      <c r="Y33" s="59"/>
      <c r="Z33" s="24"/>
    </row>
    <row r="34" spans="1:26" x14ac:dyDescent="0.35">
      <c r="A34" s="79"/>
      <c r="B34" s="161"/>
      <c r="C34" s="161"/>
      <c r="D34" s="529"/>
      <c r="E34" s="78"/>
      <c r="F34" s="67"/>
      <c r="G34" s="67"/>
      <c r="H34" s="67"/>
      <c r="I34" s="161"/>
      <c r="J34" s="161"/>
      <c r="K34" s="62"/>
      <c r="L34" s="61" t="str">
        <f>Price!A34</f>
        <v xml:space="preserve">Bočnice M 270mm, Polar stříbrná </v>
      </c>
      <c r="M34" s="15" t="str">
        <f>Price!B34</f>
        <v>770M2702S</v>
      </c>
      <c r="N34" s="15" t="str">
        <f>Price!C34</f>
        <v>PS-M</v>
      </c>
      <c r="O34" s="525">
        <f>Price!D34</f>
        <v>0</v>
      </c>
      <c r="P34" s="16"/>
      <c r="Q34" s="17">
        <f>Price!F34</f>
        <v>588.26232000000005</v>
      </c>
      <c r="R34" s="318"/>
      <c r="S34" s="318"/>
      <c r="T34" s="12">
        <f>Price!G34</f>
        <v>3276908</v>
      </c>
      <c r="U34" s="252">
        <f>Price!H34</f>
        <v>348921</v>
      </c>
      <c r="V34" s="13"/>
      <c r="W34" s="59"/>
      <c r="X34" s="59"/>
      <c r="Y34" s="59"/>
      <c r="Z34" s="24"/>
    </row>
    <row r="35" spans="1:26" x14ac:dyDescent="0.35">
      <c r="A35" s="58"/>
      <c r="B35" s="160"/>
      <c r="C35" s="160"/>
      <c r="D35" s="528"/>
      <c r="E35" s="78"/>
      <c r="F35" s="65"/>
      <c r="G35" s="65"/>
      <c r="H35" s="65"/>
      <c r="I35" s="160"/>
      <c r="J35" s="160"/>
      <c r="K35" s="63"/>
      <c r="L35" s="61" t="str">
        <f>Price!A35</f>
        <v>Bočnice M 270mm, nerez</v>
      </c>
      <c r="M35" s="15" t="str">
        <f>Price!B35</f>
        <v>770M2702I</v>
      </c>
      <c r="N35" s="15" t="str">
        <f>Price!C35</f>
        <v>Inox</v>
      </c>
      <c r="O35" s="525" t="str">
        <f>Price!D35</f>
        <v>!</v>
      </c>
      <c r="P35" s="16"/>
      <c r="Q35" s="17">
        <f>Price!F35</f>
        <v>1073.0681400000001</v>
      </c>
      <c r="R35" s="318"/>
      <c r="S35" s="318"/>
      <c r="T35" s="12">
        <f>Price!G35</f>
        <v>9847326</v>
      </c>
      <c r="U35" s="252">
        <f>Price!H35</f>
        <v>227444</v>
      </c>
      <c r="V35" s="13"/>
      <c r="W35" s="21"/>
      <c r="X35" s="23"/>
      <c r="Y35" s="23"/>
      <c r="Z35" s="24"/>
    </row>
    <row r="36" spans="1:26" ht="15" thickBot="1" x14ac:dyDescent="0.4">
      <c r="A36" s="86" t="str">
        <f>IF($C$2=1,L36,IF($C$2=2,L37,IF($C$2=3,L38,IF($C$2=4,L39, IF($C$2=5, L40, "  chyba")))))</f>
        <v>Bočnice M 300mm, Orion šedá</v>
      </c>
      <c r="B36" s="87" t="str">
        <f t="shared" ref="B36" si="27">IF($C$2=1,M36,IF($C$2=2,M37,IF($C$2=3,M38,IF($C$2=4,M39, IF($C$2=5, M40, "  chyba")))))</f>
        <v>770M3002S</v>
      </c>
      <c r="C36" s="87" t="str">
        <f t="shared" ref="C36" si="28">IF($C$2=1,N36,IF($C$2=2,N37,IF($C$2=3,N38,IF($C$2=4,N39, IF($C$2=5, N40, "  chyba")))))</f>
        <v>OG-M</v>
      </c>
      <c r="D36" s="527">
        <f t="shared" ref="D36" si="29">IF($C$2=1,O36,IF($C$2=2,O37,IF($C$2=3,O38,IF($C$2=4,O39, IF($C$2=5, O40, "  chyba")))))</f>
        <v>0</v>
      </c>
      <c r="E36" s="88"/>
      <c r="F36" s="89">
        <f t="shared" ref="F36" si="30">IF($C$2=1,Q36,IF($C$2=2,Q37,IF($C$2=3,Q38,IF($C$2=4,Q39, IF($C$2=5, Q40, "  chyba")))))</f>
        <v>588.26232000000005</v>
      </c>
      <c r="G36" s="65"/>
      <c r="H36" s="65"/>
      <c r="I36" s="168">
        <f t="shared" ref="I36" si="31">IF($C$2=1,T36,IF($C$2=2,T37,IF($C$2=3,T38,IF($C$2=4,T39, IF($C$2=5, T40, "  chyba")))))</f>
        <v>8163892</v>
      </c>
      <c r="J36" s="168">
        <f t="shared" ref="J36" si="32">IF($C$2=1,U36,IF($C$2=2,U37,IF($C$2=3,U38,IF($C$2=4,U39, IF($C$2=5, U40, "  chyba")))))</f>
        <v>227446</v>
      </c>
      <c r="K36" s="20"/>
      <c r="L36" s="61" t="str">
        <f>Price!A36</f>
        <v>Bočnice M 300mm, Orion šedá</v>
      </c>
      <c r="M36" s="15" t="str">
        <f>Price!B36</f>
        <v>770M3002S</v>
      </c>
      <c r="N36" s="15" t="str">
        <f>Price!C36</f>
        <v>OG-M</v>
      </c>
      <c r="O36" s="525">
        <f>Price!D36</f>
        <v>0</v>
      </c>
      <c r="P36" s="16"/>
      <c r="Q36" s="17">
        <f>Price!F36</f>
        <v>588.26232000000005</v>
      </c>
      <c r="R36" s="318"/>
      <c r="S36" s="318"/>
      <c r="T36" s="12">
        <f>Price!G36</f>
        <v>8163892</v>
      </c>
      <c r="U36" s="252">
        <f>Price!H36</f>
        <v>227446</v>
      </c>
      <c r="V36" s="13"/>
      <c r="W36" s="13"/>
      <c r="X36" s="19"/>
      <c r="Y36" s="19"/>
    </row>
    <row r="37" spans="1:26" x14ac:dyDescent="0.35">
      <c r="A37" s="77"/>
      <c r="B37" s="160"/>
      <c r="C37" s="160"/>
      <c r="D37" s="528"/>
      <c r="E37" s="78"/>
      <c r="F37" s="65"/>
      <c r="G37" s="65"/>
      <c r="H37" s="65"/>
      <c r="I37" s="160"/>
      <c r="J37" s="160"/>
      <c r="K37" s="20"/>
      <c r="L37" s="61" t="str">
        <f>Price!A37</f>
        <v>Bočnice M 300mm, hedvábně bílá</v>
      </c>
      <c r="M37" s="15" t="str">
        <f>Price!B37</f>
        <v>770M3002S</v>
      </c>
      <c r="N37" s="15" t="str">
        <f>Price!C37</f>
        <v>SW-M</v>
      </c>
      <c r="O37" s="525">
        <f>Price!D37</f>
        <v>0</v>
      </c>
      <c r="P37" s="16"/>
      <c r="Q37" s="17">
        <f>Price!F37</f>
        <v>588.26232000000005</v>
      </c>
      <c r="R37" s="318"/>
      <c r="S37" s="318"/>
      <c r="T37" s="12">
        <f>Price!G37</f>
        <v>8169927</v>
      </c>
      <c r="U37" s="252">
        <f>Price!H37</f>
        <v>227445</v>
      </c>
      <c r="V37" s="13"/>
      <c r="W37" s="13"/>
      <c r="X37" s="19"/>
      <c r="Y37" s="19"/>
    </row>
    <row r="38" spans="1:26" x14ac:dyDescent="0.35">
      <c r="A38" s="79"/>
      <c r="B38" s="161"/>
      <c r="C38" s="161"/>
      <c r="D38" s="529"/>
      <c r="E38" s="78"/>
      <c r="F38" s="67"/>
      <c r="G38" s="67"/>
      <c r="H38" s="67"/>
      <c r="I38" s="161"/>
      <c r="J38" s="161"/>
      <c r="K38" s="62"/>
      <c r="L38" s="61" t="str">
        <f>Price!A38</f>
        <v>Bočnice M 300mm, Terra černá</v>
      </c>
      <c r="M38" s="15" t="str">
        <f>Price!B38</f>
        <v>770M3002S</v>
      </c>
      <c r="N38" s="15" t="str">
        <f>Price!C38</f>
        <v>TS-M</v>
      </c>
      <c r="O38" s="525">
        <f>Price!D38</f>
        <v>0</v>
      </c>
      <c r="P38" s="16"/>
      <c r="Q38" s="17">
        <f>Price!F38</f>
        <v>588.26232000000005</v>
      </c>
      <c r="R38" s="318"/>
      <c r="S38" s="318"/>
      <c r="T38" s="12">
        <f>Price!G38</f>
        <v>8217950</v>
      </c>
      <c r="U38" s="252">
        <f>Price!H38</f>
        <v>227447</v>
      </c>
      <c r="V38" s="13"/>
      <c r="W38" s="20"/>
      <c r="X38" s="19"/>
      <c r="Y38" s="19"/>
    </row>
    <row r="39" spans="1:26" x14ac:dyDescent="0.35">
      <c r="A39" s="79"/>
      <c r="B39" s="161"/>
      <c r="C39" s="161"/>
      <c r="D39" s="529"/>
      <c r="E39" s="78"/>
      <c r="F39" s="67"/>
      <c r="G39" s="67"/>
      <c r="H39" s="67"/>
      <c r="I39" s="161"/>
      <c r="J39" s="161"/>
      <c r="K39" s="62"/>
      <c r="L39" s="61" t="str">
        <f>Price!A39</f>
        <v xml:space="preserve">Bočnice M 300mm, Polar stříbrná </v>
      </c>
      <c r="M39" s="15" t="str">
        <f>Price!B39</f>
        <v>770M3002S</v>
      </c>
      <c r="N39" s="15" t="str">
        <f>Price!C39</f>
        <v>PS-M</v>
      </c>
      <c r="O39" s="525">
        <f>Price!D39</f>
        <v>0</v>
      </c>
      <c r="P39" s="16"/>
      <c r="Q39" s="17">
        <f>Price!F39</f>
        <v>588.26232000000005</v>
      </c>
      <c r="R39" s="318"/>
      <c r="S39" s="318"/>
      <c r="T39" s="12">
        <f>Price!G39</f>
        <v>1480198</v>
      </c>
      <c r="U39" s="252">
        <f>Price!H39</f>
        <v>348920</v>
      </c>
      <c r="V39" s="13"/>
      <c r="W39" s="20"/>
      <c r="X39" s="19"/>
      <c r="Y39" s="19"/>
    </row>
    <row r="40" spans="1:26" x14ac:dyDescent="0.35">
      <c r="A40" s="58"/>
      <c r="B40" s="160"/>
      <c r="C40" s="160"/>
      <c r="D40" s="528"/>
      <c r="E40" s="78"/>
      <c r="F40" s="65"/>
      <c r="G40" s="65"/>
      <c r="H40" s="65"/>
      <c r="I40" s="160"/>
      <c r="J40" s="160"/>
      <c r="K40" s="63"/>
      <c r="L40" s="61" t="str">
        <f>Price!A40</f>
        <v>Bočnice M 300mm, nerez</v>
      </c>
      <c r="M40" s="15" t="str">
        <f>Price!B40</f>
        <v>770M3002I</v>
      </c>
      <c r="N40" s="15" t="str">
        <f>Price!C40</f>
        <v>Inox</v>
      </c>
      <c r="O40" s="525" t="str">
        <f>Price!D40</f>
        <v>!</v>
      </c>
      <c r="P40" s="16"/>
      <c r="Q40" s="17">
        <f>Price!F40</f>
        <v>1073.0681400000001</v>
      </c>
      <c r="R40" s="318"/>
      <c r="S40" s="318"/>
      <c r="T40" s="12">
        <f>Price!G40</f>
        <v>9861747</v>
      </c>
      <c r="U40" s="252">
        <f>Price!H40</f>
        <v>227448</v>
      </c>
      <c r="V40" s="13"/>
      <c r="W40" s="13"/>
      <c r="X40" s="19"/>
      <c r="Y40" s="19"/>
    </row>
    <row r="41" spans="1:26" ht="15" thickBot="1" x14ac:dyDescent="0.4">
      <c r="A41" s="86" t="str">
        <f>IF($C$2=1,L41,IF($C$2=2,L42,IF($C$2=3,L43,IF($C$2=4,L44, IF($C$2=5, L45, "  chyba")))))</f>
        <v>Bočnice M 350mm, Orion šedá</v>
      </c>
      <c r="B41" s="87" t="str">
        <f t="shared" ref="B41" si="33">IF($C$2=1,M41,IF($C$2=2,M42,IF($C$2=3,M43,IF($C$2=4,M44, IF($C$2=5, M45, "  chyba")))))</f>
        <v>770M3502S</v>
      </c>
      <c r="C41" s="87" t="str">
        <f t="shared" ref="C41" si="34">IF($C$2=1,N41,IF($C$2=2,N42,IF($C$2=3,N43,IF($C$2=4,N44, IF($C$2=5, N45, "  chyba")))))</f>
        <v>OG-M</v>
      </c>
      <c r="D41" s="527">
        <f t="shared" ref="D41" si="35">IF($C$2=1,O41,IF($C$2=2,O42,IF($C$2=3,O43,IF($C$2=4,O44, IF($C$2=5, O45, "  chyba")))))</f>
        <v>0</v>
      </c>
      <c r="E41" s="88"/>
      <c r="F41" s="89">
        <f t="shared" ref="F41" si="36">IF($C$2=1,Q41,IF($C$2=2,Q42,IF($C$2=3,Q43,IF($C$2=4,Q44, IF($C$2=5, Q45, "  chyba")))))</f>
        <v>588.26232000000005</v>
      </c>
      <c r="G41" s="65"/>
      <c r="H41" s="65"/>
      <c r="I41" s="168">
        <f t="shared" ref="I41" si="37">IF($C$2=1,T41,IF($C$2=2,T42,IF($C$2=3,T43,IF($C$2=4,T44, IF($C$2=5, T45, "  chyba")))))</f>
        <v>8232508</v>
      </c>
      <c r="J41" s="168">
        <f t="shared" ref="J41" si="38">IF($C$2=1,U41,IF($C$2=2,U42,IF($C$2=3,U43,IF($C$2=4,U44, IF($C$2=5, U45, "  chyba")))))</f>
        <v>227450</v>
      </c>
      <c r="K41" s="20"/>
      <c r="L41" s="61" t="str">
        <f>Price!A41</f>
        <v>Bočnice M 350mm, Orion šedá</v>
      </c>
      <c r="M41" s="15" t="str">
        <f>Price!B41</f>
        <v>770M3502S</v>
      </c>
      <c r="N41" s="15" t="str">
        <f>Price!C41</f>
        <v>OG-M</v>
      </c>
      <c r="O41" s="525">
        <f>Price!D41</f>
        <v>0</v>
      </c>
      <c r="P41" s="16"/>
      <c r="Q41" s="17">
        <f>Price!F41</f>
        <v>588.26232000000005</v>
      </c>
      <c r="R41" s="318"/>
      <c r="S41" s="318"/>
      <c r="T41" s="12">
        <f>Price!G41</f>
        <v>8232508</v>
      </c>
      <c r="U41" s="252">
        <f>Price!H41</f>
        <v>227450</v>
      </c>
      <c r="V41" s="13"/>
      <c r="W41" s="13"/>
      <c r="X41" s="19"/>
      <c r="Y41" s="19"/>
    </row>
    <row r="42" spans="1:26" x14ac:dyDescent="0.35">
      <c r="A42" s="77"/>
      <c r="B42" s="160"/>
      <c r="C42" s="160"/>
      <c r="D42" s="528"/>
      <c r="E42" s="78"/>
      <c r="F42" s="65"/>
      <c r="G42" s="65"/>
      <c r="H42" s="65"/>
      <c r="I42" s="160"/>
      <c r="J42" s="160"/>
      <c r="K42" s="20"/>
      <c r="L42" s="61" t="str">
        <f>Price!A42</f>
        <v>Bočnice M 350mm, hedvábně bílá</v>
      </c>
      <c r="M42" s="15" t="str">
        <f>Price!B42</f>
        <v>770M3502S</v>
      </c>
      <c r="N42" s="15" t="str">
        <f>Price!C42</f>
        <v>SW-M</v>
      </c>
      <c r="O42" s="525">
        <f>Price!D42</f>
        <v>0</v>
      </c>
      <c r="P42" s="16"/>
      <c r="Q42" s="17">
        <f>Price!F42</f>
        <v>588.26232000000005</v>
      </c>
      <c r="R42" s="318"/>
      <c r="S42" s="318"/>
      <c r="T42" s="12">
        <f>Price!G42</f>
        <v>8292779</v>
      </c>
      <c r="U42" s="252">
        <f>Price!H42</f>
        <v>227449</v>
      </c>
      <c r="V42" s="13"/>
      <c r="W42" s="13"/>
      <c r="X42" s="19"/>
      <c r="Y42" s="19"/>
    </row>
    <row r="43" spans="1:26" x14ac:dyDescent="0.35">
      <c r="A43" s="79"/>
      <c r="B43" s="161"/>
      <c r="C43" s="161"/>
      <c r="D43" s="529"/>
      <c r="E43" s="78"/>
      <c r="F43" s="67"/>
      <c r="G43" s="67"/>
      <c r="H43" s="67"/>
      <c r="I43" s="161"/>
      <c r="J43" s="161"/>
      <c r="K43" s="62"/>
      <c r="L43" s="61" t="str">
        <f>Price!A43</f>
        <v>Bočnice M 350mm, Terra černá</v>
      </c>
      <c r="M43" s="15" t="str">
        <f>Price!B43</f>
        <v>770M3502S</v>
      </c>
      <c r="N43" s="15" t="str">
        <f>Price!C43</f>
        <v>TS-M</v>
      </c>
      <c r="O43" s="525">
        <f>Price!D43</f>
        <v>0</v>
      </c>
      <c r="P43" s="16"/>
      <c r="Q43" s="17">
        <f>Price!F43</f>
        <v>588.26232000000005</v>
      </c>
      <c r="R43" s="318"/>
      <c r="S43" s="318"/>
      <c r="T43" s="12">
        <f>Price!G43</f>
        <v>8345870</v>
      </c>
      <c r="U43" s="252">
        <f>Price!H43</f>
        <v>227451</v>
      </c>
      <c r="V43" s="13"/>
      <c r="W43" s="13"/>
      <c r="X43" s="19"/>
      <c r="Y43" s="19"/>
    </row>
    <row r="44" spans="1:26" x14ac:dyDescent="0.35">
      <c r="A44" s="79"/>
      <c r="B44" s="161"/>
      <c r="C44" s="161"/>
      <c r="D44" s="529"/>
      <c r="E44" s="78"/>
      <c r="F44" s="67"/>
      <c r="G44" s="67"/>
      <c r="H44" s="67"/>
      <c r="I44" s="161"/>
      <c r="J44" s="161"/>
      <c r="K44" s="62"/>
      <c r="L44" s="61" t="str">
        <f>Price!A44</f>
        <v>Bočnice M 350mm, Polar stříbrná</v>
      </c>
      <c r="M44" s="15" t="str">
        <f>Price!B44</f>
        <v>770M3502S</v>
      </c>
      <c r="N44" s="15" t="str">
        <f>Price!C44</f>
        <v>PS-M</v>
      </c>
      <c r="O44" s="525">
        <f>Price!D44</f>
        <v>0</v>
      </c>
      <c r="P44" s="16"/>
      <c r="Q44" s="17">
        <f>Price!F44</f>
        <v>588.26232000000005</v>
      </c>
      <c r="R44" s="318"/>
      <c r="S44" s="318"/>
      <c r="T44" s="12">
        <f>Price!G44</f>
        <v>5922191</v>
      </c>
      <c r="U44" s="252">
        <f>Price!H44</f>
        <v>348919</v>
      </c>
      <c r="V44" s="13"/>
      <c r="W44" s="13"/>
      <c r="X44" s="19"/>
      <c r="Y44" s="19"/>
    </row>
    <row r="45" spans="1:26" x14ac:dyDescent="0.35">
      <c r="A45" s="58"/>
      <c r="B45" s="160"/>
      <c r="C45" s="160"/>
      <c r="D45" s="528"/>
      <c r="E45" s="78"/>
      <c r="F45" s="65"/>
      <c r="G45" s="65"/>
      <c r="H45" s="65"/>
      <c r="I45" s="160"/>
      <c r="J45" s="160"/>
      <c r="K45" s="63"/>
      <c r="L45" s="61" t="str">
        <f>Price!A45</f>
        <v>Bočnice M 350mm, nerez</v>
      </c>
      <c r="M45" s="15" t="str">
        <f>Price!B45</f>
        <v>770M3502I</v>
      </c>
      <c r="N45" s="15" t="str">
        <f>Price!C45</f>
        <v>Inox</v>
      </c>
      <c r="O45" s="525" t="str">
        <f>Price!D45</f>
        <v>!</v>
      </c>
      <c r="P45" s="16"/>
      <c r="Q45" s="17">
        <f>Price!F45</f>
        <v>1073.0681400000001</v>
      </c>
      <c r="R45" s="318"/>
      <c r="S45" s="318"/>
      <c r="T45" s="12">
        <f>Price!G45</f>
        <v>9900227</v>
      </c>
      <c r="U45" s="252">
        <f>Price!H45</f>
        <v>227452</v>
      </c>
      <c r="V45" s="13"/>
      <c r="W45" s="13"/>
      <c r="X45" s="19"/>
      <c r="Y45" s="19"/>
    </row>
    <row r="46" spans="1:26" ht="15" thickBot="1" x14ac:dyDescent="0.4">
      <c r="A46" s="86" t="str">
        <f>IF($C$2=1,L46,IF($C$2=2,L47,IF($C$2=3,L48,IF($C$2=4,L49, IF($C$2=5, L50, "  chyba")))))</f>
        <v>Bočnice M 400mm, Orion šedá</v>
      </c>
      <c r="B46" s="87" t="str">
        <f t="shared" ref="B46" si="39">IF($C$2=1,M46,IF($C$2=2,M47,IF($C$2=3,M48,IF($C$2=4,M49, IF($C$2=5, M50, "  chyba")))))</f>
        <v>770M4002S</v>
      </c>
      <c r="C46" s="87" t="str">
        <f t="shared" ref="C46" si="40">IF($C$2=1,N46,IF($C$2=2,N47,IF($C$2=3,N48,IF($C$2=4,N49, IF($C$2=5, N50, "  chyba")))))</f>
        <v>OG-M</v>
      </c>
      <c r="D46" s="527">
        <f t="shared" ref="D46" si="41">IF($C$2=1,O46,IF($C$2=2,O47,IF($C$2=3,O48,IF($C$2=4,O49, IF($C$2=5, O50, "  chyba")))))</f>
        <v>0</v>
      </c>
      <c r="E46" s="88"/>
      <c r="F46" s="89">
        <f t="shared" ref="F46" si="42">IF($C$2=1,Q46,IF($C$2=2,Q47,IF($C$2=3,Q48,IF($C$2=4,Q49, IF($C$2=5, Q50, "  chyba")))))</f>
        <v>595.32592999999997</v>
      </c>
      <c r="G46" s="65"/>
      <c r="H46" s="65"/>
      <c r="I46" s="168">
        <f t="shared" ref="I46" si="43">IF($C$2=1,T46,IF($C$2=2,T47,IF($C$2=3,T48,IF($C$2=4,T49, IF($C$2=5, T50, "  chyba")))))</f>
        <v>8385764</v>
      </c>
      <c r="J46" s="168">
        <f t="shared" ref="J46" si="44">IF($C$2=1,U46,IF($C$2=2,U47,IF($C$2=3,U48,IF($C$2=4,U49, IF($C$2=5, U50, "  chyba")))))</f>
        <v>227454</v>
      </c>
      <c r="K46" s="20"/>
      <c r="L46" s="61" t="str">
        <f>Price!A46</f>
        <v>Bočnice M 400mm, Orion šedá</v>
      </c>
      <c r="M46" s="15" t="str">
        <f>Price!B46</f>
        <v>770M4002S</v>
      </c>
      <c r="N46" s="15" t="str">
        <f>Price!C46</f>
        <v>OG-M</v>
      </c>
      <c r="O46" s="525">
        <f>Price!D46</f>
        <v>0</v>
      </c>
      <c r="P46" s="16"/>
      <c r="Q46" s="17">
        <f>Price!F46</f>
        <v>595.32592999999997</v>
      </c>
      <c r="R46" s="318"/>
      <c r="S46" s="318"/>
      <c r="T46" s="12">
        <f>Price!G46</f>
        <v>8385764</v>
      </c>
      <c r="U46" s="252">
        <f>Price!H46</f>
        <v>227454</v>
      </c>
      <c r="V46" s="13"/>
      <c r="W46" s="13"/>
      <c r="X46" s="19"/>
      <c r="Y46" s="19"/>
    </row>
    <row r="47" spans="1:26" x14ac:dyDescent="0.35">
      <c r="A47" s="77"/>
      <c r="B47" s="160"/>
      <c r="C47" s="160"/>
      <c r="D47" s="528"/>
      <c r="E47" s="78"/>
      <c r="F47" s="65"/>
      <c r="G47" s="65"/>
      <c r="H47" s="65"/>
      <c r="I47" s="65"/>
      <c r="J47" s="65"/>
      <c r="K47" s="20"/>
      <c r="L47" s="61" t="str">
        <f>Price!A47</f>
        <v>Bočnice M 400mm, hedvábně bílá</v>
      </c>
      <c r="M47" s="15" t="str">
        <f>Price!B47</f>
        <v>770M4002S</v>
      </c>
      <c r="N47" s="15" t="str">
        <f>Price!C47</f>
        <v>SW-M</v>
      </c>
      <c r="O47" s="525">
        <f>Price!D47</f>
        <v>0</v>
      </c>
      <c r="P47" s="16"/>
      <c r="Q47" s="17">
        <f>Price!F47</f>
        <v>595.32592999999997</v>
      </c>
      <c r="R47" s="318"/>
      <c r="S47" s="318"/>
      <c r="T47" s="12">
        <f>Price!G47</f>
        <v>8395424</v>
      </c>
      <c r="U47" s="252">
        <f>Price!H47</f>
        <v>227453</v>
      </c>
      <c r="V47" s="13"/>
      <c r="W47" s="13"/>
      <c r="X47" s="19"/>
      <c r="Y47" s="19"/>
    </row>
    <row r="48" spans="1:26" x14ac:dyDescent="0.35">
      <c r="A48" s="79"/>
      <c r="B48" s="161"/>
      <c r="C48" s="161"/>
      <c r="D48" s="529"/>
      <c r="E48" s="78"/>
      <c r="F48" s="67"/>
      <c r="G48" s="67"/>
      <c r="H48" s="67"/>
      <c r="I48" s="67"/>
      <c r="J48" s="67"/>
      <c r="K48" s="62"/>
      <c r="L48" s="61" t="str">
        <f>Price!A48</f>
        <v>Bočnice M 400mm, Terra černá</v>
      </c>
      <c r="M48" s="15" t="str">
        <f>Price!B48</f>
        <v>770M4002S</v>
      </c>
      <c r="N48" s="15" t="str">
        <f>Price!C48</f>
        <v>TS-M</v>
      </c>
      <c r="O48" s="525">
        <f>Price!D48</f>
        <v>0</v>
      </c>
      <c r="P48" s="16"/>
      <c r="Q48" s="17">
        <f>Price!F48</f>
        <v>595.32592999999997</v>
      </c>
      <c r="R48" s="318"/>
      <c r="S48" s="318"/>
      <c r="T48" s="12">
        <f>Price!G48</f>
        <v>8401192</v>
      </c>
      <c r="U48" s="252">
        <f>Price!H48</f>
        <v>227455</v>
      </c>
      <c r="V48" s="13"/>
      <c r="W48" s="13"/>
      <c r="X48" s="19"/>
      <c r="Y48" s="19"/>
    </row>
    <row r="49" spans="1:25" x14ac:dyDescent="0.35">
      <c r="A49" s="79"/>
      <c r="B49" s="161"/>
      <c r="C49" s="161"/>
      <c r="D49" s="529"/>
      <c r="E49" s="78"/>
      <c r="F49" s="67"/>
      <c r="G49" s="67"/>
      <c r="H49" s="67"/>
      <c r="I49" s="67"/>
      <c r="J49" s="67"/>
      <c r="K49" s="62"/>
      <c r="L49" s="61" t="str">
        <f>Price!A49</f>
        <v>Bočnice M 400mm, Polar stříbrná</v>
      </c>
      <c r="M49" s="15" t="str">
        <f>Price!B49</f>
        <v>770M4002S</v>
      </c>
      <c r="N49" s="15" t="str">
        <f>Price!C49</f>
        <v>PS-M</v>
      </c>
      <c r="O49" s="525">
        <f>Price!D49</f>
        <v>0</v>
      </c>
      <c r="P49" s="16"/>
      <c r="Q49" s="17">
        <f>Price!F49</f>
        <v>595.32592999999997</v>
      </c>
      <c r="R49" s="318"/>
      <c r="S49" s="318"/>
      <c r="T49" s="12">
        <f>Price!G49</f>
        <v>6531574</v>
      </c>
      <c r="U49" s="252">
        <f>Price!H49</f>
        <v>348918</v>
      </c>
      <c r="V49" s="13"/>
      <c r="W49" s="13"/>
      <c r="X49" s="19"/>
      <c r="Y49" s="19"/>
    </row>
    <row r="50" spans="1:25" x14ac:dyDescent="0.35">
      <c r="A50" s="58"/>
      <c r="B50" s="160"/>
      <c r="C50" s="160"/>
      <c r="D50" s="528"/>
      <c r="E50" s="78"/>
      <c r="F50" s="65"/>
      <c r="G50" s="65"/>
      <c r="H50" s="65"/>
      <c r="I50" s="65"/>
      <c r="J50" s="65"/>
      <c r="K50" s="63"/>
      <c r="L50" s="61" t="str">
        <f>Price!A50</f>
        <v>Bočnice M 400mm, nerez</v>
      </c>
      <c r="M50" s="15" t="str">
        <f>Price!B50</f>
        <v>770M4002I</v>
      </c>
      <c r="N50" s="15" t="str">
        <f>Price!C50</f>
        <v>Inox</v>
      </c>
      <c r="O50" s="525" t="str">
        <f>Price!D50</f>
        <v>!</v>
      </c>
      <c r="P50" s="16"/>
      <c r="Q50" s="17">
        <f>Price!F50</f>
        <v>1097.7854199999999</v>
      </c>
      <c r="R50" s="318"/>
      <c r="S50" s="318"/>
      <c r="T50" s="12">
        <f>Price!G50</f>
        <v>9901658</v>
      </c>
      <c r="U50" s="252">
        <f>Price!H50</f>
        <v>227456</v>
      </c>
      <c r="V50" s="13"/>
      <c r="W50" s="13"/>
      <c r="X50" s="19"/>
      <c r="Y50" s="19"/>
    </row>
    <row r="51" spans="1:25" ht="15" thickBot="1" x14ac:dyDescent="0.4">
      <c r="A51" s="86" t="str">
        <f>IF($C$2=1,L51,IF($C$2=2,L52,IF($C$2=3,L53,IF($C$2=4,L54, IF($C$2=5, L55, "  chyba")))))</f>
        <v>Bočnice M 450mm, Orion šedá</v>
      </c>
      <c r="B51" s="87" t="str">
        <f t="shared" ref="B51" si="45">IF($C$2=1,M51,IF($C$2=2,M52,IF($C$2=3,M53,IF($C$2=4,M54, IF($C$2=5, M55, "  chyba")))))</f>
        <v>770M4502S</v>
      </c>
      <c r="C51" s="87" t="str">
        <f t="shared" ref="C51" si="46">IF($C$2=1,N51,IF($C$2=2,N52,IF($C$2=3,N53,IF($C$2=4,N54, IF($C$2=5, N55, "  chyba")))))</f>
        <v>OG-M</v>
      </c>
      <c r="D51" s="527">
        <f t="shared" ref="D51" si="47">IF($C$2=1,O51,IF($C$2=2,O52,IF($C$2=3,O53,IF($C$2=4,O54, IF($C$2=5, O55, "  chyba")))))</f>
        <v>0</v>
      </c>
      <c r="E51" s="88"/>
      <c r="F51" s="89">
        <f t="shared" ref="F51" si="48">IF($C$2=1,Q51,IF($C$2=2,Q52,IF($C$2=3,Q53,IF($C$2=4,Q54, IF($C$2=5, Q55, "  chyba")))))</f>
        <v>588.37465999999995</v>
      </c>
      <c r="G51" s="65"/>
      <c r="H51" s="65"/>
      <c r="I51" s="168">
        <f t="shared" ref="I51" si="49">IF($C$2=1,T51,IF($C$2=2,T52,IF($C$2=3,T53,IF($C$2=4,T54, IF($C$2=5, T55, "  chyba")))))</f>
        <v>8435320</v>
      </c>
      <c r="J51" s="168">
        <f t="shared" ref="J51" si="50">IF($C$2=1,U51,IF($C$2=2,U52,IF($C$2=3,U53,IF($C$2=4,U54, IF($C$2=5, U55, "  chyba")))))</f>
        <v>227458</v>
      </c>
      <c r="K51" s="20"/>
      <c r="L51" s="61" t="str">
        <f>Price!A51</f>
        <v>Bočnice M 450mm, Orion šedá</v>
      </c>
      <c r="M51" s="15" t="str">
        <f>Price!B51</f>
        <v>770M4502S</v>
      </c>
      <c r="N51" s="15" t="str">
        <f>Price!C51</f>
        <v>OG-M</v>
      </c>
      <c r="O51" s="525">
        <f>Price!D51</f>
        <v>0</v>
      </c>
      <c r="P51" s="16"/>
      <c r="Q51" s="17">
        <f>Price!F51</f>
        <v>588.37465999999995</v>
      </c>
      <c r="R51" s="318"/>
      <c r="S51" s="318"/>
      <c r="T51" s="12">
        <f>Price!G51</f>
        <v>8435320</v>
      </c>
      <c r="U51" s="252">
        <f>Price!H51</f>
        <v>227458</v>
      </c>
      <c r="V51" s="13"/>
      <c r="W51" s="13"/>
      <c r="X51" s="19"/>
      <c r="Y51" s="19"/>
    </row>
    <row r="52" spans="1:25" x14ac:dyDescent="0.35">
      <c r="A52" s="77"/>
      <c r="B52" s="160"/>
      <c r="C52" s="160"/>
      <c r="D52" s="528"/>
      <c r="E52" s="78"/>
      <c r="F52" s="65"/>
      <c r="G52" s="65"/>
      <c r="H52" s="65"/>
      <c r="I52" s="65"/>
      <c r="J52" s="65"/>
      <c r="K52" s="20"/>
      <c r="L52" s="61" t="str">
        <f>Price!A52</f>
        <v>Bočnice M 450mm, hedvábně bílá</v>
      </c>
      <c r="M52" s="15" t="str">
        <f>Price!B52</f>
        <v>770M4502S</v>
      </c>
      <c r="N52" s="15" t="str">
        <f>Price!C52</f>
        <v>SW-M</v>
      </c>
      <c r="O52" s="525">
        <f>Price!D52</f>
        <v>0</v>
      </c>
      <c r="P52" s="16"/>
      <c r="Q52" s="17">
        <f>Price!F52</f>
        <v>588.37465999999995</v>
      </c>
      <c r="R52" s="318"/>
      <c r="S52" s="318"/>
      <c r="T52" s="12">
        <f>Price!G52</f>
        <v>8441668</v>
      </c>
      <c r="U52" s="252">
        <f>Price!H52</f>
        <v>227457</v>
      </c>
      <c r="V52" s="13"/>
      <c r="W52" s="13"/>
      <c r="X52" s="19"/>
      <c r="Y52" s="19"/>
    </row>
    <row r="53" spans="1:25" x14ac:dyDescent="0.35">
      <c r="A53" s="80"/>
      <c r="B53" s="162"/>
      <c r="C53" s="162"/>
      <c r="D53" s="530"/>
      <c r="E53" s="78"/>
      <c r="F53" s="65"/>
      <c r="G53" s="65"/>
      <c r="H53" s="65"/>
      <c r="I53" s="65"/>
      <c r="J53" s="65"/>
      <c r="K53" s="64"/>
      <c r="L53" s="61" t="str">
        <f>Price!A53</f>
        <v>Bočnice M 450mm, Terra černá</v>
      </c>
      <c r="M53" s="15" t="str">
        <f>Price!B53</f>
        <v>770M4502S</v>
      </c>
      <c r="N53" s="15" t="str">
        <f>Price!C53</f>
        <v>TS-M</v>
      </c>
      <c r="O53" s="525">
        <f>Price!D53</f>
        <v>0</v>
      </c>
      <c r="P53" s="16"/>
      <c r="Q53" s="17">
        <f>Price!F53</f>
        <v>588.37465999999995</v>
      </c>
      <c r="R53" s="318"/>
      <c r="S53" s="318"/>
      <c r="T53" s="12">
        <f>Price!G53</f>
        <v>8463442</v>
      </c>
      <c r="U53" s="252">
        <f>Price!H53</f>
        <v>227459</v>
      </c>
      <c r="V53" s="13"/>
      <c r="W53" s="13"/>
      <c r="X53" s="19"/>
      <c r="Y53" s="19"/>
    </row>
    <row r="54" spans="1:25" x14ac:dyDescent="0.35">
      <c r="A54" s="80"/>
      <c r="B54" s="162"/>
      <c r="C54" s="162"/>
      <c r="D54" s="530"/>
      <c r="E54" s="78"/>
      <c r="F54" s="65"/>
      <c r="G54" s="65"/>
      <c r="H54" s="65"/>
      <c r="I54" s="65"/>
      <c r="J54" s="65"/>
      <c r="K54" s="64"/>
      <c r="L54" s="61" t="str">
        <f>Price!A54</f>
        <v>Bočnice M 450mm, Polar stříbrná</v>
      </c>
      <c r="M54" s="15" t="str">
        <f>Price!B54</f>
        <v>770M4502S</v>
      </c>
      <c r="N54" s="15" t="str">
        <f>Price!C54</f>
        <v>PS-M</v>
      </c>
      <c r="O54" s="525">
        <f>Price!D54</f>
        <v>0</v>
      </c>
      <c r="P54" s="16"/>
      <c r="Q54" s="17">
        <f>Price!F54</f>
        <v>602.38358000000005</v>
      </c>
      <c r="R54" s="318"/>
      <c r="S54" s="318"/>
      <c r="T54" s="12">
        <f>Price!G54</f>
        <v>9763033</v>
      </c>
      <c r="U54" s="252">
        <f>Price!H54</f>
        <v>314831</v>
      </c>
      <c r="V54" s="13"/>
      <c r="W54" s="13"/>
      <c r="X54" s="19"/>
      <c r="Y54" s="19"/>
    </row>
    <row r="55" spans="1:25" x14ac:dyDescent="0.35">
      <c r="A55" s="58"/>
      <c r="B55" s="160"/>
      <c r="C55" s="160"/>
      <c r="D55" s="528"/>
      <c r="E55" s="78"/>
      <c r="F55" s="65"/>
      <c r="G55" s="65"/>
      <c r="H55" s="65"/>
      <c r="I55" s="65"/>
      <c r="J55" s="65"/>
      <c r="K55" s="63"/>
      <c r="L55" s="61" t="str">
        <f>Price!A55</f>
        <v>Bočnice M 450mm, nerez</v>
      </c>
      <c r="M55" s="15" t="str">
        <f>Price!B55</f>
        <v>770M4502I</v>
      </c>
      <c r="N55" s="15" t="str">
        <f>Price!C55</f>
        <v>Inox</v>
      </c>
      <c r="O55" s="525" t="str">
        <f>Price!D55</f>
        <v>!</v>
      </c>
      <c r="P55" s="16"/>
      <c r="Q55" s="17">
        <f>Price!F55</f>
        <v>1122.5021200000001</v>
      </c>
      <c r="R55" s="318"/>
      <c r="S55" s="318"/>
      <c r="T55" s="12">
        <f>Price!G55</f>
        <v>9904142</v>
      </c>
      <c r="U55" s="252">
        <f>Price!H55</f>
        <v>227460</v>
      </c>
      <c r="V55" s="13"/>
      <c r="W55" s="13"/>
      <c r="X55" s="19"/>
      <c r="Y55" s="19"/>
    </row>
    <row r="56" spans="1:25" ht="15" thickBot="1" x14ac:dyDescent="0.4">
      <c r="A56" s="86" t="str">
        <f>IF($C$2=1,L56,IF($C$2=2,L57,IF($C$2=3,L58,IF($C$2=4,L59, IF($C$2=5, L60, "  chyba")))))</f>
        <v>Bočnice M 500mm, Orion šedá</v>
      </c>
      <c r="B56" s="87" t="str">
        <f t="shared" ref="B56" si="51">IF($C$2=1,M56,IF($C$2=2,M57,IF($C$2=3,M58,IF($C$2=4,M59, IF($C$2=5, M60, "  chyba")))))</f>
        <v>770M5002S</v>
      </c>
      <c r="C56" s="87" t="str">
        <f t="shared" ref="C56" si="52">IF($C$2=1,N56,IF($C$2=2,N57,IF($C$2=3,N58,IF($C$2=4,N59, IF($C$2=5, N60, "  chyba")))))</f>
        <v>OG-M</v>
      </c>
      <c r="D56" s="527">
        <f t="shared" ref="D56" si="53">IF($C$2=1,O56,IF($C$2=2,O57,IF($C$2=3,O58,IF($C$2=4,O59, IF($C$2=5, O60, "  chyba")))))</f>
        <v>0</v>
      </c>
      <c r="E56" s="88"/>
      <c r="F56" s="89">
        <f t="shared" ref="F56" si="54">IF($C$2=1,Q56,IF($C$2=2,Q57,IF($C$2=3,Q58,IF($C$2=4,Q59, IF($C$2=5, Q60, "  chyba")))))</f>
        <v>595.274</v>
      </c>
      <c r="G56" s="65"/>
      <c r="H56" s="65"/>
      <c r="I56" s="168">
        <f t="shared" ref="I56" si="55">IF($C$2=1,T56,IF($C$2=2,T57,IF($C$2=3,T58,IF($C$2=4,T59, IF($C$2=5, T60, "  chyba")))))</f>
        <v>8477460</v>
      </c>
      <c r="J56" s="168">
        <f t="shared" ref="J56" si="56">IF($C$2=1,U56,IF($C$2=2,U57,IF($C$2=3,U58,IF($C$2=4,U59, IF($C$2=5, U60, "  chyba")))))</f>
        <v>227462</v>
      </c>
      <c r="K56" s="63"/>
      <c r="L56" s="61" t="str">
        <f>Price!A56</f>
        <v>Bočnice M 500mm, Orion šedá</v>
      </c>
      <c r="M56" s="15" t="str">
        <f>Price!B56</f>
        <v>770M5002S</v>
      </c>
      <c r="N56" s="15" t="str">
        <f>Price!C56</f>
        <v>OG-M</v>
      </c>
      <c r="O56" s="525">
        <f>Price!D56</f>
        <v>0</v>
      </c>
      <c r="P56" s="16"/>
      <c r="Q56" s="17">
        <f>Price!F56</f>
        <v>595.274</v>
      </c>
      <c r="R56" s="318"/>
      <c r="S56" s="318"/>
      <c r="T56" s="12">
        <f>Price!G56</f>
        <v>8477460</v>
      </c>
      <c r="U56" s="252">
        <f>Price!H56</f>
        <v>227462</v>
      </c>
      <c r="V56" s="13"/>
      <c r="W56" s="13"/>
      <c r="X56" s="19"/>
      <c r="Y56" s="19"/>
    </row>
    <row r="57" spans="1:25" x14ac:dyDescent="0.35">
      <c r="A57" s="81"/>
      <c r="B57" s="160"/>
      <c r="C57" s="160"/>
      <c r="D57" s="528"/>
      <c r="E57" s="78"/>
      <c r="F57" s="65"/>
      <c r="G57" s="65"/>
      <c r="H57" s="65"/>
      <c r="I57" s="65"/>
      <c r="J57" s="65"/>
      <c r="K57" s="20"/>
      <c r="L57" s="61" t="str">
        <f>Price!A57</f>
        <v>Bočnice M 500mm, hedvábně bílá</v>
      </c>
      <c r="M57" s="15" t="str">
        <f>Price!B57</f>
        <v>770M5002S</v>
      </c>
      <c r="N57" s="15" t="str">
        <f>Price!C57</f>
        <v>SW-M</v>
      </c>
      <c r="O57" s="525">
        <f>Price!D57</f>
        <v>0</v>
      </c>
      <c r="P57" s="16"/>
      <c r="Q57" s="17">
        <f>Price!F57</f>
        <v>595.274</v>
      </c>
      <c r="R57" s="318"/>
      <c r="S57" s="318"/>
      <c r="T57" s="12">
        <f>Price!G57</f>
        <v>8505699</v>
      </c>
      <c r="U57" s="252">
        <f>Price!H57</f>
        <v>227461</v>
      </c>
      <c r="V57" s="13"/>
      <c r="W57" s="13"/>
      <c r="X57" s="19"/>
      <c r="Y57" s="19"/>
    </row>
    <row r="58" spans="1:25" x14ac:dyDescent="0.35">
      <c r="A58" s="81"/>
      <c r="B58" s="160"/>
      <c r="C58" s="160"/>
      <c r="D58" s="528"/>
      <c r="E58" s="78"/>
      <c r="F58" s="65"/>
      <c r="G58" s="65"/>
      <c r="H58" s="65"/>
      <c r="I58" s="65"/>
      <c r="J58" s="65"/>
      <c r="K58" s="20"/>
      <c r="L58" s="61" t="str">
        <f>Price!A58</f>
        <v>Bočnice M 500mm, Terra černá</v>
      </c>
      <c r="M58" s="15" t="str">
        <f>Price!B58</f>
        <v>770M5002S</v>
      </c>
      <c r="N58" s="15" t="str">
        <f>Price!C58</f>
        <v>TS-M</v>
      </c>
      <c r="O58" s="525">
        <f>Price!D58</f>
        <v>0</v>
      </c>
      <c r="P58" s="16"/>
      <c r="Q58" s="17">
        <f>Price!F58</f>
        <v>595.274</v>
      </c>
      <c r="R58" s="318"/>
      <c r="S58" s="318"/>
      <c r="T58" s="12">
        <f>Price!G58</f>
        <v>8577103</v>
      </c>
      <c r="U58" s="252">
        <f>Price!H58</f>
        <v>227463</v>
      </c>
      <c r="V58" s="13"/>
      <c r="W58" s="13"/>
      <c r="X58" s="19"/>
      <c r="Y58" s="19"/>
    </row>
    <row r="59" spans="1:25" x14ac:dyDescent="0.35">
      <c r="A59" s="81"/>
      <c r="B59" s="160"/>
      <c r="C59" s="160"/>
      <c r="D59" s="528"/>
      <c r="E59" s="78"/>
      <c r="F59" s="65"/>
      <c r="G59" s="65"/>
      <c r="H59" s="65"/>
      <c r="I59" s="65"/>
      <c r="J59" s="65"/>
      <c r="K59" s="20"/>
      <c r="L59" s="61" t="str">
        <f>Price!A59</f>
        <v>Bočnice M 500mm, Polar stříbrná</v>
      </c>
      <c r="M59" s="15" t="str">
        <f>Price!B59</f>
        <v>770M5002S</v>
      </c>
      <c r="N59" s="15" t="str">
        <f>Price!C59</f>
        <v>PS-M</v>
      </c>
      <c r="O59" s="525">
        <f>Price!D59</f>
        <v>0</v>
      </c>
      <c r="P59" s="16"/>
      <c r="Q59" s="17">
        <f>Price!F59</f>
        <v>609.44718999999998</v>
      </c>
      <c r="R59" s="318"/>
      <c r="S59" s="318"/>
      <c r="T59" s="12">
        <f>Price!G59</f>
        <v>6324955</v>
      </c>
      <c r="U59" s="252">
        <f>Price!H59</f>
        <v>314832</v>
      </c>
      <c r="V59" s="13"/>
      <c r="W59" s="13"/>
      <c r="X59" s="19"/>
      <c r="Y59" s="19"/>
    </row>
    <row r="60" spans="1:25" x14ac:dyDescent="0.35">
      <c r="A60" s="81"/>
      <c r="B60" s="160"/>
      <c r="C60" s="160"/>
      <c r="D60" s="528"/>
      <c r="E60" s="78"/>
      <c r="F60" s="65"/>
      <c r="G60" s="65"/>
      <c r="H60" s="65"/>
      <c r="I60" s="65"/>
      <c r="J60" s="65"/>
      <c r="K60" s="20"/>
      <c r="L60" s="61" t="str">
        <f>Price!A60</f>
        <v>Bočnice M 500mm, nerez</v>
      </c>
      <c r="M60" s="15" t="str">
        <f>Price!B60</f>
        <v>770M5002I</v>
      </c>
      <c r="N60" s="15" t="str">
        <f>Price!C60</f>
        <v>Inox</v>
      </c>
      <c r="O60" s="525" t="str">
        <f>Price!D60</f>
        <v>!</v>
      </c>
      <c r="P60" s="16"/>
      <c r="Q60" s="17">
        <f>Price!F60</f>
        <v>1147.2194</v>
      </c>
      <c r="R60" s="318"/>
      <c r="S60" s="318"/>
      <c r="T60" s="12">
        <f>Price!G60</f>
        <v>9913559</v>
      </c>
      <c r="U60" s="252">
        <f>Price!H60</f>
        <v>227464</v>
      </c>
      <c r="V60" s="13"/>
      <c r="W60" s="13"/>
      <c r="X60" s="19"/>
      <c r="Y60" s="19"/>
    </row>
    <row r="61" spans="1:25" ht="15" thickBot="1" x14ac:dyDescent="0.4">
      <c r="A61" s="86" t="str">
        <f>IF($C$2=1,L61,IF($C$2=2,L62,IF($C$2=3,L63,IF($C$2=4,L64, IF($C$2=5, L65, "  chyba")))))</f>
        <v>Bočnice M 550mm, Orion šedá</v>
      </c>
      <c r="B61" s="87" t="str">
        <f t="shared" ref="B61" si="57">IF($C$2=1,M61,IF($C$2=2,M62,IF($C$2=3,M63,IF($C$2=4,M64, IF($C$2=5, M65, "  chyba")))))</f>
        <v>770M5502S</v>
      </c>
      <c r="C61" s="87" t="str">
        <f t="shared" ref="C61" si="58">IF($C$2=1,N61,IF($C$2=2,N62,IF($C$2=3,N63,IF($C$2=4,N64, IF($C$2=5, N65, "  chyba")))))</f>
        <v>OG-M</v>
      </c>
      <c r="D61" s="527">
        <f t="shared" ref="D61" si="59">IF($C$2=1,O61,IF($C$2=2,O62,IF($C$2=3,O63,IF($C$2=4,O64, IF($C$2=5, O65, "  chyba")))))</f>
        <v>0</v>
      </c>
      <c r="E61" s="88"/>
      <c r="F61" s="89">
        <f t="shared" ref="F61" si="60">IF($C$2=1,Q61,IF($C$2=2,Q62,IF($C$2=3,Q63,IF($C$2=4,Q64, IF($C$2=5, Q65, "  chyba")))))</f>
        <v>665.94478000000004</v>
      </c>
      <c r="G61" s="65"/>
      <c r="H61" s="65"/>
      <c r="I61" s="168">
        <f t="shared" ref="I61" si="61">IF($C$2=1,T61,IF($C$2=2,T62,IF($C$2=3,T63,IF($C$2=4,T64, IF($C$2=5, T65, "  chyba")))))</f>
        <v>8616258</v>
      </c>
      <c r="J61" s="168">
        <f t="shared" ref="J61" si="62">IF($C$2=1,U61,IF($C$2=2,U62,IF($C$2=3,U63,IF($C$2=4,U64, IF($C$2=5, U65, "  chyba")))))</f>
        <v>227466</v>
      </c>
      <c r="K61" s="20"/>
      <c r="L61" s="61" t="str">
        <f>Price!A61</f>
        <v>Bočnice M 550mm, Orion šedá</v>
      </c>
      <c r="M61" s="15" t="str">
        <f>Price!B61</f>
        <v>770M5502S</v>
      </c>
      <c r="N61" s="15" t="str">
        <f>Price!C61</f>
        <v>OG-M</v>
      </c>
      <c r="O61" s="525">
        <f>Price!D61</f>
        <v>0</v>
      </c>
      <c r="P61" s="16"/>
      <c r="Q61" s="17">
        <f>Price!F61</f>
        <v>665.94478000000004</v>
      </c>
      <c r="R61" s="318"/>
      <c r="S61" s="318"/>
      <c r="T61" s="12">
        <f>Price!G61</f>
        <v>8616258</v>
      </c>
      <c r="U61" s="252">
        <f>Price!H61</f>
        <v>227466</v>
      </c>
      <c r="V61" s="13"/>
      <c r="W61" s="13"/>
      <c r="X61" s="19"/>
      <c r="Y61" s="19"/>
    </row>
    <row r="62" spans="1:25" x14ac:dyDescent="0.35">
      <c r="A62" s="81"/>
      <c r="B62" s="160"/>
      <c r="C62" s="160"/>
      <c r="D62" s="528"/>
      <c r="E62" s="78"/>
      <c r="F62" s="65"/>
      <c r="G62" s="65"/>
      <c r="H62" s="65"/>
      <c r="I62" s="65"/>
      <c r="J62" s="65"/>
      <c r="K62" s="20"/>
      <c r="L62" s="61" t="str">
        <f>Price!A62</f>
        <v>Bočnice M 550mm, hedvábně bílá</v>
      </c>
      <c r="M62" s="15" t="str">
        <f>Price!B62</f>
        <v>770M5502S</v>
      </c>
      <c r="N62" s="15" t="str">
        <f>Price!C62</f>
        <v>SW-M</v>
      </c>
      <c r="O62" s="525">
        <f>Price!D62</f>
        <v>0</v>
      </c>
      <c r="P62" s="16"/>
      <c r="Q62" s="17">
        <f>Price!F62</f>
        <v>665.94478000000004</v>
      </c>
      <c r="R62" s="318"/>
      <c r="S62" s="318"/>
      <c r="T62" s="12">
        <f>Price!G62</f>
        <v>8627776</v>
      </c>
      <c r="U62" s="252">
        <f>Price!H62</f>
        <v>227465</v>
      </c>
      <c r="V62" s="13"/>
      <c r="W62" s="13"/>
      <c r="X62" s="19"/>
      <c r="Y62" s="19"/>
    </row>
    <row r="63" spans="1:25" x14ac:dyDescent="0.35">
      <c r="A63" s="81"/>
      <c r="B63" s="160"/>
      <c r="C63" s="160"/>
      <c r="D63" s="528"/>
      <c r="E63" s="78"/>
      <c r="F63" s="65"/>
      <c r="G63" s="65"/>
      <c r="H63" s="65"/>
      <c r="I63" s="65"/>
      <c r="J63" s="65"/>
      <c r="K63" s="65"/>
      <c r="L63" s="61" t="str">
        <f>Price!A63</f>
        <v>Bočnice M 550mm, Terra černá</v>
      </c>
      <c r="M63" s="15" t="str">
        <f>Price!B63</f>
        <v>770M5502S</v>
      </c>
      <c r="N63" s="15" t="str">
        <f>Price!C63</f>
        <v>TS-M</v>
      </c>
      <c r="O63" s="525">
        <f>Price!D63</f>
        <v>0</v>
      </c>
      <c r="P63" s="16"/>
      <c r="Q63" s="17">
        <f>Price!F63</f>
        <v>665.94478000000004</v>
      </c>
      <c r="R63" s="318"/>
      <c r="S63" s="318"/>
      <c r="T63" s="12">
        <f>Price!G63</f>
        <v>8635792</v>
      </c>
      <c r="U63" s="252">
        <f>Price!H63</f>
        <v>227467</v>
      </c>
      <c r="V63" s="13"/>
      <c r="W63" s="13"/>
      <c r="X63" s="19"/>
      <c r="Y63" s="19"/>
    </row>
    <row r="64" spans="1:25" x14ac:dyDescent="0.35">
      <c r="A64" s="81"/>
      <c r="B64" s="160"/>
      <c r="C64" s="160"/>
      <c r="D64" s="528"/>
      <c r="E64" s="78"/>
      <c r="F64" s="65"/>
      <c r="G64" s="65"/>
      <c r="H64" s="65"/>
      <c r="I64" s="65"/>
      <c r="J64" s="65"/>
      <c r="K64" s="65"/>
      <c r="L64" s="61" t="str">
        <f>Price!A64</f>
        <v>Bočnice M 550mm, Polar stříbrná</v>
      </c>
      <c r="M64" s="15" t="str">
        <f>Price!B64</f>
        <v>770M5502S</v>
      </c>
      <c r="N64" s="15" t="str">
        <f>Price!C64</f>
        <v>PS-M</v>
      </c>
      <c r="O64" s="525">
        <f>Price!D64</f>
        <v>0</v>
      </c>
      <c r="P64" s="16"/>
      <c r="Q64" s="17">
        <f>Price!F64</f>
        <v>588.26232000000005</v>
      </c>
      <c r="R64" s="318"/>
      <c r="S64" s="318"/>
      <c r="T64" s="12">
        <f>Price!G64</f>
        <v>2330470</v>
      </c>
      <c r="U64" s="252">
        <f>Price!H64</f>
        <v>346627</v>
      </c>
      <c r="V64" s="13"/>
      <c r="W64" s="13"/>
      <c r="X64" s="19"/>
      <c r="Y64" s="19"/>
    </row>
    <row r="65" spans="1:25" x14ac:dyDescent="0.35">
      <c r="A65" s="81"/>
      <c r="B65" s="160"/>
      <c r="C65" s="160"/>
      <c r="D65" s="528"/>
      <c r="E65" s="78"/>
      <c r="F65" s="65"/>
      <c r="G65" s="65"/>
      <c r="H65" s="65"/>
      <c r="I65" s="65"/>
      <c r="J65" s="65"/>
      <c r="K65" s="20"/>
      <c r="L65" s="61" t="str">
        <f>Price!A65</f>
        <v>Bočnice M 550mm, nerez</v>
      </c>
      <c r="M65" s="15" t="str">
        <f>Price!B65</f>
        <v>770M5502I</v>
      </c>
      <c r="N65" s="15" t="str">
        <f>Price!C65</f>
        <v>Inox</v>
      </c>
      <c r="O65" s="525" t="str">
        <f>Price!D65</f>
        <v>!</v>
      </c>
      <c r="P65" s="16"/>
      <c r="Q65" s="17">
        <f>Price!F65</f>
        <v>1216.76539</v>
      </c>
      <c r="R65" s="318"/>
      <c r="S65" s="318"/>
      <c r="T65" s="12">
        <f>Price!G65</f>
        <v>9924108</v>
      </c>
      <c r="U65" s="252">
        <f>Price!H65</f>
        <v>227468</v>
      </c>
      <c r="V65" s="13"/>
      <c r="W65" s="13"/>
      <c r="X65" s="19"/>
      <c r="Y65" s="19"/>
    </row>
    <row r="66" spans="1:25" ht="15" thickBot="1" x14ac:dyDescent="0.4">
      <c r="A66" s="86" t="str">
        <f>IF($C$2=1,L66,IF($C$2=2,L67,IF($C$2=3,L68,IF($C$2=4,L69, IF($C$2=5, L70, "  chyba")))))</f>
        <v>Bočnice M 600mm, Orion šedá</v>
      </c>
      <c r="B66" s="87" t="str">
        <f t="shared" ref="B66" si="63">IF($C$2=1,M66,IF($C$2=2,M67,IF($C$2=3,M68,IF($C$2=4,M69, IF($C$2=5, M70, "  chyba")))))</f>
        <v>770M6002S</v>
      </c>
      <c r="C66" s="87" t="str">
        <f t="shared" ref="C66" si="64">IF($C$2=1,N66,IF($C$2=2,N67,IF($C$2=3,N68,IF($C$2=4,N69, IF($C$2=5, N70, "  chyba")))))</f>
        <v>OG-M</v>
      </c>
      <c r="D66" s="527">
        <f t="shared" ref="D66" si="65">IF($C$2=1,O66,IF($C$2=2,O67,IF($C$2=3,O68,IF($C$2=4,O69, IF($C$2=5, O70, "  chyba")))))</f>
        <v>0</v>
      </c>
      <c r="E66" s="88"/>
      <c r="F66" s="89">
        <f t="shared" ref="F66" si="66">IF($C$2=1,Q66,IF($C$2=2,Q67,IF($C$2=3,Q68,IF($C$2=4,Q69, IF($C$2=5, Q70, "  chyba")))))</f>
        <v>754.21731</v>
      </c>
      <c r="G66" s="65"/>
      <c r="H66" s="65"/>
      <c r="I66" s="168">
        <f t="shared" ref="I66" si="67">IF($C$2=1,T66,IF($C$2=2,T67,IF($C$2=3,T68,IF($C$2=4,T69, IF($C$2=5, T70, "  chyba")))))</f>
        <v>8684084</v>
      </c>
      <c r="J66" s="168">
        <f t="shared" ref="J66" si="68">IF($C$2=1,U66,IF($C$2=2,U67,IF($C$2=3,U68,IF($C$2=4,U69, IF($C$2=5, U70, "  chyba")))))</f>
        <v>227470</v>
      </c>
      <c r="K66" s="20"/>
      <c r="L66" s="61" t="str">
        <f>Price!A66</f>
        <v>Bočnice M 600mm, Orion šedá</v>
      </c>
      <c r="M66" s="15" t="str">
        <f>Price!B66</f>
        <v>770M6002S</v>
      </c>
      <c r="N66" s="15" t="str">
        <f>Price!C66</f>
        <v>OG-M</v>
      </c>
      <c r="O66" s="525">
        <f>Price!D66</f>
        <v>0</v>
      </c>
      <c r="P66" s="16"/>
      <c r="Q66" s="17">
        <f>Price!F66</f>
        <v>754.21731</v>
      </c>
      <c r="R66" s="318"/>
      <c r="S66" s="318"/>
      <c r="T66" s="12">
        <f>Price!G66</f>
        <v>8684084</v>
      </c>
      <c r="U66" s="252">
        <f>Price!H66</f>
        <v>227470</v>
      </c>
      <c r="V66" s="13"/>
      <c r="W66" s="13"/>
      <c r="X66" s="19"/>
      <c r="Y66" s="19"/>
    </row>
    <row r="67" spans="1:25" x14ac:dyDescent="0.35">
      <c r="A67" s="81"/>
      <c r="B67" s="160"/>
      <c r="C67" s="160"/>
      <c r="D67" s="528"/>
      <c r="E67" s="78"/>
      <c r="F67" s="65"/>
      <c r="G67" s="65"/>
      <c r="H67" s="65"/>
      <c r="I67" s="65"/>
      <c r="J67" s="65"/>
      <c r="K67" s="20"/>
      <c r="L67" s="61" t="str">
        <f>Price!A67</f>
        <v>Bočnice M 600mm, hedvábně bílá</v>
      </c>
      <c r="M67" s="15" t="str">
        <f>Price!B67</f>
        <v>770M6002S</v>
      </c>
      <c r="N67" s="15" t="str">
        <f>Price!C67</f>
        <v>SW-M</v>
      </c>
      <c r="O67" s="525">
        <f>Price!D67</f>
        <v>0</v>
      </c>
      <c r="P67" s="16"/>
      <c r="Q67" s="17">
        <f>Price!F67</f>
        <v>754.21731</v>
      </c>
      <c r="R67" s="318"/>
      <c r="S67" s="318"/>
      <c r="T67" s="12">
        <f>Price!G67</f>
        <v>8696445</v>
      </c>
      <c r="U67" s="252">
        <f>Price!H67</f>
        <v>227469</v>
      </c>
      <c r="V67" s="13"/>
      <c r="W67" s="13"/>
      <c r="X67" s="19"/>
      <c r="Y67" s="19"/>
    </row>
    <row r="68" spans="1:25" x14ac:dyDescent="0.35">
      <c r="A68" s="81"/>
      <c r="B68" s="160"/>
      <c r="C68" s="160"/>
      <c r="D68" s="528"/>
      <c r="E68" s="78"/>
      <c r="F68" s="65"/>
      <c r="G68" s="65"/>
      <c r="H68" s="65"/>
      <c r="I68" s="65"/>
      <c r="J68" s="65"/>
      <c r="K68" s="20"/>
      <c r="L68" s="61" t="str">
        <f>Price!A68</f>
        <v>Bočnice M 600mm, Terra černá</v>
      </c>
      <c r="M68" s="15" t="str">
        <f>Price!B68</f>
        <v>770M6002S</v>
      </c>
      <c r="N68" s="15" t="str">
        <f>Price!C68</f>
        <v>TS-M</v>
      </c>
      <c r="O68" s="525">
        <f>Price!D68</f>
        <v>0</v>
      </c>
      <c r="P68" s="16"/>
      <c r="Q68" s="17">
        <f>Price!F68</f>
        <v>754.21731</v>
      </c>
      <c r="R68" s="318"/>
      <c r="S68" s="318"/>
      <c r="T68" s="12">
        <f>Price!G68</f>
        <v>8702548</v>
      </c>
      <c r="U68" s="252">
        <f>Price!H68</f>
        <v>227471</v>
      </c>
      <c r="V68" s="13"/>
      <c r="W68" s="13"/>
      <c r="X68" s="19"/>
      <c r="Y68" s="19"/>
    </row>
    <row r="69" spans="1:25" x14ac:dyDescent="0.35">
      <c r="A69" s="81"/>
      <c r="B69" s="160"/>
      <c r="C69" s="160"/>
      <c r="D69" s="528"/>
      <c r="E69" s="78"/>
      <c r="F69" s="65"/>
      <c r="G69" s="65"/>
      <c r="H69" s="65"/>
      <c r="I69" s="65"/>
      <c r="J69" s="65"/>
      <c r="K69" s="20"/>
      <c r="L69" s="61" t="str">
        <f>Price!A69</f>
        <v>Bočnice M 600mm, Polar stříbrná</v>
      </c>
      <c r="M69" s="15" t="str">
        <f>Price!B69</f>
        <v>770M6002S</v>
      </c>
      <c r="N69" s="15" t="str">
        <f>Price!C69</f>
        <v>PS-M</v>
      </c>
      <c r="O69" s="525">
        <f>Price!D69</f>
        <v>0</v>
      </c>
      <c r="P69" s="16"/>
      <c r="Q69" s="17">
        <f>Price!F69</f>
        <v>754.21731</v>
      </c>
      <c r="R69" s="318"/>
      <c r="S69" s="318"/>
      <c r="T69" s="12">
        <f>Price!G69</f>
        <v>6283664</v>
      </c>
      <c r="U69" s="252">
        <f>Price!H69</f>
        <v>348915</v>
      </c>
      <c r="V69" s="13"/>
      <c r="W69" s="13"/>
      <c r="X69" s="19"/>
      <c r="Y69" s="19"/>
    </row>
    <row r="70" spans="1:25" x14ac:dyDescent="0.35">
      <c r="A70" s="81"/>
      <c r="B70" s="160"/>
      <c r="C70" s="160"/>
      <c r="D70" s="528"/>
      <c r="E70" s="78"/>
      <c r="F70" s="65"/>
      <c r="G70" s="65"/>
      <c r="H70" s="65"/>
      <c r="I70" s="65"/>
      <c r="J70" s="65"/>
      <c r="K70" s="64"/>
      <c r="L70" s="61" t="str">
        <f>Price!A70</f>
        <v>Bočnice M 600mm, nerez</v>
      </c>
      <c r="M70" s="15" t="str">
        <f>Price!B70</f>
        <v>770M6002I</v>
      </c>
      <c r="N70" s="15" t="str">
        <f>Price!C70</f>
        <v>Inox</v>
      </c>
      <c r="O70" s="525" t="str">
        <f>Price!D70</f>
        <v>!</v>
      </c>
      <c r="P70" s="16"/>
      <c r="Q70" s="17">
        <f>Price!F70</f>
        <v>1368.32059</v>
      </c>
      <c r="R70" s="318"/>
      <c r="S70" s="318"/>
      <c r="T70" s="12">
        <f>Price!G70</f>
        <v>9924301</v>
      </c>
      <c r="U70" s="252">
        <f>Price!H70</f>
        <v>227472</v>
      </c>
      <c r="V70" s="13"/>
      <c r="W70" s="13"/>
      <c r="X70" s="19"/>
      <c r="Y70" s="19"/>
    </row>
    <row r="71" spans="1:25" ht="15" thickBot="1" x14ac:dyDescent="0.4">
      <c r="A71" s="86" t="str">
        <f>IF($C$2=1,L71,IF($C$2=2,L72,IF($C$2=3,L73,IF($C$2=4,L74, IF($C$2=5, L75, "  chyba")))))</f>
        <v>Bočnice M 650mm, Orion šedá</v>
      </c>
      <c r="B71" s="87" t="str">
        <f t="shared" ref="B71" si="69">IF($C$2=1,M71,IF($C$2=2,M72,IF($C$2=3,M73,IF($C$2=4,M74, IF($C$2=5, M75, "  chyba")))))</f>
        <v>770M6502S</v>
      </c>
      <c r="C71" s="87" t="str">
        <f t="shared" ref="C71" si="70">IF($C$2=1,N71,IF($C$2=2,N72,IF($C$2=3,N73,IF($C$2=4,N74, IF($C$2=5, N75, "  chyba")))))</f>
        <v>OG-M</v>
      </c>
      <c r="D71" s="527">
        <f t="shared" ref="D71" si="71">IF($C$2=1,O71,IF($C$2=2,O72,IF($C$2=3,O73,IF($C$2=4,O74, IF($C$2=5, O75, "  chyba")))))</f>
        <v>0</v>
      </c>
      <c r="E71" s="88"/>
      <c r="F71" s="89">
        <f t="shared" ref="F71" si="72">IF($C$2=1,Q71,IF($C$2=2,Q72,IF($C$2=3,Q73,IF($C$2=4,Q74, IF($C$2=5, Q75, "  chyba")))))</f>
        <v>787.42313999999999</v>
      </c>
      <c r="G71" s="65"/>
      <c r="H71" s="65"/>
      <c r="I71" s="168">
        <f t="shared" ref="I71" si="73">IF($C$2=1,T71,IF($C$2=2,T72,IF($C$2=3,T73,IF($C$2=4,T74, IF($C$2=5, T75, "  chyba")))))</f>
        <v>8777716</v>
      </c>
      <c r="J71" s="168">
        <f t="shared" ref="J71" si="74">IF($C$2=1,U71,IF($C$2=2,U72,IF($C$2=3,U73,IF($C$2=4,U74, IF($C$2=5, U75, "  chyba")))))</f>
        <v>256454</v>
      </c>
      <c r="K71" s="64"/>
      <c r="L71" s="61" t="str">
        <f>Price!A71</f>
        <v>Bočnice M 650mm, Orion šedá</v>
      </c>
      <c r="M71" s="15" t="str">
        <f>Price!B71</f>
        <v>770M6502S</v>
      </c>
      <c r="N71" s="15" t="str">
        <f>Price!C71</f>
        <v>OG-M</v>
      </c>
      <c r="O71" s="525">
        <f>Price!D71</f>
        <v>0</v>
      </c>
      <c r="P71" s="16"/>
      <c r="Q71" s="17">
        <f>Price!F71</f>
        <v>787.42313999999999</v>
      </c>
      <c r="R71" s="318"/>
      <c r="S71" s="318"/>
      <c r="T71" s="12">
        <f>Price!G71</f>
        <v>8777716</v>
      </c>
      <c r="U71" s="252">
        <f>Price!H71</f>
        <v>256454</v>
      </c>
      <c r="V71" s="13"/>
      <c r="W71" s="13"/>
      <c r="X71" s="19"/>
      <c r="Y71" s="19"/>
    </row>
    <row r="72" spans="1:25" x14ac:dyDescent="0.35">
      <c r="A72" s="81"/>
      <c r="B72" s="160"/>
      <c r="C72" s="160"/>
      <c r="D72" s="528"/>
      <c r="E72" s="78"/>
      <c r="F72" s="65"/>
      <c r="G72" s="65"/>
      <c r="H72" s="65"/>
      <c r="I72" s="65"/>
      <c r="J72" s="65"/>
      <c r="K72" s="64"/>
      <c r="L72" s="61" t="str">
        <f>Price!A72</f>
        <v>Bočnice M 650mm, hedvábně bílá</v>
      </c>
      <c r="M72" s="15" t="str">
        <f>Price!B72</f>
        <v>770M6502S</v>
      </c>
      <c r="N72" s="15" t="str">
        <f>Price!C72</f>
        <v>SW-M</v>
      </c>
      <c r="O72" s="525">
        <f>Price!D72</f>
        <v>0</v>
      </c>
      <c r="P72" s="16"/>
      <c r="Q72" s="17">
        <f>Price!F72</f>
        <v>787.42313999999999</v>
      </c>
      <c r="R72" s="318"/>
      <c r="S72" s="318"/>
      <c r="T72" s="12">
        <f>Price!G72</f>
        <v>7776578</v>
      </c>
      <c r="U72" s="252">
        <f>Price!H72</f>
        <v>256453</v>
      </c>
      <c r="V72" s="13"/>
      <c r="W72" s="13"/>
      <c r="X72" s="19"/>
      <c r="Y72" s="19"/>
    </row>
    <row r="73" spans="1:25" x14ac:dyDescent="0.35">
      <c r="A73" s="81"/>
      <c r="B73" s="160"/>
      <c r="C73" s="160"/>
      <c r="D73" s="528"/>
      <c r="E73" s="78"/>
      <c r="F73" s="65"/>
      <c r="G73" s="65"/>
      <c r="H73" s="65"/>
      <c r="I73" s="65"/>
      <c r="J73" s="65"/>
      <c r="K73" s="64"/>
      <c r="L73" s="61" t="str">
        <f>Price!A73</f>
        <v>Bočnice M 650mm, Terra černá</v>
      </c>
      <c r="M73" s="15" t="str">
        <f>Price!B73</f>
        <v>770M6502S</v>
      </c>
      <c r="N73" s="15" t="str">
        <f>Price!C73</f>
        <v>TS-M</v>
      </c>
      <c r="O73" s="525">
        <f>Price!D73</f>
        <v>0</v>
      </c>
      <c r="P73" s="16"/>
      <c r="Q73" s="17">
        <f>Price!F73</f>
        <v>787.42313999999999</v>
      </c>
      <c r="R73" s="318"/>
      <c r="S73" s="318"/>
      <c r="T73" s="12">
        <f>Price!G73</f>
        <v>9771845</v>
      </c>
      <c r="U73" s="252">
        <f>Price!H73</f>
        <v>256455</v>
      </c>
      <c r="V73" s="13"/>
      <c r="W73" s="13"/>
      <c r="X73" s="19"/>
      <c r="Y73" s="19"/>
    </row>
    <row r="74" spans="1:25" x14ac:dyDescent="0.35">
      <c r="A74" s="81"/>
      <c r="B74" s="160"/>
      <c r="C74" s="160"/>
      <c r="D74" s="528"/>
      <c r="E74" s="78"/>
      <c r="F74" s="65"/>
      <c r="G74" s="65"/>
      <c r="H74" s="65"/>
      <c r="I74" s="65"/>
      <c r="J74" s="65"/>
      <c r="K74" s="64"/>
      <c r="L74" s="61" t="str">
        <f>Price!A74</f>
        <v>Bočnice M 650mm, Polar stříbrná</v>
      </c>
      <c r="M74" s="15" t="str">
        <f>Price!B74</f>
        <v>770M6502S</v>
      </c>
      <c r="N74" s="15" t="str">
        <f>Price!C74</f>
        <v>PS-M</v>
      </c>
      <c r="O74" s="525">
        <f>Price!D74</f>
        <v>0</v>
      </c>
      <c r="P74" s="16"/>
      <c r="Q74" s="17">
        <f>Price!F74</f>
        <v>787.42313999999999</v>
      </c>
      <c r="R74" s="318"/>
      <c r="S74" s="318"/>
      <c r="T74" s="12">
        <f>Price!G74</f>
        <v>5571875</v>
      </c>
      <c r="U74" s="252">
        <f>Price!H74</f>
        <v>348916</v>
      </c>
      <c r="V74" s="13"/>
      <c r="W74" s="13"/>
      <c r="X74" s="19"/>
      <c r="Y74" s="19"/>
    </row>
    <row r="75" spans="1:25" x14ac:dyDescent="0.35">
      <c r="A75" s="81"/>
      <c r="B75" s="160"/>
      <c r="C75" s="160"/>
      <c r="D75" s="528"/>
      <c r="E75" s="78"/>
      <c r="F75" s="65"/>
      <c r="G75" s="65"/>
      <c r="H75" s="65"/>
      <c r="I75" s="65"/>
      <c r="J75" s="65"/>
      <c r="K75" s="64"/>
      <c r="L75" s="61" t="str">
        <f>Price!A75</f>
        <v>Bočnice M 600mm, nerez</v>
      </c>
      <c r="M75" s="15" t="str">
        <f>Price!B75</f>
        <v>770M6502I</v>
      </c>
      <c r="N75" s="15" t="str">
        <f>Price!C75</f>
        <v>Inox</v>
      </c>
      <c r="O75" s="525" t="str">
        <f>Price!D75</f>
        <v>!</v>
      </c>
      <c r="P75" s="16"/>
      <c r="Q75" s="17">
        <f>Price!F75</f>
        <v>1447.2923000000001</v>
      </c>
      <c r="R75" s="318"/>
      <c r="S75" s="318"/>
      <c r="T75" s="12">
        <f>Price!G75</f>
        <v>8204879</v>
      </c>
      <c r="U75" s="252">
        <f>Price!H75</f>
        <v>256456</v>
      </c>
      <c r="V75" s="13"/>
      <c r="W75" s="13"/>
      <c r="X75" s="19"/>
      <c r="Y75" s="19"/>
    </row>
    <row r="76" spans="1:25" ht="15" thickBot="1" x14ac:dyDescent="0.4">
      <c r="A76" s="86" t="str">
        <f>IF($C$2=1,L76,IF($C$2=2,L77,IF($C$2=3,L78,IF($C$2=4,L79, IF($C$2=5, L80, "  chyba")))))</f>
        <v>Bočnice K 300mm, Orion šedá</v>
      </c>
      <c r="B76" s="87" t="str">
        <f t="shared" ref="B76" si="75">IF($C$2=1,M76,IF($C$2=2,M77,IF($C$2=3,M78,IF($C$2=4,M79, IF($C$2=5, M80, "  chyba")))))</f>
        <v>770K3002S</v>
      </c>
      <c r="C76" s="87" t="str">
        <f t="shared" ref="C76" si="76">IF($C$2=1,N76,IF($C$2=2,N77,IF($C$2=3,N78,IF($C$2=4,N79, IF($C$2=5, N80, "  chyba")))))</f>
        <v>OG-M</v>
      </c>
      <c r="D76" s="527" t="str">
        <f t="shared" ref="D76" si="77">IF($C$2=1,O76,IF($C$2=2,O77,IF($C$2=3,O78,IF($C$2=4,O79, IF($C$2=5, O80, "  chyba")))))</f>
        <v>!</v>
      </c>
      <c r="E76" s="88"/>
      <c r="F76" s="89">
        <f t="shared" ref="F76" si="78">IF($C$2=1,Q76,IF($C$2=2,Q77,IF($C$2=3,Q78,IF($C$2=4,Q79, IF($C$2=5, Q80, "  chyba")))))</f>
        <v>731.27220999999997</v>
      </c>
      <c r="G76" s="65"/>
      <c r="H76" s="65"/>
      <c r="I76" s="168">
        <f t="shared" ref="I76" si="79">IF($C$2=1,T76,IF($C$2=2,T77,IF($C$2=3,T78,IF($C$2=4,T79, IF($C$2=5, T80, "  chyba")))))</f>
        <v>3942168</v>
      </c>
      <c r="J76" s="168">
        <f t="shared" ref="J76" si="80">IF($C$2=1,U76,IF($C$2=2,U77,IF($C$2=3,U78,IF($C$2=4,U79, IF($C$2=5, U80, "  chyba")))))</f>
        <v>348928</v>
      </c>
      <c r="K76" s="64"/>
      <c r="L76" s="61" t="str">
        <f>Price!A76</f>
        <v>Bočnice K 300mm, Orion šedá</v>
      </c>
      <c r="M76" s="15" t="str">
        <f>Price!B76</f>
        <v>770K3002S</v>
      </c>
      <c r="N76" s="15" t="str">
        <f>Price!C76</f>
        <v>OG-M</v>
      </c>
      <c r="O76" s="525" t="str">
        <f>Price!D76</f>
        <v>!</v>
      </c>
      <c r="P76" s="16"/>
      <c r="Q76" s="17">
        <f>Price!F76</f>
        <v>731.27220999999997</v>
      </c>
      <c r="R76" s="318"/>
      <c r="S76" s="318"/>
      <c r="T76" s="12">
        <f>Price!G76</f>
        <v>3942168</v>
      </c>
      <c r="U76" s="252">
        <f>Price!H76</f>
        <v>348928</v>
      </c>
      <c r="V76" s="13"/>
      <c r="W76" s="13"/>
      <c r="X76" s="19"/>
      <c r="Y76" s="19"/>
    </row>
    <row r="77" spans="1:25" x14ac:dyDescent="0.35">
      <c r="A77" s="81"/>
      <c r="B77" s="160"/>
      <c r="C77" s="160"/>
      <c r="D77" s="528"/>
      <c r="E77" s="78"/>
      <c r="F77" s="65"/>
      <c r="G77" s="65"/>
      <c r="H77" s="65"/>
      <c r="I77" s="65"/>
      <c r="J77" s="65"/>
      <c r="K77" s="64"/>
      <c r="L77" s="61" t="str">
        <f>Price!A77</f>
        <v>Bočnice K 300mm, hedvábně bílá</v>
      </c>
      <c r="M77" s="15" t="str">
        <f>Price!B77</f>
        <v>770K3002S</v>
      </c>
      <c r="N77" s="15" t="str">
        <f>Price!C77</f>
        <v>SW-M</v>
      </c>
      <c r="O77" s="525" t="str">
        <f>Price!D77</f>
        <v>!</v>
      </c>
      <c r="P77" s="16"/>
      <c r="Q77" s="17">
        <f>Price!F77</f>
        <v>731.27220999999997</v>
      </c>
      <c r="R77" s="318"/>
      <c r="S77" s="318"/>
      <c r="T77" s="12">
        <f>Price!G77</f>
        <v>4919975</v>
      </c>
      <c r="U77" s="252">
        <f>Price!H77</f>
        <v>348927</v>
      </c>
      <c r="V77" s="13"/>
      <c r="W77" s="13"/>
      <c r="X77" s="19"/>
      <c r="Y77" s="19"/>
    </row>
    <row r="78" spans="1:25" x14ac:dyDescent="0.35">
      <c r="A78" s="81"/>
      <c r="B78" s="160"/>
      <c r="C78" s="160"/>
      <c r="D78" s="528"/>
      <c r="E78" s="78"/>
      <c r="F78" s="65"/>
      <c r="G78" s="65"/>
      <c r="H78" s="65"/>
      <c r="I78" s="65"/>
      <c r="J78" s="65"/>
      <c r="K78" s="64"/>
      <c r="L78" s="61" t="str">
        <f>Price!A78</f>
        <v>Bočnice K 300mm, Terra černá</v>
      </c>
      <c r="M78" s="15" t="str">
        <f>Price!B78</f>
        <v>770K3002S</v>
      </c>
      <c r="N78" s="15" t="str">
        <f>Price!C78</f>
        <v>TS-M</v>
      </c>
      <c r="O78" s="525" t="str">
        <f>Price!D78</f>
        <v>!</v>
      </c>
      <c r="P78" s="16"/>
      <c r="Q78" s="17">
        <f>Price!F78</f>
        <v>731.27220999999997</v>
      </c>
      <c r="R78" s="318"/>
      <c r="S78" s="318"/>
      <c r="T78" s="12">
        <f>Price!G78</f>
        <v>4324888</v>
      </c>
      <c r="U78" s="252">
        <f>Price!H78</f>
        <v>348929</v>
      </c>
      <c r="V78" s="13"/>
      <c r="W78" s="13"/>
      <c r="X78" s="19"/>
      <c r="Y78" s="19"/>
    </row>
    <row r="79" spans="1:25" x14ac:dyDescent="0.35">
      <c r="A79" s="81"/>
      <c r="B79" s="160"/>
      <c r="C79" s="160"/>
      <c r="D79" s="528"/>
      <c r="E79" s="78"/>
      <c r="F79" s="65"/>
      <c r="G79" s="65"/>
      <c r="H79" s="65"/>
      <c r="I79" s="65"/>
      <c r="J79" s="65"/>
      <c r="K79" s="64"/>
      <c r="L79" s="61" t="str">
        <f>Price!A79</f>
        <v>Bočnice K 300mm, Polar stříbrná</v>
      </c>
      <c r="M79" s="15" t="str">
        <f>Price!B79</f>
        <v>770K3002S</v>
      </c>
      <c r="N79" s="15" t="str">
        <f>Price!C79</f>
        <v>PS-M</v>
      </c>
      <c r="O79" s="525" t="str">
        <f>Price!D79</f>
        <v>!</v>
      </c>
      <c r="P79" s="16"/>
      <c r="Q79" s="17">
        <f>Price!F79</f>
        <v>731.27220999999997</v>
      </c>
      <c r="R79" s="318"/>
      <c r="S79" s="318"/>
      <c r="T79" s="12">
        <f>Price!G79</f>
        <v>8377910</v>
      </c>
      <c r="U79" s="252">
        <f>Price!H79</f>
        <v>348923</v>
      </c>
      <c r="V79" s="13"/>
      <c r="W79" s="13"/>
      <c r="X79" s="19"/>
      <c r="Y79" s="19"/>
    </row>
    <row r="80" spans="1:25" x14ac:dyDescent="0.35">
      <c r="A80" s="81"/>
      <c r="B80" s="160"/>
      <c r="C80" s="160"/>
      <c r="D80" s="528"/>
      <c r="E80" s="78"/>
      <c r="F80" s="65"/>
      <c r="G80" s="65"/>
      <c r="H80" s="65"/>
      <c r="I80" s="65"/>
      <c r="J80" s="65"/>
      <c r="K80" s="64"/>
      <c r="L80" s="61">
        <f>Price!A80</f>
        <v>0</v>
      </c>
      <c r="M80" s="15">
        <f>Price!B80</f>
        <v>0</v>
      </c>
      <c r="N80" s="15">
        <f>Price!C80</f>
        <v>0</v>
      </c>
      <c r="O80" s="525">
        <f>Price!D80</f>
        <v>0</v>
      </c>
      <c r="P80" s="16"/>
      <c r="Q80" s="17">
        <f>Price!F80</f>
        <v>0</v>
      </c>
      <c r="R80" s="318"/>
      <c r="S80" s="318"/>
      <c r="T80" s="12">
        <f>Price!G80</f>
        <v>0</v>
      </c>
      <c r="U80" s="252">
        <f>Price!H80</f>
        <v>0</v>
      </c>
      <c r="V80" s="13"/>
      <c r="W80" s="13"/>
      <c r="X80" s="19"/>
      <c r="Y80" s="19"/>
    </row>
    <row r="81" spans="1:25" ht="15" thickBot="1" x14ac:dyDescent="0.4">
      <c r="A81" s="86" t="str">
        <f>IF($C$2=1,L81,IF($C$2=2,L82,IF($C$2=3,L83,IF($C$2=4,L84, IF($C$2=5, L85, "  chyba")))))</f>
        <v>Bočnice K 350mm, Orion šedá</v>
      </c>
      <c r="B81" s="87" t="str">
        <f t="shared" ref="B81" si="81">IF($C$2=1,M81,IF($C$2=2,M82,IF($C$2=3,M83,IF($C$2=4,M84, IF($C$2=5, M85, "  chyba")))))</f>
        <v>770K3502S</v>
      </c>
      <c r="C81" s="87" t="str">
        <f t="shared" ref="C81" si="82">IF($C$2=1,N81,IF($C$2=2,N82,IF($C$2=3,N83,IF($C$2=4,N84, IF($C$2=5, N85, "  chyba")))))</f>
        <v>OG-M</v>
      </c>
      <c r="D81" s="527" t="str">
        <f t="shared" ref="D81" si="83">IF($C$2=1,O81,IF($C$2=2,O82,IF($C$2=3,O83,IF($C$2=4,O84, IF($C$2=5, O85, "  chyba")))))</f>
        <v>!</v>
      </c>
      <c r="E81" s="88"/>
      <c r="F81" s="89">
        <f t="shared" ref="F81" si="84">IF($C$2=1,Q81,IF($C$2=2,Q82,IF($C$2=3,Q83,IF($C$2=4,Q84, IF($C$2=5, Q85, "  chyba")))))</f>
        <v>731.27220999999997</v>
      </c>
      <c r="G81" s="65"/>
      <c r="H81" s="65"/>
      <c r="I81" s="168">
        <f t="shared" ref="I81" si="85">IF($C$2=1,T81,IF($C$2=2,T82,IF($C$2=3,T83,IF($C$2=4,T84, IF($C$2=5, T85, "  chyba")))))</f>
        <v>9340962</v>
      </c>
      <c r="J81" s="168">
        <f t="shared" ref="J81" si="86">IF($C$2=1,U81,IF($C$2=2,U82,IF($C$2=3,U83,IF($C$2=4,U84, IF($C$2=5, U85, "  chyba")))))</f>
        <v>227474</v>
      </c>
      <c r="K81" s="64"/>
      <c r="L81" s="61" t="str">
        <f>Price!A81</f>
        <v>Bočnice K 350mm, Orion šedá</v>
      </c>
      <c r="M81" s="15" t="str">
        <f>Price!B81</f>
        <v>770K3502S</v>
      </c>
      <c r="N81" s="15" t="str">
        <f>Price!C81</f>
        <v>OG-M</v>
      </c>
      <c r="O81" s="525" t="str">
        <f>Price!D81</f>
        <v>!</v>
      </c>
      <c r="P81" s="16"/>
      <c r="Q81" s="17">
        <f>Price!F81</f>
        <v>731.27220999999997</v>
      </c>
      <c r="R81" s="318"/>
      <c r="S81" s="318"/>
      <c r="T81" s="12">
        <f>Price!G81</f>
        <v>9340962</v>
      </c>
      <c r="U81" s="252">
        <f>Price!H81</f>
        <v>227474</v>
      </c>
      <c r="V81" s="13"/>
      <c r="W81" s="13"/>
      <c r="X81" s="19"/>
      <c r="Y81" s="19"/>
    </row>
    <row r="82" spans="1:25" x14ac:dyDescent="0.35">
      <c r="A82" s="81"/>
      <c r="B82" s="160"/>
      <c r="C82" s="160"/>
      <c r="D82" s="528"/>
      <c r="E82" s="78"/>
      <c r="F82" s="65"/>
      <c r="G82" s="65"/>
      <c r="H82" s="65"/>
      <c r="I82" s="65"/>
      <c r="J82" s="65"/>
      <c r="K82" s="64"/>
      <c r="L82" s="61" t="str">
        <f>Price!A82</f>
        <v>Bočnice K 350mm, hedvábně bílá</v>
      </c>
      <c r="M82" s="15" t="str">
        <f>Price!B82</f>
        <v>770K3502S</v>
      </c>
      <c r="N82" s="15" t="str">
        <f>Price!C82</f>
        <v>SW-M</v>
      </c>
      <c r="O82" s="525" t="str">
        <f>Price!D82</f>
        <v>!</v>
      </c>
      <c r="P82" s="16"/>
      <c r="Q82" s="17">
        <f>Price!F82</f>
        <v>731.27220999999997</v>
      </c>
      <c r="R82" s="318"/>
      <c r="S82" s="318"/>
      <c r="T82" s="12">
        <f>Price!G82</f>
        <v>9360049</v>
      </c>
      <c r="U82" s="252">
        <f>Price!H82</f>
        <v>227473</v>
      </c>
      <c r="V82" s="13"/>
      <c r="W82" s="13"/>
      <c r="X82" s="19"/>
      <c r="Y82" s="19"/>
    </row>
    <row r="83" spans="1:25" x14ac:dyDescent="0.35">
      <c r="A83" s="81"/>
      <c r="B83" s="160"/>
      <c r="C83" s="160"/>
      <c r="D83" s="528"/>
      <c r="E83" s="78"/>
      <c r="F83" s="65"/>
      <c r="G83" s="65"/>
      <c r="H83" s="65"/>
      <c r="I83" s="65"/>
      <c r="J83" s="65"/>
      <c r="K83" s="64"/>
      <c r="L83" s="61" t="str">
        <f>Price!A83</f>
        <v>Bočnice K 350mm, Terra černá</v>
      </c>
      <c r="M83" s="15" t="str">
        <f>Price!B83</f>
        <v>770K3502S</v>
      </c>
      <c r="N83" s="15" t="str">
        <f>Price!C83</f>
        <v>TS-M</v>
      </c>
      <c r="O83" s="525" t="str">
        <f>Price!D83</f>
        <v>!</v>
      </c>
      <c r="P83" s="16"/>
      <c r="Q83" s="17">
        <f>Price!F83</f>
        <v>731.27220999999997</v>
      </c>
      <c r="R83" s="318"/>
      <c r="S83" s="318"/>
      <c r="T83" s="12">
        <f>Price!G83</f>
        <v>9376787</v>
      </c>
      <c r="U83" s="252">
        <f>Price!H83</f>
        <v>227475</v>
      </c>
      <c r="V83" s="13"/>
      <c r="W83" s="21"/>
      <c r="X83" s="19"/>
      <c r="Y83" s="19"/>
    </row>
    <row r="84" spans="1:25" x14ac:dyDescent="0.35">
      <c r="A84" s="81"/>
      <c r="B84" s="160"/>
      <c r="C84" s="160"/>
      <c r="D84" s="528"/>
      <c r="E84" s="78"/>
      <c r="F84" s="65"/>
      <c r="G84" s="65"/>
      <c r="H84" s="65"/>
      <c r="I84" s="65"/>
      <c r="J84" s="65"/>
      <c r="K84" s="64"/>
      <c r="L84" s="61" t="str">
        <f>Price!A84</f>
        <v>Bočnice K 350mm, Polar stříbrná</v>
      </c>
      <c r="M84" s="15" t="str">
        <f>Price!B84</f>
        <v>770K3502S</v>
      </c>
      <c r="N84" s="15" t="str">
        <f>Price!C84</f>
        <v>PS-M</v>
      </c>
      <c r="O84" s="525" t="str">
        <f>Price!D84</f>
        <v>!</v>
      </c>
      <c r="P84" s="16"/>
      <c r="Q84" s="17">
        <f>Price!F84</f>
        <v>731.27220999999997</v>
      </c>
      <c r="R84" s="318"/>
      <c r="S84" s="318"/>
      <c r="T84" s="12">
        <f>Price!G84</f>
        <v>8617045</v>
      </c>
      <c r="U84" s="252">
        <f>Price!H84</f>
        <v>348924</v>
      </c>
      <c r="V84" s="13"/>
      <c r="W84" s="21"/>
      <c r="X84" s="19"/>
      <c r="Y84" s="19"/>
    </row>
    <row r="85" spans="1:25" x14ac:dyDescent="0.35">
      <c r="A85" s="81"/>
      <c r="B85" s="160"/>
      <c r="C85" s="160"/>
      <c r="D85" s="528"/>
      <c r="E85" s="78"/>
      <c r="F85" s="65"/>
      <c r="G85" s="65"/>
      <c r="H85" s="65"/>
      <c r="I85" s="65"/>
      <c r="J85" s="65"/>
      <c r="K85" s="66"/>
      <c r="L85" s="61" t="str">
        <f>Price!A85</f>
        <v>Bočnice K 350mm, nerez</v>
      </c>
      <c r="M85" s="15" t="str">
        <f>Price!B85</f>
        <v>770K3502I</v>
      </c>
      <c r="N85" s="15" t="str">
        <f>Price!C85</f>
        <v>Inox</v>
      </c>
      <c r="O85" s="525" t="str">
        <f>Price!D85</f>
        <v>!</v>
      </c>
      <c r="P85" s="16"/>
      <c r="Q85" s="17">
        <f>Price!F85</f>
        <v>1372.92587</v>
      </c>
      <c r="R85" s="318"/>
      <c r="S85" s="318"/>
      <c r="T85" s="12">
        <f>Price!G85</f>
        <v>1478096</v>
      </c>
      <c r="U85" s="252">
        <f>Price!H85</f>
        <v>227476</v>
      </c>
      <c r="V85" s="13"/>
      <c r="W85" s="22"/>
      <c r="X85" s="19"/>
      <c r="Y85" s="19"/>
    </row>
    <row r="86" spans="1:25" ht="15" thickBot="1" x14ac:dyDescent="0.4">
      <c r="A86" s="86" t="str">
        <f>IF($C$2=1,L86,IF($C$2=2,L87,IF($C$2=3,L88,IF($C$2=4,L89, IF($C$2=5, L90, "  chyba")))))</f>
        <v>Bočnice K 400mm, Orion šedá</v>
      </c>
      <c r="B86" s="87" t="str">
        <f t="shared" ref="B86" si="87">IF($C$2=1,M86,IF($C$2=2,M87,IF($C$2=3,M88,IF($C$2=4,M89, IF($C$2=5, M90, "  chyba")))))</f>
        <v>770K4002S</v>
      </c>
      <c r="C86" s="87" t="str">
        <f t="shared" ref="C86" si="88">IF($C$2=1,N86,IF($C$2=2,N87,IF($C$2=3,N88,IF($C$2=4,N89, IF($C$2=5, N90, "  chyba")))))</f>
        <v>OG-M</v>
      </c>
      <c r="D86" s="527" t="str">
        <f t="shared" ref="D86" si="89">IF($C$2=1,O86,IF($C$2=2,O87,IF($C$2=3,O88,IF($C$2=4,O89, IF($C$2=5, O90, "  chyba")))))</f>
        <v>!</v>
      </c>
      <c r="E86" s="88"/>
      <c r="F86" s="89">
        <f t="shared" ref="F86" si="90">IF($C$2=1,Q86,IF($C$2=2,Q87,IF($C$2=3,Q88,IF($C$2=4,Q89, IF($C$2=5, Q90, "  chyba")))))</f>
        <v>741.57773999999995</v>
      </c>
      <c r="G86" s="65"/>
      <c r="H86" s="65"/>
      <c r="I86" s="168">
        <f t="shared" ref="I86" si="91">IF($C$2=1,T86,IF($C$2=2,T87,IF($C$2=3,T88,IF($C$2=4,T89, IF($C$2=5, T90, "  chyba")))))</f>
        <v>9409124</v>
      </c>
      <c r="J86" s="168">
        <f t="shared" ref="J86" si="92">IF($C$2=1,U86,IF($C$2=2,U87,IF($C$2=3,U88,IF($C$2=4,U89, IF($C$2=5, U90, "  chyba")))))</f>
        <v>227478</v>
      </c>
      <c r="K86" s="66"/>
      <c r="L86" s="61" t="str">
        <f>Price!A86</f>
        <v>Bočnice K 400mm, Orion šedá</v>
      </c>
      <c r="M86" s="15" t="str">
        <f>Price!B86</f>
        <v>770K4002S</v>
      </c>
      <c r="N86" s="15" t="str">
        <f>Price!C86</f>
        <v>OG-M</v>
      </c>
      <c r="O86" s="525" t="str">
        <f>Price!D86</f>
        <v>!</v>
      </c>
      <c r="P86" s="16"/>
      <c r="Q86" s="17">
        <f>Price!F86</f>
        <v>741.57773999999995</v>
      </c>
      <c r="R86" s="318"/>
      <c r="S86" s="318"/>
      <c r="T86" s="12">
        <f>Price!G86</f>
        <v>9409124</v>
      </c>
      <c r="U86" s="252">
        <f>Price!H86</f>
        <v>227478</v>
      </c>
      <c r="V86" s="13"/>
      <c r="W86" s="22"/>
      <c r="X86" s="19"/>
      <c r="Y86" s="19"/>
    </row>
    <row r="87" spans="1:25" x14ac:dyDescent="0.35">
      <c r="A87" s="81"/>
      <c r="B87" s="160"/>
      <c r="C87" s="160"/>
      <c r="D87" s="528"/>
      <c r="E87" s="78"/>
      <c r="F87" s="65"/>
      <c r="G87" s="65"/>
      <c r="H87" s="65"/>
      <c r="I87" s="65"/>
      <c r="J87" s="65"/>
      <c r="K87" s="69"/>
      <c r="L87" s="61" t="str">
        <f>Price!A87</f>
        <v>Bočnice K 400mm, hedvábně bílá</v>
      </c>
      <c r="M87" s="15" t="str">
        <f>Price!B87</f>
        <v>770K4002S</v>
      </c>
      <c r="N87" s="15" t="str">
        <f>Price!C87</f>
        <v>SW-M</v>
      </c>
      <c r="O87" s="525" t="str">
        <f>Price!D87</f>
        <v>!</v>
      </c>
      <c r="P87" s="16"/>
      <c r="Q87" s="17">
        <f>Price!F87</f>
        <v>741.57773999999995</v>
      </c>
      <c r="R87" s="318"/>
      <c r="S87" s="318"/>
      <c r="T87" s="12">
        <f>Price!G87</f>
        <v>9412510</v>
      </c>
      <c r="U87" s="252">
        <f>Price!H87</f>
        <v>227477</v>
      </c>
      <c r="V87" s="13"/>
      <c r="W87" s="22"/>
      <c r="X87" s="19"/>
      <c r="Y87" s="19"/>
    </row>
    <row r="88" spans="1:25" x14ac:dyDescent="0.35">
      <c r="A88" s="81"/>
      <c r="B88" s="160"/>
      <c r="C88" s="160"/>
      <c r="D88" s="528"/>
      <c r="E88" s="78"/>
      <c r="F88" s="65"/>
      <c r="G88" s="65"/>
      <c r="H88" s="65"/>
      <c r="I88" s="65"/>
      <c r="J88" s="65"/>
      <c r="K88" s="69"/>
      <c r="L88" s="61" t="str">
        <f>Price!A88</f>
        <v>Bočnice K 400mm, Terra černá</v>
      </c>
      <c r="M88" s="15" t="str">
        <f>Price!B88</f>
        <v>770K4002S</v>
      </c>
      <c r="N88" s="15" t="str">
        <f>Price!C88</f>
        <v>TS-M</v>
      </c>
      <c r="O88" s="525" t="str">
        <f>Price!D88</f>
        <v>!</v>
      </c>
      <c r="P88" s="16"/>
      <c r="Q88" s="17">
        <f>Price!F88</f>
        <v>741.57773999999995</v>
      </c>
      <c r="R88" s="318"/>
      <c r="S88" s="318"/>
      <c r="T88" s="12">
        <f>Price!G88</f>
        <v>9477844</v>
      </c>
      <c r="U88" s="252">
        <f>Price!H88</f>
        <v>227479</v>
      </c>
      <c r="V88" s="13"/>
      <c r="W88" s="22"/>
      <c r="X88" s="19"/>
      <c r="Y88" s="19"/>
    </row>
    <row r="89" spans="1:25" x14ac:dyDescent="0.35">
      <c r="A89" s="81"/>
      <c r="B89" s="160"/>
      <c r="C89" s="160"/>
      <c r="D89" s="528"/>
      <c r="E89" s="78"/>
      <c r="F89" s="65"/>
      <c r="G89" s="65"/>
      <c r="H89" s="65"/>
      <c r="I89" s="65"/>
      <c r="J89" s="65"/>
      <c r="K89" s="69"/>
      <c r="L89" s="61" t="str">
        <f>Price!A89</f>
        <v>Bočnice K 400mm, Polar stříbrná</v>
      </c>
      <c r="M89" s="15" t="str">
        <f>Price!B89</f>
        <v>770K4002S</v>
      </c>
      <c r="N89" s="15" t="str">
        <f>Price!C89</f>
        <v>PS-M</v>
      </c>
      <c r="O89" s="525" t="str">
        <f>Price!D89</f>
        <v>!</v>
      </c>
      <c r="P89" s="16"/>
      <c r="Q89" s="17">
        <f>Price!F89</f>
        <v>741.57773999999995</v>
      </c>
      <c r="R89" s="318"/>
      <c r="S89" s="318"/>
      <c r="T89" s="12">
        <f>Price!G89</f>
        <v>4082612</v>
      </c>
      <c r="U89" s="252">
        <f>Price!H89</f>
        <v>348925</v>
      </c>
      <c r="V89" s="13"/>
      <c r="W89" s="22"/>
      <c r="X89" s="19"/>
      <c r="Y89" s="19"/>
    </row>
    <row r="90" spans="1:25" x14ac:dyDescent="0.35">
      <c r="A90" s="81"/>
      <c r="B90" s="160"/>
      <c r="C90" s="160"/>
      <c r="D90" s="528"/>
      <c r="E90" s="78"/>
      <c r="F90" s="65"/>
      <c r="G90" s="65"/>
      <c r="H90" s="65"/>
      <c r="I90" s="65"/>
      <c r="J90" s="65"/>
      <c r="K90" s="69"/>
      <c r="L90" s="61" t="str">
        <f>Price!A90</f>
        <v>Bočnice K 400mm, nerez</v>
      </c>
      <c r="M90" s="15" t="str">
        <f>Price!B90</f>
        <v>770K4002I</v>
      </c>
      <c r="N90" s="15" t="str">
        <f>Price!C90</f>
        <v>Inox</v>
      </c>
      <c r="O90" s="525" t="str">
        <f>Price!D90</f>
        <v>!</v>
      </c>
      <c r="P90" s="16"/>
      <c r="Q90" s="17">
        <f>Price!F90</f>
        <v>1408.23261</v>
      </c>
      <c r="R90" s="318"/>
      <c r="S90" s="318"/>
      <c r="T90" s="12">
        <f>Price!G90</f>
        <v>1501198</v>
      </c>
      <c r="U90" s="252">
        <f>Price!H90</f>
        <v>227480</v>
      </c>
      <c r="V90" s="13"/>
      <c r="W90" s="22"/>
      <c r="X90" s="19"/>
      <c r="Y90" s="19"/>
    </row>
    <row r="91" spans="1:25" ht="15" thickBot="1" x14ac:dyDescent="0.4">
      <c r="A91" s="86" t="str">
        <f>IF($C$2=1,L91,IF($C$2=2,L92,IF($C$2=3,L93,IF($C$2=4,L94, IF($C$2=5, L95, "  chyba")))))</f>
        <v>Bočnice K 450mm, Orion šedá</v>
      </c>
      <c r="B91" s="87" t="str">
        <f t="shared" ref="B91" si="93">IF($C$2=1,M91,IF($C$2=2,M92,IF($C$2=3,M93,IF($C$2=4,M94, IF($C$2=5, M95, "  chyba")))))</f>
        <v>770K4502S</v>
      </c>
      <c r="C91" s="87" t="str">
        <f t="shared" ref="C91" si="94">IF($C$2=1,N91,IF($C$2=2,N92,IF($C$2=3,N93,IF($C$2=4,N94, IF($C$2=5, N95, "  chyba")))))</f>
        <v>OG-M</v>
      </c>
      <c r="D91" s="527" t="str">
        <f t="shared" ref="D91" si="95">IF($C$2=1,O91,IF($C$2=2,O92,IF($C$2=3,O93,IF($C$2=4,O94, IF($C$2=5, O95, "  chyba")))))</f>
        <v>!</v>
      </c>
      <c r="E91" s="88"/>
      <c r="F91" s="89">
        <f t="shared" ref="F91" si="96">IF($C$2=1,Q91,IF($C$2=2,Q92,IF($C$2=3,Q93,IF($C$2=4,Q94, IF($C$2=5, Q95, "  chyba")))))</f>
        <v>751.87792000000002</v>
      </c>
      <c r="G91" s="65"/>
      <c r="H91" s="65"/>
      <c r="I91" s="168">
        <f t="shared" ref="I91" si="97">IF($C$2=1,T91,IF($C$2=2,T92,IF($C$2=3,T93,IF($C$2=4,T94, IF($C$2=5, T95, "  chyba")))))</f>
        <v>9485595</v>
      </c>
      <c r="J91" s="168">
        <f t="shared" ref="J91" si="98">IF($C$2=1,U91,IF($C$2=2,U92,IF($C$2=3,U93,IF($C$2=4,U94, IF($C$2=5, U95, "  chyba")))))</f>
        <v>227482</v>
      </c>
      <c r="K91" s="67"/>
      <c r="L91" s="61" t="str">
        <f>Price!A91</f>
        <v>Bočnice K 450mm, Orion šedá</v>
      </c>
      <c r="M91" s="15" t="str">
        <f>Price!B91</f>
        <v>770K4502S</v>
      </c>
      <c r="N91" s="15" t="str">
        <f>Price!C91</f>
        <v>OG-M</v>
      </c>
      <c r="O91" s="525" t="str">
        <f>Price!D91</f>
        <v>!</v>
      </c>
      <c r="P91" s="16"/>
      <c r="Q91" s="17">
        <f>Price!F91</f>
        <v>751.87792000000002</v>
      </c>
      <c r="R91" s="318"/>
      <c r="S91" s="318"/>
      <c r="T91" s="12">
        <f>Price!G91</f>
        <v>9485595</v>
      </c>
      <c r="U91" s="252">
        <f>Price!H91</f>
        <v>227482</v>
      </c>
      <c r="V91" s="13"/>
      <c r="W91" s="22"/>
      <c r="X91" s="19"/>
      <c r="Y91" s="19"/>
    </row>
    <row r="92" spans="1:25" x14ac:dyDescent="0.35">
      <c r="A92" s="81"/>
      <c r="B92" s="160"/>
      <c r="C92" s="160"/>
      <c r="D92" s="528"/>
      <c r="E92" s="78"/>
      <c r="F92" s="65"/>
      <c r="G92" s="65"/>
      <c r="H92" s="65"/>
      <c r="I92" s="65"/>
      <c r="J92" s="65"/>
      <c r="K92" s="69"/>
      <c r="L92" s="61" t="str">
        <f>Price!A92</f>
        <v>Bočnice K 450mm, hedvábně bílá</v>
      </c>
      <c r="M92" s="15" t="str">
        <f>Price!B92</f>
        <v>770K4502S</v>
      </c>
      <c r="N92" s="15" t="str">
        <f>Price!C92</f>
        <v>SW-M</v>
      </c>
      <c r="O92" s="525" t="str">
        <f>Price!D92</f>
        <v>!</v>
      </c>
      <c r="P92" s="16"/>
      <c r="Q92" s="17">
        <f>Price!F92</f>
        <v>751.87792000000002</v>
      </c>
      <c r="R92" s="318"/>
      <c r="S92" s="318"/>
      <c r="T92" s="12">
        <f>Price!G92</f>
        <v>9525482</v>
      </c>
      <c r="U92" s="252">
        <f>Price!H92</f>
        <v>227481</v>
      </c>
      <c r="V92" s="13"/>
      <c r="W92" s="22"/>
      <c r="X92" s="19"/>
      <c r="Y92" s="19"/>
    </row>
    <row r="93" spans="1:25" x14ac:dyDescent="0.35">
      <c r="A93" s="81"/>
      <c r="B93" s="160"/>
      <c r="C93" s="160"/>
      <c r="D93" s="528"/>
      <c r="E93" s="78"/>
      <c r="F93" s="65"/>
      <c r="G93" s="65"/>
      <c r="H93" s="65"/>
      <c r="I93" s="65"/>
      <c r="J93" s="65"/>
      <c r="K93" s="69"/>
      <c r="L93" s="61" t="str">
        <f>Price!A93</f>
        <v>Bočnice K 450mm, Terra černá</v>
      </c>
      <c r="M93" s="15" t="str">
        <f>Price!B93</f>
        <v>770K4502S</v>
      </c>
      <c r="N93" s="15" t="str">
        <f>Price!C93</f>
        <v>TS-M</v>
      </c>
      <c r="O93" s="525" t="str">
        <f>Price!D93</f>
        <v>!</v>
      </c>
      <c r="P93" s="16"/>
      <c r="Q93" s="17">
        <f>Price!F93</f>
        <v>751.87792000000002</v>
      </c>
      <c r="R93" s="318"/>
      <c r="S93" s="318"/>
      <c r="T93" s="12">
        <f>Price!G93</f>
        <v>9537952</v>
      </c>
      <c r="U93" s="252">
        <f>Price!H93</f>
        <v>227483</v>
      </c>
      <c r="V93" s="13"/>
      <c r="W93" s="22"/>
      <c r="X93" s="19"/>
      <c r="Y93" s="19"/>
    </row>
    <row r="94" spans="1:25" x14ac:dyDescent="0.35">
      <c r="A94" s="81"/>
      <c r="B94" s="160"/>
      <c r="C94" s="160"/>
      <c r="D94" s="528"/>
      <c r="E94" s="78"/>
      <c r="F94" s="65"/>
      <c r="G94" s="65"/>
      <c r="H94" s="65"/>
      <c r="I94" s="65"/>
      <c r="J94" s="65"/>
      <c r="K94" s="69"/>
      <c r="L94" s="61" t="str">
        <f>Price!A94</f>
        <v>Bočnice K 450mm, Polar stříbrná</v>
      </c>
      <c r="M94" s="15" t="str">
        <f>Price!B94</f>
        <v>770K4502S</v>
      </c>
      <c r="N94" s="15" t="str">
        <f>Price!C94</f>
        <v>PS-M</v>
      </c>
      <c r="O94" s="525" t="str">
        <f>Price!D94</f>
        <v>!</v>
      </c>
      <c r="P94" s="16"/>
      <c r="Q94" s="17">
        <f>Price!F94</f>
        <v>751.87792000000002</v>
      </c>
      <c r="R94" s="318"/>
      <c r="S94" s="318"/>
      <c r="T94" s="12">
        <f>Price!G94</f>
        <v>4293155</v>
      </c>
      <c r="U94" s="252">
        <f>Price!H94</f>
        <v>348926</v>
      </c>
      <c r="V94" s="13"/>
      <c r="W94" s="22"/>
      <c r="X94" s="19"/>
      <c r="Y94" s="19"/>
    </row>
    <row r="95" spans="1:25" x14ac:dyDescent="0.35">
      <c r="A95" s="81"/>
      <c r="B95" s="160"/>
      <c r="C95" s="160"/>
      <c r="D95" s="528"/>
      <c r="E95" s="78"/>
      <c r="F95" s="65"/>
      <c r="G95" s="65"/>
      <c r="H95" s="65"/>
      <c r="I95" s="65"/>
      <c r="J95" s="65"/>
      <c r="K95" s="69"/>
      <c r="L95" s="61" t="str">
        <f>Price!A95</f>
        <v>Bočnice K 450mm, nerez</v>
      </c>
      <c r="M95" s="15" t="str">
        <f>Price!B95</f>
        <v>770K4502I</v>
      </c>
      <c r="N95" s="15" t="str">
        <f>Price!C95</f>
        <v>Inox</v>
      </c>
      <c r="O95" s="525" t="str">
        <f>Price!D95</f>
        <v>!</v>
      </c>
      <c r="P95" s="16"/>
      <c r="Q95" s="17">
        <f>Price!F95</f>
        <v>1443.53935</v>
      </c>
      <c r="R95" s="318"/>
      <c r="S95" s="318"/>
      <c r="T95" s="12">
        <f>Price!G95</f>
        <v>1679728</v>
      </c>
      <c r="U95" s="252">
        <f>Price!H95</f>
        <v>227484</v>
      </c>
      <c r="V95" s="13"/>
      <c r="W95" s="22"/>
      <c r="X95" s="19"/>
      <c r="Y95" s="19"/>
    </row>
    <row r="96" spans="1:25" ht="15" thickBot="1" x14ac:dyDescent="0.4">
      <c r="A96" s="86" t="str">
        <f>IF($C$2=1,L96,IF($C$2=2,L97,IF($C$2=3,L98,IF($C$2=4,L99, IF($C$2=5, L100, "  chyba")))))</f>
        <v>Bočnice K 500mm, Orion šedá</v>
      </c>
      <c r="B96" s="87" t="str">
        <f t="shared" ref="B96" si="99">IF($C$2=1,M96,IF($C$2=2,M97,IF($C$2=3,M98,IF($C$2=4,M99, IF($C$2=5, M100, "  chyba")))))</f>
        <v>770K5002S</v>
      </c>
      <c r="C96" s="87" t="str">
        <f t="shared" ref="C96" si="100">IF($C$2=1,N96,IF($C$2=2,N97,IF($C$2=3,N98,IF($C$2=4,N99, IF($C$2=5, N100, "  chyba")))))</f>
        <v>OG-M</v>
      </c>
      <c r="D96" s="527" t="str">
        <f t="shared" ref="D96" si="101">IF($C$2=1,O96,IF($C$2=2,O97,IF($C$2=3,O98,IF($C$2=4,O99, IF($C$2=5, O100, "  chyba")))))</f>
        <v>!</v>
      </c>
      <c r="E96" s="88"/>
      <c r="F96" s="89">
        <f t="shared" ref="F96" si="102">IF($C$2=1,Q96,IF($C$2=2,Q97,IF($C$2=3,Q98,IF($C$2=4,Q99, IF($C$2=5, Q100, "  chyba")))))</f>
        <v>762.18404999999996</v>
      </c>
      <c r="G96" s="65"/>
      <c r="H96" s="65"/>
      <c r="I96" s="168">
        <f t="shared" ref="I96" si="103">IF($C$2=1,T96,IF($C$2=2,T97,IF($C$2=3,T98,IF($C$2=4,T99, IF($C$2=5, T100, "  chyba")))))</f>
        <v>9545678</v>
      </c>
      <c r="J96" s="168">
        <f t="shared" ref="J96" si="104">IF($C$2=1,U96,IF($C$2=2,U97,IF($C$2=3,U98,IF($C$2=4,U99, IF($C$2=5, U100, "  chyba")))))</f>
        <v>227486</v>
      </c>
      <c r="K96" s="67"/>
      <c r="L96" s="61" t="str">
        <f>Price!A96</f>
        <v>Bočnice K 500mm, Orion šedá</v>
      </c>
      <c r="M96" s="15" t="str">
        <f>Price!B96</f>
        <v>770K5002S</v>
      </c>
      <c r="N96" s="15" t="str">
        <f>Price!C96</f>
        <v>OG-M</v>
      </c>
      <c r="O96" s="525" t="str">
        <f>Price!D96</f>
        <v>!</v>
      </c>
      <c r="P96" s="16"/>
      <c r="Q96" s="17">
        <f>Price!F96</f>
        <v>762.18404999999996</v>
      </c>
      <c r="R96" s="318"/>
      <c r="S96" s="318"/>
      <c r="T96" s="12">
        <f>Price!G96</f>
        <v>9545678</v>
      </c>
      <c r="U96" s="252">
        <f>Price!H96</f>
        <v>227486</v>
      </c>
      <c r="V96" s="13"/>
      <c r="W96" s="22"/>
      <c r="X96" s="19"/>
      <c r="Y96" s="19"/>
    </row>
    <row r="97" spans="1:25" x14ac:dyDescent="0.35">
      <c r="A97" s="81"/>
      <c r="B97" s="160"/>
      <c r="C97" s="160"/>
      <c r="D97" s="528"/>
      <c r="E97" s="78"/>
      <c r="F97" s="65"/>
      <c r="G97" s="65"/>
      <c r="H97" s="65"/>
      <c r="I97" s="65"/>
      <c r="J97" s="65"/>
      <c r="K97" s="69"/>
      <c r="L97" s="61" t="str">
        <f>Price!A97</f>
        <v>Bočnice K 500mm, hedvábně bílá</v>
      </c>
      <c r="M97" s="15" t="str">
        <f>Price!B97</f>
        <v>770K5002S</v>
      </c>
      <c r="N97" s="15" t="str">
        <f>Price!C97</f>
        <v>SW-M</v>
      </c>
      <c r="O97" s="525" t="str">
        <f>Price!D97</f>
        <v>!</v>
      </c>
      <c r="P97" s="16"/>
      <c r="Q97" s="17">
        <f>Price!F97</f>
        <v>762.18404999999996</v>
      </c>
      <c r="R97" s="318"/>
      <c r="S97" s="318"/>
      <c r="T97" s="12">
        <f>Price!G97</f>
        <v>9547141</v>
      </c>
      <c r="U97" s="252">
        <f>Price!H97</f>
        <v>227485</v>
      </c>
      <c r="V97" s="13"/>
      <c r="W97" s="22"/>
      <c r="X97" s="19"/>
      <c r="Y97" s="19"/>
    </row>
    <row r="98" spans="1:25" x14ac:dyDescent="0.35">
      <c r="A98" s="81"/>
      <c r="B98" s="160"/>
      <c r="C98" s="160"/>
      <c r="D98" s="528"/>
      <c r="E98" s="78"/>
      <c r="F98" s="65"/>
      <c r="G98" s="65"/>
      <c r="H98" s="65"/>
      <c r="I98" s="65"/>
      <c r="J98" s="65"/>
      <c r="K98" s="69"/>
      <c r="L98" s="61" t="str">
        <f>Price!A98</f>
        <v>Bočnice K 500mm, Terra černá</v>
      </c>
      <c r="M98" s="15" t="str">
        <f>Price!B98</f>
        <v>770K5002S</v>
      </c>
      <c r="N98" s="15" t="str">
        <f>Price!C98</f>
        <v>TS-M</v>
      </c>
      <c r="O98" s="525" t="str">
        <f>Price!D98</f>
        <v>!</v>
      </c>
      <c r="P98" s="16"/>
      <c r="Q98" s="17">
        <f>Price!F98</f>
        <v>762.18404999999996</v>
      </c>
      <c r="R98" s="318"/>
      <c r="S98" s="318"/>
      <c r="T98" s="12">
        <f>Price!G98</f>
        <v>9555427</v>
      </c>
      <c r="U98" s="252">
        <f>Price!H98</f>
        <v>227487</v>
      </c>
      <c r="V98" s="13"/>
      <c r="W98" s="22"/>
      <c r="X98" s="19"/>
      <c r="Y98" s="19"/>
    </row>
    <row r="99" spans="1:25" x14ac:dyDescent="0.35">
      <c r="A99" s="81"/>
      <c r="B99" s="160"/>
      <c r="C99" s="160"/>
      <c r="D99" s="528"/>
      <c r="E99" s="78"/>
      <c r="F99" s="65"/>
      <c r="G99" s="65"/>
      <c r="H99" s="65"/>
      <c r="I99" s="65"/>
      <c r="J99" s="65"/>
      <c r="K99" s="69"/>
      <c r="L99" s="61" t="str">
        <f>Price!A99</f>
        <v>Bočnice K 500mm, Polar stříbrná</v>
      </c>
      <c r="M99" s="15" t="str">
        <f>Price!B99</f>
        <v>770K5002S</v>
      </c>
      <c r="N99" s="15" t="str">
        <f>Price!C99</f>
        <v>PS-M</v>
      </c>
      <c r="O99" s="525" t="str">
        <f>Price!D99</f>
        <v>!</v>
      </c>
      <c r="P99" s="16"/>
      <c r="Q99" s="17">
        <f>Price!F99</f>
        <v>609.44718999999998</v>
      </c>
      <c r="R99" s="318"/>
      <c r="S99" s="318"/>
      <c r="T99" s="12">
        <f>Price!G99</f>
        <v>3425217</v>
      </c>
      <c r="U99" s="252">
        <f>Price!H99</f>
        <v>346628</v>
      </c>
      <c r="V99" s="13"/>
      <c r="W99" s="22"/>
      <c r="X99" s="19"/>
      <c r="Y99" s="19"/>
    </row>
    <row r="100" spans="1:25" x14ac:dyDescent="0.35">
      <c r="A100" s="81"/>
      <c r="B100" s="160"/>
      <c r="C100" s="160"/>
      <c r="D100" s="528"/>
      <c r="E100" s="78"/>
      <c r="F100" s="65"/>
      <c r="G100" s="65"/>
      <c r="H100" s="65"/>
      <c r="I100" s="65"/>
      <c r="J100" s="65"/>
      <c r="K100" s="67"/>
      <c r="L100" s="61" t="str">
        <f>Price!A100</f>
        <v>Bočnice K 500mm, nerez</v>
      </c>
      <c r="M100" s="15" t="str">
        <f>Price!B100</f>
        <v>770K5002I</v>
      </c>
      <c r="N100" s="15" t="str">
        <f>Price!C100</f>
        <v>Inox</v>
      </c>
      <c r="O100" s="525" t="str">
        <f>Price!D100</f>
        <v>!</v>
      </c>
      <c r="P100" s="16"/>
      <c r="Q100" s="17">
        <f>Price!F100</f>
        <v>1478.8514600000001</v>
      </c>
      <c r="R100" s="318"/>
      <c r="S100" s="318"/>
      <c r="T100" s="12">
        <f>Price!G100</f>
        <v>1722370</v>
      </c>
      <c r="U100" s="252">
        <f>Price!H100</f>
        <v>227488</v>
      </c>
      <c r="V100" s="13"/>
      <c r="W100" s="13"/>
      <c r="X100" s="19"/>
      <c r="Y100" s="19"/>
    </row>
    <row r="101" spans="1:25" ht="15" thickBot="1" x14ac:dyDescent="0.4">
      <c r="A101" s="86" t="str">
        <f>IF($C$2=1,L101,IF($C$2=2,L102,IF($C$2=3,L103,IF($C$2=4,L104, IF($C$2=5, L105, "  chyba")))))</f>
        <v>Bočnice K 550mm, Orion šedá</v>
      </c>
      <c r="B101" s="87" t="str">
        <f t="shared" ref="B101" si="105">IF($C$2=1,M101,IF($C$2=2,M102,IF($C$2=3,M103,IF($C$2=4,M104, IF($C$2=5, M105, "  chyba")))))</f>
        <v>770K5502S</v>
      </c>
      <c r="C101" s="87" t="str">
        <f t="shared" ref="C101" si="106">IF($C$2=1,N101,IF($C$2=2,N102,IF($C$2=3,N103,IF($C$2=4,N104, IF($C$2=5, N105, "  chyba")))))</f>
        <v>OG-M</v>
      </c>
      <c r="D101" s="527" t="str">
        <f t="shared" ref="D101" si="107">IF($C$2=1,O101,IF($C$2=2,O102,IF($C$2=3,O103,IF($C$2=4,O104, IF($C$2=5, O105, "  chyba")))))</f>
        <v>!</v>
      </c>
      <c r="E101" s="88"/>
      <c r="F101" s="89">
        <f t="shared" ref="F101" si="108">IF($C$2=1,Q101,IF($C$2=2,Q102,IF($C$2=3,Q103,IF($C$2=4,Q104, IF($C$2=5, Q105, "  chyba")))))</f>
        <v>844.68757000000005</v>
      </c>
      <c r="G101" s="65"/>
      <c r="H101" s="65"/>
      <c r="I101" s="168">
        <f t="shared" ref="I101" si="109">IF($C$2=1,T101,IF($C$2=2,T102,IF($C$2=3,T103,IF($C$2=4,T104, IF($C$2=5, T105, "  chyba")))))</f>
        <v>9562948</v>
      </c>
      <c r="J101" s="168">
        <f t="shared" ref="J101" si="110">IF($C$2=1,U101,IF($C$2=2,U102,IF($C$2=3,U103,IF($C$2=4,U104, IF($C$2=5, U105, "  chyba")))))</f>
        <v>227490</v>
      </c>
      <c r="K101" s="67"/>
      <c r="L101" s="61" t="str">
        <f>Price!A101</f>
        <v>Bočnice K 550mm, Orion šedá</v>
      </c>
      <c r="M101" s="15" t="str">
        <f>Price!B101</f>
        <v>770K5502S</v>
      </c>
      <c r="N101" s="15" t="str">
        <f>Price!C101</f>
        <v>OG-M</v>
      </c>
      <c r="O101" s="525" t="str">
        <f>Price!D101</f>
        <v>!</v>
      </c>
      <c r="P101" s="16"/>
      <c r="Q101" s="17">
        <f>Price!F101</f>
        <v>844.68757000000005</v>
      </c>
      <c r="R101" s="318"/>
      <c r="S101" s="318"/>
      <c r="T101" s="12">
        <f>Price!G101</f>
        <v>9562948</v>
      </c>
      <c r="U101" s="252">
        <f>Price!H101</f>
        <v>227490</v>
      </c>
      <c r="V101" s="13"/>
      <c r="W101" s="13"/>
      <c r="X101" s="19"/>
      <c r="Y101" s="19"/>
    </row>
    <row r="102" spans="1:25" x14ac:dyDescent="0.35">
      <c r="A102" s="81"/>
      <c r="B102" s="160"/>
      <c r="C102" s="160"/>
      <c r="D102" s="528"/>
      <c r="E102" s="78"/>
      <c r="F102" s="65"/>
      <c r="G102" s="65"/>
      <c r="H102" s="65"/>
      <c r="I102" s="65"/>
      <c r="J102" s="65"/>
      <c r="K102" s="69"/>
      <c r="L102" s="61" t="str">
        <f>Price!A102</f>
        <v>Bočnice K 550mm, hedvábně bílá</v>
      </c>
      <c r="M102" s="15" t="str">
        <f>Price!B102</f>
        <v>770K5502S</v>
      </c>
      <c r="N102" s="15" t="str">
        <f>Price!C102</f>
        <v>SW-M</v>
      </c>
      <c r="O102" s="525" t="str">
        <f>Price!D102</f>
        <v>!</v>
      </c>
      <c r="P102" s="16"/>
      <c r="Q102" s="17">
        <f>Price!F102</f>
        <v>844.68757000000005</v>
      </c>
      <c r="R102" s="318"/>
      <c r="S102" s="318"/>
      <c r="T102" s="12">
        <f>Price!G102</f>
        <v>9571190</v>
      </c>
      <c r="U102" s="252">
        <f>Price!H102</f>
        <v>227489</v>
      </c>
      <c r="V102" s="13"/>
      <c r="W102" s="13"/>
      <c r="X102" s="19"/>
      <c r="Y102" s="19"/>
    </row>
    <row r="103" spans="1:25" x14ac:dyDescent="0.35">
      <c r="A103" s="81"/>
      <c r="B103" s="160"/>
      <c r="C103" s="160"/>
      <c r="D103" s="528"/>
      <c r="E103" s="78"/>
      <c r="F103" s="65"/>
      <c r="G103" s="65"/>
      <c r="H103" s="65"/>
      <c r="I103" s="65"/>
      <c r="J103" s="65"/>
      <c r="K103" s="63"/>
      <c r="L103" s="61" t="str">
        <f>Price!A103</f>
        <v>Bočnice K 550mm, Terra černá</v>
      </c>
      <c r="M103" s="15" t="str">
        <f>Price!B103</f>
        <v>770K5502S</v>
      </c>
      <c r="N103" s="15" t="str">
        <f>Price!C103</f>
        <v>TS-M</v>
      </c>
      <c r="O103" s="525" t="str">
        <f>Price!D103</f>
        <v>!</v>
      </c>
      <c r="P103" s="16"/>
      <c r="Q103" s="17">
        <f>Price!F103</f>
        <v>844.68757000000005</v>
      </c>
      <c r="R103" s="318"/>
      <c r="S103" s="318"/>
      <c r="T103" s="12">
        <f>Price!G103</f>
        <v>9572887</v>
      </c>
      <c r="U103" s="252">
        <f>Price!H103</f>
        <v>227491</v>
      </c>
      <c r="V103" s="13"/>
      <c r="W103" s="13"/>
      <c r="X103" s="19"/>
      <c r="Y103" s="19"/>
    </row>
    <row r="104" spans="1:25" x14ac:dyDescent="0.35">
      <c r="A104" s="81"/>
      <c r="B104" s="160"/>
      <c r="C104" s="160"/>
      <c r="D104" s="528"/>
      <c r="E104" s="78"/>
      <c r="F104" s="65"/>
      <c r="G104" s="65"/>
      <c r="H104" s="65"/>
      <c r="I104" s="65"/>
      <c r="J104" s="65"/>
      <c r="K104" s="63"/>
      <c r="L104" s="61" t="str">
        <f>Price!A104</f>
        <v>Bočnice K 550mm, Polar stříbrná</v>
      </c>
      <c r="M104" s="15" t="str">
        <f>Price!B104</f>
        <v>770K5502S</v>
      </c>
      <c r="N104" s="15" t="str">
        <f>Price!C104</f>
        <v>PS-M</v>
      </c>
      <c r="O104" s="525" t="str">
        <f>Price!D104</f>
        <v>!</v>
      </c>
      <c r="P104" s="16"/>
      <c r="Q104" s="17">
        <f>Price!F104</f>
        <v>844.68757000000005</v>
      </c>
      <c r="R104" s="318"/>
      <c r="S104" s="318"/>
      <c r="T104" s="12">
        <f>Price!G104</f>
        <v>3702643</v>
      </c>
      <c r="U104" s="252">
        <f>Price!H104</f>
        <v>346629</v>
      </c>
      <c r="V104" s="13"/>
      <c r="W104" s="13"/>
      <c r="X104" s="19"/>
      <c r="Y104" s="19"/>
    </row>
    <row r="105" spans="1:25" x14ac:dyDescent="0.35">
      <c r="A105" s="81"/>
      <c r="B105" s="160"/>
      <c r="C105" s="160"/>
      <c r="D105" s="528"/>
      <c r="E105" s="78"/>
      <c r="F105" s="65"/>
      <c r="G105" s="65"/>
      <c r="H105" s="65"/>
      <c r="I105" s="65"/>
      <c r="J105" s="65"/>
      <c r="K105" s="63"/>
      <c r="L105" s="61" t="str">
        <f>Price!A105</f>
        <v>Bočnice K 550mm, nerez</v>
      </c>
      <c r="M105" s="15" t="str">
        <f>Price!B105</f>
        <v>770K5502I</v>
      </c>
      <c r="N105" s="15" t="str">
        <f>Price!C105</f>
        <v>Inox</v>
      </c>
      <c r="O105" s="525" t="str">
        <f>Price!D105</f>
        <v>!</v>
      </c>
      <c r="P105" s="16"/>
      <c r="Q105" s="17">
        <f>Price!F105</f>
        <v>1577.7307599999999</v>
      </c>
      <c r="R105" s="318"/>
      <c r="S105" s="318"/>
      <c r="T105" s="12">
        <f>Price!G105</f>
        <v>1770080</v>
      </c>
      <c r="U105" s="252">
        <f>Price!H105</f>
        <v>227492</v>
      </c>
      <c r="V105" s="13"/>
      <c r="W105" s="13"/>
      <c r="X105" s="19"/>
      <c r="Y105" s="19"/>
    </row>
    <row r="106" spans="1:25" ht="15" thickBot="1" x14ac:dyDescent="0.4">
      <c r="A106" s="86" t="str">
        <f>IF($C$2=1,L106,IF($C$2=2,L107,IF($C$2=3,L108,IF($C$2=4,L109, IF($C$2=5, L110, "  chyba")))))</f>
        <v>Bočnice K 600mm, Orion šedá</v>
      </c>
      <c r="B106" s="87" t="str">
        <f t="shared" ref="B106" si="111">IF($C$2=1,M106,IF($C$2=2,M107,IF($C$2=3,M108,IF($C$2=4,M109, IF($C$2=5, M110, "  chyba")))))</f>
        <v>770K6002S</v>
      </c>
      <c r="C106" s="87" t="str">
        <f t="shared" ref="C106" si="112">IF($C$2=1,N106,IF($C$2=2,N107,IF($C$2=3,N108,IF($C$2=4,N109, IF($C$2=5, N110, "  chyba")))))</f>
        <v>OG-M</v>
      </c>
      <c r="D106" s="527" t="str">
        <f t="shared" ref="D106" si="113">IF($C$2=1,O106,IF($C$2=2,O107,IF($C$2=3,O108,IF($C$2=4,O109, IF($C$2=5, O110, "  chyba")))))</f>
        <v>!</v>
      </c>
      <c r="E106" s="88"/>
      <c r="F106" s="89">
        <f t="shared" ref="F106" si="114">IF($C$2=1,Q106,IF($C$2=2,Q107,IF($C$2=3,Q108,IF($C$2=4,Q109, IF($C$2=5, Q110, "  chyba")))))</f>
        <v>920.18425999999999</v>
      </c>
      <c r="G106" s="65"/>
      <c r="H106" s="65"/>
      <c r="I106" s="168">
        <f t="shared" ref="I106" si="115">IF($C$2=1,T106,IF($C$2=2,T107,IF($C$2=3,T108,IF($C$2=4,T109, IF($C$2=5, T110, "  chyba")))))</f>
        <v>3190913</v>
      </c>
      <c r="J106" s="168">
        <f t="shared" ref="J106" si="116">IF($C$2=1,U106,IF($C$2=2,U107,IF($C$2=3,U108,IF($C$2=4,U109, IF($C$2=5, U110, "  chyba")))))</f>
        <v>348934</v>
      </c>
      <c r="K106" s="63"/>
      <c r="L106" s="61" t="str">
        <f>Price!A106</f>
        <v>Bočnice K 600mm, Orion šedá</v>
      </c>
      <c r="M106" s="15" t="str">
        <f>Price!B106</f>
        <v>770K6002S</v>
      </c>
      <c r="N106" s="15" t="str">
        <f>Price!C106</f>
        <v>OG-M</v>
      </c>
      <c r="O106" s="525" t="str">
        <f>Price!D106</f>
        <v>!</v>
      </c>
      <c r="P106" s="16"/>
      <c r="Q106" s="17">
        <f>Price!F106</f>
        <v>920.18425999999999</v>
      </c>
      <c r="R106" s="318"/>
      <c r="S106" s="318"/>
      <c r="T106" s="12">
        <f>Price!G106</f>
        <v>3190913</v>
      </c>
      <c r="U106" s="252">
        <f>Price!H106</f>
        <v>348934</v>
      </c>
      <c r="V106" s="13"/>
      <c r="W106" s="13"/>
      <c r="X106" s="19"/>
      <c r="Y106" s="19"/>
    </row>
    <row r="107" spans="1:25" x14ac:dyDescent="0.35">
      <c r="A107" s="81"/>
      <c r="B107" s="160"/>
      <c r="C107" s="160"/>
      <c r="D107" s="528"/>
      <c r="E107" s="78"/>
      <c r="F107" s="65"/>
      <c r="G107" s="65"/>
      <c r="H107" s="65"/>
      <c r="I107" s="65"/>
      <c r="J107" s="65"/>
      <c r="K107" s="63"/>
      <c r="L107" s="61" t="str">
        <f>Price!A107</f>
        <v>Bočnice K 600mm, hedvábně bílá</v>
      </c>
      <c r="M107" s="15" t="str">
        <f>Price!B107</f>
        <v>770K6002S</v>
      </c>
      <c r="N107" s="15" t="str">
        <f>Price!C107</f>
        <v>SW-M</v>
      </c>
      <c r="O107" s="525" t="str">
        <f>Price!D107</f>
        <v>!</v>
      </c>
      <c r="P107" s="16"/>
      <c r="Q107" s="17">
        <f>Price!F107</f>
        <v>920.18425999999999</v>
      </c>
      <c r="R107" s="318"/>
      <c r="S107" s="318"/>
      <c r="T107" s="12">
        <f>Price!G107</f>
        <v>9707730</v>
      </c>
      <c r="U107" s="252">
        <f>Price!H107</f>
        <v>348932</v>
      </c>
      <c r="V107" s="13"/>
      <c r="W107" s="13"/>
      <c r="X107" s="19"/>
      <c r="Y107" s="19"/>
    </row>
    <row r="108" spans="1:25" x14ac:dyDescent="0.35">
      <c r="A108" s="81"/>
      <c r="B108" s="160"/>
      <c r="C108" s="160"/>
      <c r="D108" s="528"/>
      <c r="E108" s="78"/>
      <c r="F108" s="65"/>
      <c r="G108" s="65"/>
      <c r="H108" s="65"/>
      <c r="I108" s="65"/>
      <c r="J108" s="65"/>
      <c r="K108" s="63"/>
      <c r="L108" s="61" t="str">
        <f>Price!A108</f>
        <v>Bočnice K 600mm, Terra černá</v>
      </c>
      <c r="M108" s="15" t="str">
        <f>Price!B108</f>
        <v>770K6002S</v>
      </c>
      <c r="N108" s="15" t="str">
        <f>Price!C108</f>
        <v>TS-M</v>
      </c>
      <c r="O108" s="525" t="str">
        <f>Price!D108</f>
        <v>!</v>
      </c>
      <c r="P108" s="16"/>
      <c r="Q108" s="17">
        <f>Price!F108</f>
        <v>920.18425999999999</v>
      </c>
      <c r="R108" s="318"/>
      <c r="S108" s="318"/>
      <c r="T108" s="12">
        <f>Price!G108</f>
        <v>6531444</v>
      </c>
      <c r="U108" s="252">
        <f>Price!H108</f>
        <v>348935</v>
      </c>
      <c r="V108" s="13"/>
      <c r="W108" s="13"/>
      <c r="X108" s="19"/>
      <c r="Y108" s="19"/>
    </row>
    <row r="109" spans="1:25" x14ac:dyDescent="0.35">
      <c r="A109" s="81"/>
      <c r="B109" s="160"/>
      <c r="C109" s="160"/>
      <c r="D109" s="528"/>
      <c r="E109" s="78"/>
      <c r="F109" s="65"/>
      <c r="G109" s="65"/>
      <c r="H109" s="65"/>
      <c r="I109" s="65"/>
      <c r="J109" s="65"/>
      <c r="K109" s="63"/>
      <c r="L109" s="61" t="str">
        <f>Price!A109</f>
        <v>Bočnice K 600mm, Polar stříbrná</v>
      </c>
      <c r="M109" s="15" t="str">
        <f>Price!B109</f>
        <v>770K6002S</v>
      </c>
      <c r="N109" s="15" t="str">
        <f>Price!C109</f>
        <v>PS-M</v>
      </c>
      <c r="O109" s="525" t="str">
        <f>Price!D109</f>
        <v>!</v>
      </c>
      <c r="P109" s="16"/>
      <c r="Q109" s="17">
        <f>Price!F109</f>
        <v>920.18425999999999</v>
      </c>
      <c r="R109" s="318"/>
      <c r="S109" s="318"/>
      <c r="T109" s="12">
        <f>Price!G109</f>
        <v>5490298</v>
      </c>
      <c r="U109" s="252">
        <f>Price!H109</f>
        <v>348922</v>
      </c>
      <c r="V109" s="13"/>
      <c r="W109" s="13"/>
      <c r="X109" s="19"/>
      <c r="Y109" s="19"/>
    </row>
    <row r="110" spans="1:25" x14ac:dyDescent="0.35">
      <c r="A110" s="81"/>
      <c r="B110" s="160"/>
      <c r="C110" s="160"/>
      <c r="D110" s="528"/>
      <c r="E110" s="78"/>
      <c r="F110" s="65"/>
      <c r="G110" s="65"/>
      <c r="H110" s="65"/>
      <c r="I110" s="65"/>
      <c r="J110" s="65"/>
      <c r="K110" s="63"/>
      <c r="L110" s="61">
        <f>Price!A110</f>
        <v>0</v>
      </c>
      <c r="M110" s="15">
        <f>Price!B110</f>
        <v>0</v>
      </c>
      <c r="N110" s="15">
        <f>Price!C110</f>
        <v>0</v>
      </c>
      <c r="O110" s="525">
        <f>Price!D110</f>
        <v>0</v>
      </c>
      <c r="P110" s="16"/>
      <c r="Q110" s="17">
        <f>Price!F110</f>
        <v>0</v>
      </c>
      <c r="R110" s="318"/>
      <c r="S110" s="318"/>
      <c r="T110" s="12">
        <f>Price!G110</f>
        <v>0</v>
      </c>
      <c r="U110" s="252">
        <f>Price!H110</f>
        <v>0</v>
      </c>
      <c r="V110" s="13"/>
      <c r="W110" s="13"/>
      <c r="X110" s="19"/>
      <c r="Y110" s="19"/>
    </row>
    <row r="111" spans="1:25" ht="15" thickBot="1" x14ac:dyDescent="0.4">
      <c r="A111" s="86" t="str">
        <f>IF($C$2=1,L111,IF($C$2=2,L112,IF($C$2=3,L113,IF($C$2=4,L114, IF($C$2=5, L115, "  chyba")))))</f>
        <v>Bočnice C pure, 270mm, Orion šedá</v>
      </c>
      <c r="B111" s="87" t="str">
        <f t="shared" ref="B111" si="117">IF($C$2=1,M111,IF($C$2=2,M112,IF($C$2=3,M113,IF($C$2=4,M114, IF($C$2=5, M115, "  chyba")))))</f>
        <v>770C2702S</v>
      </c>
      <c r="C111" s="87" t="str">
        <f t="shared" ref="C111" si="118">IF($C$2=1,N111,IF($C$2=2,N112,IF($C$2=3,N113,IF($C$2=4,N114, IF($C$2=5, N115, "  chyba")))))</f>
        <v>OG-M</v>
      </c>
      <c r="D111" s="527">
        <f t="shared" ref="D111" si="119">IF($C$2=1,O111,IF($C$2=2,O112,IF($C$2=3,O113,IF($C$2=4,O114, IF($C$2=5, O115, "  chyba")))))</f>
        <v>0</v>
      </c>
      <c r="E111" s="88"/>
      <c r="F111" s="89">
        <f t="shared" ref="F111" si="120">IF($C$2=1,Q111,IF($C$2=2,Q112,IF($C$2=3,Q113,IF($C$2=4,Q114, IF($C$2=5, Q115, "  chyba")))))</f>
        <v>920.62116000000003</v>
      </c>
      <c r="G111" s="65"/>
      <c r="H111" s="65"/>
      <c r="I111" s="168">
        <f t="shared" ref="I111" si="121">IF($C$2=1,T111,IF($C$2=2,T112,IF($C$2=3,T113,IF($C$2=4,T114, IF($C$2=5, T115, "  chyba")))))</f>
        <v>8762565</v>
      </c>
      <c r="J111" s="168">
        <f t="shared" ref="J111" si="122">IF($C$2=1,U111,IF($C$2=2,U112,IF($C$2=3,U113,IF($C$2=4,U114, IF($C$2=5, U115, "  chyba")))))</f>
        <v>227494</v>
      </c>
      <c r="K111" s="63"/>
      <c r="L111" s="61" t="str">
        <f>Price!A111</f>
        <v>Bočnice C pure, 270mm, Orion šedá</v>
      </c>
      <c r="M111" s="15" t="str">
        <f>Price!B111</f>
        <v>770C2702S</v>
      </c>
      <c r="N111" s="15" t="str">
        <f>Price!C111</f>
        <v>OG-M</v>
      </c>
      <c r="O111" s="525">
        <f>Price!D111</f>
        <v>0</v>
      </c>
      <c r="P111" s="16"/>
      <c r="Q111" s="17">
        <f>Price!F111</f>
        <v>920.62116000000003</v>
      </c>
      <c r="R111" s="318"/>
      <c r="S111" s="318"/>
      <c r="T111" s="12">
        <f>Price!G111</f>
        <v>8762565</v>
      </c>
      <c r="U111" s="252">
        <f>Price!H111</f>
        <v>227494</v>
      </c>
      <c r="V111" s="13"/>
      <c r="W111" s="13"/>
      <c r="X111" s="19"/>
      <c r="Y111" s="19"/>
    </row>
    <row r="112" spans="1:25" x14ac:dyDescent="0.35">
      <c r="A112" s="81"/>
      <c r="B112" s="160"/>
      <c r="C112" s="160"/>
      <c r="D112" s="528"/>
      <c r="E112" s="78"/>
      <c r="F112" s="65"/>
      <c r="G112" s="65"/>
      <c r="H112" s="65"/>
      <c r="I112" s="65"/>
      <c r="J112" s="65"/>
      <c r="K112" s="63"/>
      <c r="L112" s="61" t="str">
        <f>Price!A112</f>
        <v>Bočnice C pure, 270mm, hedvábně bílá</v>
      </c>
      <c r="M112" s="15" t="str">
        <f>Price!B112</f>
        <v>770C2702S</v>
      </c>
      <c r="N112" s="15" t="str">
        <f>Price!C112</f>
        <v>SW-M</v>
      </c>
      <c r="O112" s="525">
        <f>Price!D112</f>
        <v>0</v>
      </c>
      <c r="P112" s="16"/>
      <c r="Q112" s="17">
        <f>Price!F112</f>
        <v>920.62116000000003</v>
      </c>
      <c r="R112" s="318"/>
      <c r="S112" s="318"/>
      <c r="T112" s="12">
        <f>Price!G112</f>
        <v>8764832</v>
      </c>
      <c r="U112" s="252">
        <f>Price!H112</f>
        <v>227493</v>
      </c>
      <c r="V112" s="13"/>
      <c r="W112" s="13"/>
      <c r="X112" s="19"/>
      <c r="Y112" s="19"/>
    </row>
    <row r="113" spans="1:25" x14ac:dyDescent="0.35">
      <c r="A113" s="81"/>
      <c r="B113" s="160"/>
      <c r="C113" s="160"/>
      <c r="D113" s="528"/>
      <c r="E113" s="78"/>
      <c r="F113" s="65"/>
      <c r="G113" s="65"/>
      <c r="H113" s="65"/>
      <c r="I113" s="65"/>
      <c r="J113" s="65"/>
      <c r="K113" s="63"/>
      <c r="L113" s="61" t="str">
        <f>Price!A113</f>
        <v>Bočnice C pure, 270mm, Terra černá</v>
      </c>
      <c r="M113" s="15" t="str">
        <f>Price!B113</f>
        <v>770C2702S</v>
      </c>
      <c r="N113" s="15" t="str">
        <f>Price!C113</f>
        <v>TS-M</v>
      </c>
      <c r="O113" s="525">
        <f>Price!D113</f>
        <v>0</v>
      </c>
      <c r="P113" s="16"/>
      <c r="Q113" s="17">
        <f>Price!F113</f>
        <v>920.62116000000003</v>
      </c>
      <c r="R113" s="318"/>
      <c r="S113" s="318"/>
      <c r="T113" s="12">
        <f>Price!G113</f>
        <v>8768393</v>
      </c>
      <c r="U113" s="252">
        <f>Price!H113</f>
        <v>227495</v>
      </c>
      <c r="V113" s="13"/>
      <c r="W113" s="13"/>
      <c r="X113" s="19"/>
      <c r="Y113" s="19"/>
    </row>
    <row r="114" spans="1:25" x14ac:dyDescent="0.35">
      <c r="A114" s="81"/>
      <c r="B114" s="160"/>
      <c r="C114" s="160"/>
      <c r="D114" s="528"/>
      <c r="E114" s="78"/>
      <c r="F114" s="65"/>
      <c r="G114" s="65"/>
      <c r="H114" s="65"/>
      <c r="I114" s="65"/>
      <c r="J114" s="65"/>
      <c r="K114" s="63"/>
      <c r="L114" s="61" t="str">
        <f>Price!A114</f>
        <v>Bočnice C pure, 270mm, Polar stříbrná</v>
      </c>
      <c r="M114" s="15" t="str">
        <f>Price!B114</f>
        <v>770C2702S</v>
      </c>
      <c r="N114" s="15" t="str">
        <f>Price!C114</f>
        <v>PS-M</v>
      </c>
      <c r="O114" s="525">
        <f>Price!D114</f>
        <v>0</v>
      </c>
      <c r="P114" s="16"/>
      <c r="Q114" s="17">
        <f>Price!F114</f>
        <v>920.62116000000003</v>
      </c>
      <c r="R114" s="318"/>
      <c r="S114" s="318"/>
      <c r="T114" s="12">
        <f>Price!G114</f>
        <v>1754455</v>
      </c>
      <c r="U114" s="252">
        <f>Price!H114</f>
        <v>348938</v>
      </c>
      <c r="V114" s="13"/>
      <c r="W114" s="13"/>
      <c r="X114" s="19"/>
      <c r="Y114" s="19"/>
    </row>
    <row r="115" spans="1:25" x14ac:dyDescent="0.35">
      <c r="A115" s="81"/>
      <c r="B115" s="160"/>
      <c r="C115" s="160"/>
      <c r="D115" s="528"/>
      <c r="E115" s="78"/>
      <c r="F115" s="65"/>
      <c r="G115" s="65"/>
      <c r="H115" s="65"/>
      <c r="I115" s="65"/>
      <c r="J115" s="65"/>
      <c r="K115" s="63"/>
      <c r="L115" s="61" t="str">
        <f>Price!A115</f>
        <v>Bočnice C pure, 270mm, nerez</v>
      </c>
      <c r="M115" s="15" t="str">
        <f>Price!B115</f>
        <v>770C2702I</v>
      </c>
      <c r="N115" s="15" t="str">
        <f>Price!C115</f>
        <v>Inox</v>
      </c>
      <c r="O115" s="525" t="str">
        <f>Price!D115</f>
        <v>!</v>
      </c>
      <c r="P115" s="16"/>
      <c r="Q115" s="17">
        <f>Price!F115</f>
        <v>1796.90735</v>
      </c>
      <c r="R115" s="318"/>
      <c r="S115" s="318"/>
      <c r="T115" s="12">
        <f>Price!G115</f>
        <v>9717715</v>
      </c>
      <c r="U115" s="252">
        <f>Price!H115</f>
        <v>227496</v>
      </c>
      <c r="V115" s="13"/>
      <c r="W115" s="13"/>
      <c r="X115" s="19"/>
      <c r="Y115" s="19"/>
    </row>
    <row r="116" spans="1:25" ht="15" thickBot="1" x14ac:dyDescent="0.4">
      <c r="A116" s="86" t="str">
        <f>IF($C$2=1,L116,IF($C$2=2,L117,IF($C$2=3,L118,IF($C$2=4,L119, IF($C$2=5, L120, "  chyba")))))</f>
        <v>Bočnice C pure, 300mm, Orion šedá</v>
      </c>
      <c r="B116" s="87" t="str">
        <f t="shared" ref="B116" si="123">IF($C$2=1,M116,IF($C$2=2,M117,IF($C$2=3,M118,IF($C$2=4,M119, IF($C$2=5, M120, "  chyba")))))</f>
        <v>770C3002S</v>
      </c>
      <c r="C116" s="87" t="str">
        <f t="shared" ref="C116" si="124">IF($C$2=1,N116,IF($C$2=2,N117,IF($C$2=3,N118,IF($C$2=4,N119, IF($C$2=5, N120, "  chyba")))))</f>
        <v>OG-M</v>
      </c>
      <c r="D116" s="527">
        <f t="shared" ref="D116" si="125">IF($C$2=1,O116,IF($C$2=2,O117,IF($C$2=3,O118,IF($C$2=4,O119, IF($C$2=5, O120, "  chyba")))))</f>
        <v>0</v>
      </c>
      <c r="E116" s="88"/>
      <c r="F116" s="89">
        <f t="shared" ref="F116" si="126">IF($C$2=1,Q116,IF($C$2=2,Q117,IF($C$2=3,Q118,IF($C$2=4,Q119, IF($C$2=5, Q120, "  chyba")))))</f>
        <v>920.62116000000003</v>
      </c>
      <c r="G116" s="65"/>
      <c r="H116" s="65"/>
      <c r="I116" s="168">
        <f t="shared" ref="I116" si="127">IF($C$2=1,T116,IF($C$2=2,T117,IF($C$2=3,T118,IF($C$2=4,T119, IF($C$2=5, T120, "  chyba")))))</f>
        <v>8769064</v>
      </c>
      <c r="J116" s="168">
        <f t="shared" ref="J116" si="128">IF($C$2=1,U116,IF($C$2=2,U117,IF($C$2=3,U118,IF($C$2=4,U119, IF($C$2=5, U120, "  chyba")))))</f>
        <v>227498</v>
      </c>
      <c r="K116" s="20"/>
      <c r="L116" s="61" t="str">
        <f>Price!A116</f>
        <v>Bočnice C pure, 300mm, Orion šedá</v>
      </c>
      <c r="M116" s="15" t="str">
        <f>Price!B116</f>
        <v>770C3002S</v>
      </c>
      <c r="N116" s="15" t="str">
        <f>Price!C116</f>
        <v>OG-M</v>
      </c>
      <c r="O116" s="525">
        <f>Price!D116</f>
        <v>0</v>
      </c>
      <c r="P116" s="16"/>
      <c r="Q116" s="17">
        <f>Price!F116</f>
        <v>920.62116000000003</v>
      </c>
      <c r="R116" s="318"/>
      <c r="S116" s="318"/>
      <c r="T116" s="12">
        <f>Price!G116</f>
        <v>8769064</v>
      </c>
      <c r="U116" s="252">
        <f>Price!H116</f>
        <v>227498</v>
      </c>
      <c r="V116" s="13"/>
      <c r="W116" s="13"/>
      <c r="X116" s="19"/>
      <c r="Y116" s="19"/>
    </row>
    <row r="117" spans="1:25" x14ac:dyDescent="0.35">
      <c r="A117" s="81"/>
      <c r="B117" s="160"/>
      <c r="C117" s="160"/>
      <c r="D117" s="528"/>
      <c r="E117" s="78"/>
      <c r="F117" s="65"/>
      <c r="G117" s="65"/>
      <c r="H117" s="65"/>
      <c r="I117" s="65"/>
      <c r="J117" s="65"/>
      <c r="K117" s="20"/>
      <c r="L117" s="61" t="str">
        <f>Price!A117</f>
        <v>Bočnice C pure, 300mm, hedvábně bílá</v>
      </c>
      <c r="M117" s="15" t="str">
        <f>Price!B117</f>
        <v>770C3002S</v>
      </c>
      <c r="N117" s="15" t="str">
        <f>Price!C117</f>
        <v>SW-M</v>
      </c>
      <c r="O117" s="525">
        <f>Price!D117</f>
        <v>0</v>
      </c>
      <c r="P117" s="16"/>
      <c r="Q117" s="17">
        <f>Price!F117</f>
        <v>920.62116000000003</v>
      </c>
      <c r="R117" s="318"/>
      <c r="S117" s="318"/>
      <c r="T117" s="12">
        <f>Price!G117</f>
        <v>8774453</v>
      </c>
      <c r="U117" s="252">
        <f>Price!H117</f>
        <v>227497</v>
      </c>
      <c r="V117" s="13"/>
      <c r="W117" s="13"/>
      <c r="X117" s="19"/>
      <c r="Y117" s="19"/>
    </row>
    <row r="118" spans="1:25" x14ac:dyDescent="0.35">
      <c r="A118" s="81"/>
      <c r="B118" s="160"/>
      <c r="C118" s="160"/>
      <c r="D118" s="528"/>
      <c r="E118" s="78"/>
      <c r="F118" s="65"/>
      <c r="G118" s="65"/>
      <c r="H118" s="65"/>
      <c r="I118" s="65"/>
      <c r="J118" s="65"/>
      <c r="K118" s="20"/>
      <c r="L118" s="61" t="str">
        <f>Price!A118</f>
        <v>Bočnice C pure, 300mm, Terra černá</v>
      </c>
      <c r="M118" s="15" t="str">
        <f>Price!B118</f>
        <v>770C3002S</v>
      </c>
      <c r="N118" s="15" t="str">
        <f>Price!C118</f>
        <v>TS-M</v>
      </c>
      <c r="O118" s="525">
        <f>Price!D118</f>
        <v>0</v>
      </c>
      <c r="P118" s="16"/>
      <c r="Q118" s="17">
        <f>Price!F118</f>
        <v>920.62116000000003</v>
      </c>
      <c r="R118" s="318"/>
      <c r="S118" s="318"/>
      <c r="T118" s="12">
        <f>Price!G118</f>
        <v>8784593</v>
      </c>
      <c r="U118" s="252">
        <f>Price!H118</f>
        <v>227499</v>
      </c>
      <c r="V118" s="13"/>
      <c r="W118" s="13"/>
      <c r="X118" s="19"/>
      <c r="Y118" s="19"/>
    </row>
    <row r="119" spans="1:25" x14ac:dyDescent="0.35">
      <c r="A119" s="81"/>
      <c r="B119" s="160"/>
      <c r="C119" s="160"/>
      <c r="D119" s="528"/>
      <c r="E119" s="78"/>
      <c r="F119" s="65"/>
      <c r="G119" s="65"/>
      <c r="H119" s="65"/>
      <c r="I119" s="65"/>
      <c r="J119" s="65"/>
      <c r="K119" s="20"/>
      <c r="L119" s="61" t="str">
        <f>Price!A119</f>
        <v>Bočnice C pure, 300mm, Polar stříbrná</v>
      </c>
      <c r="M119" s="15" t="str">
        <f>Price!B119</f>
        <v>770C3002S</v>
      </c>
      <c r="N119" s="15" t="str">
        <f>Price!C119</f>
        <v>PS-M</v>
      </c>
      <c r="O119" s="525">
        <f>Price!D119</f>
        <v>0</v>
      </c>
      <c r="P119" s="16"/>
      <c r="Q119" s="17">
        <f>Price!F119</f>
        <v>920.62116000000003</v>
      </c>
      <c r="R119" s="318"/>
      <c r="S119" s="318"/>
      <c r="T119" s="12">
        <f>Price!G119</f>
        <v>3216380</v>
      </c>
      <c r="U119" s="252">
        <f>Price!H119</f>
        <v>348939</v>
      </c>
      <c r="V119" s="13"/>
      <c r="W119" s="13"/>
      <c r="X119" s="19"/>
      <c r="Y119" s="19"/>
    </row>
    <row r="120" spans="1:25" x14ac:dyDescent="0.35">
      <c r="A120" s="81"/>
      <c r="B120" s="160"/>
      <c r="C120" s="160"/>
      <c r="D120" s="528"/>
      <c r="E120" s="78"/>
      <c r="F120" s="65"/>
      <c r="G120" s="65"/>
      <c r="H120" s="65"/>
      <c r="I120" s="65"/>
      <c r="J120" s="65"/>
      <c r="K120" s="62"/>
      <c r="L120" s="61" t="str">
        <f>Price!A120</f>
        <v>Bočnice C pure, 300mm, nerez</v>
      </c>
      <c r="M120" s="15" t="str">
        <f>Price!B120</f>
        <v>770C3002I</v>
      </c>
      <c r="N120" s="15" t="str">
        <f>Price!C120</f>
        <v>Inox</v>
      </c>
      <c r="O120" s="525" t="str">
        <f>Price!D120</f>
        <v>!</v>
      </c>
      <c r="P120" s="16"/>
      <c r="Q120" s="17">
        <f>Price!F120</f>
        <v>1796.90735</v>
      </c>
      <c r="R120" s="318"/>
      <c r="S120" s="318"/>
      <c r="T120" s="12">
        <f>Price!G120</f>
        <v>9724625</v>
      </c>
      <c r="U120" s="252">
        <f>Price!H120</f>
        <v>227500</v>
      </c>
      <c r="V120" s="13"/>
      <c r="W120" s="13"/>
      <c r="X120" s="19"/>
      <c r="Y120" s="19"/>
    </row>
    <row r="121" spans="1:25" ht="15" thickBot="1" x14ac:dyDescent="0.4">
      <c r="A121" s="86" t="str">
        <f>IF($C$2=1,L121,IF($C$2=2,L122,IF($C$2=3,L123,IF($C$2=4,L124, IF($C$2=5, L125, "  chyba")))))</f>
        <v>Bočnice C pure, 350mm, Orion šedá</v>
      </c>
      <c r="B121" s="87" t="str">
        <f t="shared" ref="B121" si="129">IF($C$2=1,M121,IF($C$2=2,M122,IF($C$2=3,M123,IF($C$2=4,M124, IF($C$2=5, M125, "  chyba")))))</f>
        <v>770C3502S</v>
      </c>
      <c r="C121" s="87" t="str">
        <f t="shared" ref="C121" si="130">IF($C$2=1,N121,IF($C$2=2,N122,IF($C$2=3,N123,IF($C$2=4,N124, IF($C$2=5, N125, "  chyba")))))</f>
        <v>OG-M</v>
      </c>
      <c r="D121" s="527">
        <f t="shared" ref="D121" si="131">IF($C$2=1,O121,IF($C$2=2,O122,IF($C$2=3,O123,IF($C$2=4,O124, IF($C$2=5, O125, "  chyba")))))</f>
        <v>0</v>
      </c>
      <c r="E121" s="88"/>
      <c r="F121" s="89">
        <f t="shared" ref="F121" si="132">IF($C$2=1,Q121,IF($C$2=2,Q122,IF($C$2=3,Q123,IF($C$2=4,Q124, IF($C$2=5, Q125, "  chyba")))))</f>
        <v>920.62116000000003</v>
      </c>
      <c r="G121" s="65"/>
      <c r="H121" s="65"/>
      <c r="I121" s="168">
        <f t="shared" ref="I121" si="133">IF($C$2=1,T121,IF($C$2=2,T122,IF($C$2=3,T123,IF($C$2=4,T124, IF($C$2=5, T125, "  chyba")))))</f>
        <v>8799519</v>
      </c>
      <c r="J121" s="168">
        <f t="shared" ref="J121" si="134">IF($C$2=1,U121,IF($C$2=2,U122,IF($C$2=3,U123,IF($C$2=4,U124, IF($C$2=5, U125, "  chyba")))))</f>
        <v>227502</v>
      </c>
      <c r="K121" s="20"/>
      <c r="L121" s="61" t="str">
        <f>Price!A121</f>
        <v>Bočnice C pure, 350mm, Orion šedá</v>
      </c>
      <c r="M121" s="15" t="str">
        <f>Price!B121</f>
        <v>770C3502S</v>
      </c>
      <c r="N121" s="15" t="str">
        <f>Price!C121</f>
        <v>OG-M</v>
      </c>
      <c r="O121" s="525">
        <f>Price!D121</f>
        <v>0</v>
      </c>
      <c r="P121" s="16"/>
      <c r="Q121" s="17">
        <f>Price!F121</f>
        <v>920.62116000000003</v>
      </c>
      <c r="R121" s="318"/>
      <c r="S121" s="318"/>
      <c r="T121" s="12">
        <f>Price!G121</f>
        <v>8799519</v>
      </c>
      <c r="U121" s="252">
        <f>Price!H121</f>
        <v>227502</v>
      </c>
      <c r="V121" s="13"/>
      <c r="W121" s="13"/>
      <c r="X121" s="19"/>
      <c r="Y121" s="19"/>
    </row>
    <row r="122" spans="1:25" x14ac:dyDescent="0.35">
      <c r="A122" s="81"/>
      <c r="B122" s="160"/>
      <c r="C122" s="160"/>
      <c r="D122" s="528"/>
      <c r="E122" s="78"/>
      <c r="F122" s="65"/>
      <c r="G122" s="65"/>
      <c r="H122" s="65"/>
      <c r="I122" s="65"/>
      <c r="J122" s="65"/>
      <c r="K122" s="20"/>
      <c r="L122" s="61" t="str">
        <f>Price!A122</f>
        <v>Bočnice C pure, 350mm, hedvábně bílá</v>
      </c>
      <c r="M122" s="15" t="str">
        <f>Price!B122</f>
        <v>770C3502S</v>
      </c>
      <c r="N122" s="15" t="str">
        <f>Price!C122</f>
        <v>SW-M</v>
      </c>
      <c r="O122" s="525">
        <f>Price!D122</f>
        <v>0</v>
      </c>
      <c r="P122" s="16"/>
      <c r="Q122" s="17">
        <f>Price!F122</f>
        <v>920.62116000000003</v>
      </c>
      <c r="R122" s="318"/>
      <c r="S122" s="318"/>
      <c r="T122" s="12">
        <f>Price!G122</f>
        <v>8814169</v>
      </c>
      <c r="U122" s="252">
        <f>Price!H122</f>
        <v>227501</v>
      </c>
      <c r="V122" s="13"/>
      <c r="W122" s="13"/>
      <c r="X122" s="19"/>
      <c r="Y122" s="19"/>
    </row>
    <row r="123" spans="1:25" x14ac:dyDescent="0.35">
      <c r="A123" s="81"/>
      <c r="B123" s="160"/>
      <c r="C123" s="160"/>
      <c r="D123" s="528"/>
      <c r="E123" s="78"/>
      <c r="F123" s="65"/>
      <c r="G123" s="65"/>
      <c r="H123" s="65"/>
      <c r="I123" s="65"/>
      <c r="J123" s="65"/>
      <c r="K123" s="20"/>
      <c r="L123" s="61" t="str">
        <f>Price!A123</f>
        <v>Bočnice C pure, 350mm, Terra černá</v>
      </c>
      <c r="M123" s="15" t="str">
        <f>Price!B123</f>
        <v>770C3502S</v>
      </c>
      <c r="N123" s="15" t="str">
        <f>Price!C123</f>
        <v>TS-M</v>
      </c>
      <c r="O123" s="525">
        <f>Price!D123</f>
        <v>0</v>
      </c>
      <c r="P123" s="16"/>
      <c r="Q123" s="17">
        <f>Price!F123</f>
        <v>920.62116000000003</v>
      </c>
      <c r="R123" s="318"/>
      <c r="S123" s="318"/>
      <c r="T123" s="12">
        <f>Price!G123</f>
        <v>8828590</v>
      </c>
      <c r="U123" s="252">
        <f>Price!H123</f>
        <v>227503</v>
      </c>
      <c r="V123" s="13"/>
      <c r="W123" s="13"/>
      <c r="X123" s="19"/>
      <c r="Y123" s="19"/>
    </row>
    <row r="124" spans="1:25" x14ac:dyDescent="0.35">
      <c r="A124" s="81"/>
      <c r="B124" s="160"/>
      <c r="C124" s="160"/>
      <c r="D124" s="528"/>
      <c r="E124" s="78"/>
      <c r="F124" s="65"/>
      <c r="G124" s="65"/>
      <c r="H124" s="65"/>
      <c r="I124" s="65"/>
      <c r="J124" s="65"/>
      <c r="K124" s="20"/>
      <c r="L124" s="61" t="str">
        <f>Price!A124</f>
        <v>Bočnice C pure, 350mm, Polar stříbrná</v>
      </c>
      <c r="M124" s="15" t="str">
        <f>Price!B124</f>
        <v>770C3502S</v>
      </c>
      <c r="N124" s="15" t="str">
        <f>Price!C124</f>
        <v>PS-M</v>
      </c>
      <c r="O124" s="525">
        <f>Price!D124</f>
        <v>0</v>
      </c>
      <c r="P124" s="16"/>
      <c r="Q124" s="17">
        <f>Price!F124</f>
        <v>920.62116000000003</v>
      </c>
      <c r="R124" s="318"/>
      <c r="S124" s="318"/>
      <c r="T124" s="12">
        <f>Price!G124</f>
        <v>4515493</v>
      </c>
      <c r="U124" s="252">
        <f>Price!H124</f>
        <v>348940</v>
      </c>
      <c r="V124" s="13"/>
      <c r="W124" s="13"/>
      <c r="X124" s="19"/>
      <c r="Y124" s="19"/>
    </row>
    <row r="125" spans="1:25" x14ac:dyDescent="0.35">
      <c r="A125" s="81"/>
      <c r="B125" s="160"/>
      <c r="C125" s="160"/>
      <c r="D125" s="528"/>
      <c r="E125" s="78"/>
      <c r="F125" s="65"/>
      <c r="G125" s="65"/>
      <c r="H125" s="65"/>
      <c r="I125" s="65"/>
      <c r="J125" s="65"/>
      <c r="K125" s="62"/>
      <c r="L125" s="61" t="str">
        <f>Price!A125</f>
        <v>Bočnice C pure, 350mm, nerez</v>
      </c>
      <c r="M125" s="15" t="str">
        <f>Price!B125</f>
        <v>770C3502I</v>
      </c>
      <c r="N125" s="15" t="str">
        <f>Price!C125</f>
        <v>Inox</v>
      </c>
      <c r="O125" s="525" t="str">
        <f>Price!D125</f>
        <v>!</v>
      </c>
      <c r="P125" s="16"/>
      <c r="Q125" s="17">
        <f>Price!F125</f>
        <v>1796.90735</v>
      </c>
      <c r="R125" s="318"/>
      <c r="S125" s="318"/>
      <c r="T125" s="12">
        <f>Price!G125</f>
        <v>9758672</v>
      </c>
      <c r="U125" s="252">
        <f>Price!H125</f>
        <v>227504</v>
      </c>
      <c r="V125" s="13"/>
      <c r="W125" s="13"/>
      <c r="X125" s="19"/>
      <c r="Y125" s="19"/>
    </row>
    <row r="126" spans="1:25" ht="15" thickBot="1" x14ac:dyDescent="0.4">
      <c r="A126" s="86" t="str">
        <f>IF($C$2=1,L126,IF($C$2=2,L127,IF($C$2=3,L128,IF($C$2=4,L129, IF($C$2=5, L130, "  chyba")))))</f>
        <v>Bočnice C pure, 400mm, Orion šedá</v>
      </c>
      <c r="B126" s="87" t="str">
        <f t="shared" ref="B126" si="135">IF($C$2=1,M126,IF($C$2=2,M127,IF($C$2=3,M128,IF($C$2=4,M129, IF($C$2=5, M130, "  chyba")))))</f>
        <v>770C4002S</v>
      </c>
      <c r="C126" s="87" t="str">
        <f t="shared" ref="C126" si="136">IF($C$2=1,N126,IF($C$2=2,N127,IF($C$2=3,N128,IF($C$2=4,N129, IF($C$2=5, N130, "  chyba")))))</f>
        <v>OG-M</v>
      </c>
      <c r="D126" s="527">
        <f t="shared" ref="D126" si="137">IF($C$2=1,O126,IF($C$2=2,O127,IF($C$2=3,O128,IF($C$2=4,O129, IF($C$2=5, O130, "  chyba")))))</f>
        <v>0</v>
      </c>
      <c r="E126" s="88"/>
      <c r="F126" s="89">
        <f t="shared" ref="F126" si="138">IF($C$2=1,Q126,IF($C$2=2,Q127,IF($C$2=3,Q128,IF($C$2=4,Q129, IF($C$2=5, Q130, "  chyba")))))</f>
        <v>931.92665999999997</v>
      </c>
      <c r="G126" s="65"/>
      <c r="H126" s="65"/>
      <c r="I126" s="168">
        <f t="shared" ref="I126" si="139">IF($C$2=1,T126,IF($C$2=2,T127,IF($C$2=3,T128,IF($C$2=4,T129, IF($C$2=5, T130, "  chyba")))))</f>
        <v>8858929</v>
      </c>
      <c r="J126" s="168">
        <f t="shared" ref="J126" si="140">IF($C$2=1,U126,IF($C$2=2,U127,IF($C$2=3,U128,IF($C$2=4,U129, IF($C$2=5, U130, "  chyba")))))</f>
        <v>227506</v>
      </c>
      <c r="K126" s="20"/>
      <c r="L126" s="61" t="str">
        <f>Price!A126</f>
        <v>Bočnice C pure, 400mm, Orion šedá</v>
      </c>
      <c r="M126" s="15" t="str">
        <f>Price!B126</f>
        <v>770C4002S</v>
      </c>
      <c r="N126" s="15" t="str">
        <f>Price!C126</f>
        <v>OG-M</v>
      </c>
      <c r="O126" s="525">
        <f>Price!D126</f>
        <v>0</v>
      </c>
      <c r="P126" s="16"/>
      <c r="Q126" s="17">
        <f>Price!F126</f>
        <v>931.92665999999997</v>
      </c>
      <c r="R126" s="318"/>
      <c r="S126" s="318"/>
      <c r="T126" s="12">
        <f>Price!G126</f>
        <v>8858929</v>
      </c>
      <c r="U126" s="252">
        <f>Price!H126</f>
        <v>227506</v>
      </c>
      <c r="V126" s="13"/>
      <c r="W126" s="13"/>
      <c r="X126" s="19"/>
      <c r="Y126" s="19"/>
    </row>
    <row r="127" spans="1:25" x14ac:dyDescent="0.35">
      <c r="A127" s="81"/>
      <c r="B127" s="160"/>
      <c r="C127" s="160"/>
      <c r="D127" s="528"/>
      <c r="E127" s="78"/>
      <c r="F127" s="65"/>
      <c r="G127" s="65"/>
      <c r="H127" s="65"/>
      <c r="I127" s="65"/>
      <c r="J127" s="65"/>
      <c r="K127" s="20"/>
      <c r="L127" s="61" t="str">
        <f>Price!A127</f>
        <v>Bočnice C pure, 400mm, hedvábně bílá</v>
      </c>
      <c r="M127" s="15" t="str">
        <f>Price!B127</f>
        <v>770C4002S</v>
      </c>
      <c r="N127" s="15" t="str">
        <f>Price!C127</f>
        <v>SW-M</v>
      </c>
      <c r="O127" s="525">
        <f>Price!D127</f>
        <v>0</v>
      </c>
      <c r="P127" s="16"/>
      <c r="Q127" s="17">
        <f>Price!F127</f>
        <v>931.92665999999997</v>
      </c>
      <c r="R127" s="318"/>
      <c r="S127" s="318"/>
      <c r="T127" s="12">
        <f>Price!G127</f>
        <v>8914227</v>
      </c>
      <c r="U127" s="252">
        <f>Price!H127</f>
        <v>227505</v>
      </c>
      <c r="V127" s="13"/>
      <c r="W127" s="13"/>
      <c r="X127" s="19"/>
      <c r="Y127" s="19"/>
    </row>
    <row r="128" spans="1:25" x14ac:dyDescent="0.35">
      <c r="A128" s="81"/>
      <c r="B128" s="160"/>
      <c r="C128" s="160"/>
      <c r="D128" s="528"/>
      <c r="E128" s="78"/>
      <c r="F128" s="65"/>
      <c r="G128" s="65"/>
      <c r="H128" s="65"/>
      <c r="I128" s="65"/>
      <c r="J128" s="65"/>
      <c r="K128" s="20"/>
      <c r="L128" s="61" t="str">
        <f>Price!A128</f>
        <v>Bočnice C pure, 400mm, Terra černá</v>
      </c>
      <c r="M128" s="15" t="str">
        <f>Price!B128</f>
        <v>770C4002S</v>
      </c>
      <c r="N128" s="15" t="str">
        <f>Price!C128</f>
        <v>TS-M</v>
      </c>
      <c r="O128" s="525">
        <f>Price!D128</f>
        <v>0</v>
      </c>
      <c r="P128" s="16"/>
      <c r="Q128" s="17">
        <f>Price!F128</f>
        <v>931.92665999999997</v>
      </c>
      <c r="R128" s="318"/>
      <c r="S128" s="318"/>
      <c r="T128" s="12">
        <f>Price!G128</f>
        <v>8928290</v>
      </c>
      <c r="U128" s="252">
        <f>Price!H128</f>
        <v>227507</v>
      </c>
      <c r="V128" s="13"/>
      <c r="W128" s="13"/>
      <c r="X128" s="19"/>
      <c r="Y128" s="19"/>
    </row>
    <row r="129" spans="1:25" x14ac:dyDescent="0.35">
      <c r="A129" s="81"/>
      <c r="B129" s="160"/>
      <c r="C129" s="160"/>
      <c r="D129" s="528"/>
      <c r="E129" s="78"/>
      <c r="F129" s="65"/>
      <c r="G129" s="65"/>
      <c r="H129" s="65"/>
      <c r="I129" s="65"/>
      <c r="J129" s="65"/>
      <c r="K129" s="20"/>
      <c r="L129" s="61" t="str">
        <f>Price!A129</f>
        <v>Bočnice C pure, 400mm, Polar stříbrná</v>
      </c>
      <c r="M129" s="15" t="str">
        <f>Price!B129</f>
        <v>770C4002S</v>
      </c>
      <c r="N129" s="15" t="str">
        <f>Price!C129</f>
        <v>PS-M</v>
      </c>
      <c r="O129" s="525">
        <f>Price!D129</f>
        <v>0</v>
      </c>
      <c r="P129" s="16"/>
      <c r="Q129" s="17">
        <f>Price!F129</f>
        <v>931.92665999999997</v>
      </c>
      <c r="R129" s="318"/>
      <c r="S129" s="318"/>
      <c r="T129" s="12">
        <f>Price!G129</f>
        <v>2445573</v>
      </c>
      <c r="U129" s="252">
        <f>Price!H129</f>
        <v>348941</v>
      </c>
      <c r="V129" s="13"/>
      <c r="W129" s="13"/>
      <c r="X129" s="19"/>
      <c r="Y129" s="19"/>
    </row>
    <row r="130" spans="1:25" x14ac:dyDescent="0.35">
      <c r="A130" s="81"/>
      <c r="B130" s="160"/>
      <c r="C130" s="160"/>
      <c r="D130" s="528"/>
      <c r="E130" s="78"/>
      <c r="F130" s="65"/>
      <c r="G130" s="65"/>
      <c r="H130" s="65"/>
      <c r="I130" s="65"/>
      <c r="J130" s="65"/>
      <c r="K130" s="62"/>
      <c r="L130" s="61" t="str">
        <f>Price!A130</f>
        <v>Bočnice C pure, 400mm, nerez</v>
      </c>
      <c r="M130" s="15" t="str">
        <f>Price!B130</f>
        <v>770C4002I</v>
      </c>
      <c r="N130" s="15" t="str">
        <f>Price!C130</f>
        <v>Inox</v>
      </c>
      <c r="O130" s="525" t="str">
        <f>Price!D130</f>
        <v>!</v>
      </c>
      <c r="P130" s="16"/>
      <c r="Q130" s="17">
        <f>Price!F130</f>
        <v>1740.60878</v>
      </c>
      <c r="R130" s="318"/>
      <c r="S130" s="318"/>
      <c r="T130" s="12">
        <f>Price!G130</f>
        <v>9760627</v>
      </c>
      <c r="U130" s="252">
        <f>Price!H130</f>
        <v>227508</v>
      </c>
      <c r="V130" s="13"/>
      <c r="W130" s="13"/>
      <c r="X130" s="19"/>
      <c r="Y130" s="19"/>
    </row>
    <row r="131" spans="1:25" ht="15" thickBot="1" x14ac:dyDescent="0.4">
      <c r="A131" s="86" t="str">
        <f>IF($C$2=1,L131,IF($C$2=2,L132,IF($C$2=3,L133,IF($C$2=4,L134, IF($C$2=5, L135, "  chyba")))))</f>
        <v>Bočnice C pure, 450mm, Orion šedá</v>
      </c>
      <c r="B131" s="87" t="str">
        <f t="shared" ref="B131" si="141">IF($C$2=1,M131,IF($C$2=2,M132,IF($C$2=3,M133,IF($C$2=4,M134, IF($C$2=5, M135, "  chyba")))))</f>
        <v>770C4502S</v>
      </c>
      <c r="C131" s="87" t="str">
        <f t="shared" ref="C131" si="142">IF($C$2=1,N131,IF($C$2=2,N132,IF($C$2=3,N133,IF($C$2=4,N134, IF($C$2=5, N135, "  chyba")))))</f>
        <v>OG-M</v>
      </c>
      <c r="D131" s="527">
        <f t="shared" ref="D131" si="143">IF($C$2=1,O131,IF($C$2=2,O132,IF($C$2=3,O133,IF($C$2=4,O134, IF($C$2=5, O135, "  chyba")))))</f>
        <v>0</v>
      </c>
      <c r="E131" s="88"/>
      <c r="F131" s="89">
        <f t="shared" ref="F131" si="144">IF($C$2=1,Q131,IF($C$2=2,Q132,IF($C$2=3,Q133,IF($C$2=4,Q134, IF($C$2=5, Q135, "  chyba")))))</f>
        <v>921.30178999999998</v>
      </c>
      <c r="G131" s="65"/>
      <c r="H131" s="65"/>
      <c r="I131" s="168">
        <f t="shared" ref="I131" si="145">IF($C$2=1,T131,IF($C$2=2,T132,IF($C$2=3,T133,IF($C$2=4,T134, IF($C$2=5, T135, "  chyba")))))</f>
        <v>8936515</v>
      </c>
      <c r="J131" s="168">
        <f t="shared" ref="J131" si="146">IF($C$2=1,U131,IF($C$2=2,U132,IF($C$2=3,U133,IF($C$2=4,U134, IF($C$2=5, U135, "  chyba")))))</f>
        <v>227510</v>
      </c>
      <c r="K131" s="20"/>
      <c r="L131" s="61" t="str">
        <f>Price!A131</f>
        <v>Bočnice C pure, 450mm, Orion šedá</v>
      </c>
      <c r="M131" s="15" t="str">
        <f>Price!B131</f>
        <v>770C4502S</v>
      </c>
      <c r="N131" s="15" t="str">
        <f>Price!C131</f>
        <v>OG-M</v>
      </c>
      <c r="O131" s="525">
        <f>Price!D131</f>
        <v>0</v>
      </c>
      <c r="P131" s="16"/>
      <c r="Q131" s="17">
        <f>Price!F131</f>
        <v>921.30178999999998</v>
      </c>
      <c r="R131" s="318"/>
      <c r="S131" s="318"/>
      <c r="T131" s="12">
        <f>Price!G131</f>
        <v>8936515</v>
      </c>
      <c r="U131" s="252">
        <f>Price!H131</f>
        <v>227510</v>
      </c>
      <c r="V131" s="13"/>
      <c r="W131" s="13"/>
      <c r="X131" s="19"/>
      <c r="Y131" s="19"/>
    </row>
    <row r="132" spans="1:25" x14ac:dyDescent="0.35">
      <c r="A132" s="81"/>
      <c r="B132" s="160"/>
      <c r="C132" s="160"/>
      <c r="D132" s="528"/>
      <c r="E132" s="78"/>
      <c r="F132" s="65"/>
      <c r="G132" s="65"/>
      <c r="H132" s="65"/>
      <c r="I132" s="65"/>
      <c r="J132" s="65"/>
      <c r="K132" s="20"/>
      <c r="L132" s="61" t="str">
        <f>Price!A132</f>
        <v>Bočnice C pure, 450mm, hedvábně bílá</v>
      </c>
      <c r="M132" s="15" t="str">
        <f>Price!B132</f>
        <v>770C4502S</v>
      </c>
      <c r="N132" s="15" t="str">
        <f>Price!C132</f>
        <v>SW-M</v>
      </c>
      <c r="O132" s="525">
        <f>Price!D132</f>
        <v>0</v>
      </c>
      <c r="P132" s="16"/>
      <c r="Q132" s="17">
        <f>Price!F132</f>
        <v>921.30178999999998</v>
      </c>
      <c r="R132" s="318"/>
      <c r="S132" s="318"/>
      <c r="T132" s="12">
        <f>Price!G132</f>
        <v>8952499</v>
      </c>
      <c r="U132" s="252">
        <f>Price!H132</f>
        <v>227509</v>
      </c>
      <c r="V132" s="13"/>
      <c r="W132" s="13"/>
      <c r="X132" s="19"/>
      <c r="Y132" s="19"/>
    </row>
    <row r="133" spans="1:25" x14ac:dyDescent="0.35">
      <c r="A133" s="81"/>
      <c r="B133" s="160"/>
      <c r="C133" s="160"/>
      <c r="D133" s="528"/>
      <c r="E133" s="78"/>
      <c r="F133" s="65"/>
      <c r="G133" s="65"/>
      <c r="H133" s="65"/>
      <c r="I133" s="65"/>
      <c r="J133" s="65"/>
      <c r="K133" s="20"/>
      <c r="L133" s="61" t="str">
        <f>Price!A133</f>
        <v>Bočnice C pure, 450mm, Terra černá</v>
      </c>
      <c r="M133" s="15" t="str">
        <f>Price!B133</f>
        <v>770C4502S</v>
      </c>
      <c r="N133" s="15" t="str">
        <f>Price!C133</f>
        <v>TS-M</v>
      </c>
      <c r="O133" s="525">
        <f>Price!D133</f>
        <v>0</v>
      </c>
      <c r="P133" s="16"/>
      <c r="Q133" s="17">
        <f>Price!F133</f>
        <v>921.30178999999998</v>
      </c>
      <c r="R133" s="318"/>
      <c r="S133" s="318"/>
      <c r="T133" s="12">
        <f>Price!G133</f>
        <v>8959099</v>
      </c>
      <c r="U133" s="252">
        <f>Price!H133</f>
        <v>227511</v>
      </c>
      <c r="V133" s="13"/>
      <c r="W133" s="13"/>
      <c r="X133" s="19"/>
      <c r="Y133" s="19"/>
    </row>
    <row r="134" spans="1:25" x14ac:dyDescent="0.35">
      <c r="A134" s="81"/>
      <c r="B134" s="160"/>
      <c r="C134" s="160"/>
      <c r="D134" s="528"/>
      <c r="E134" s="78"/>
      <c r="F134" s="65"/>
      <c r="G134" s="65"/>
      <c r="H134" s="65"/>
      <c r="I134" s="65"/>
      <c r="J134" s="65"/>
      <c r="K134" s="20"/>
      <c r="L134" s="61" t="str">
        <f>Price!A134</f>
        <v>Bočnice C pure, 450mm, Polar stříbrná</v>
      </c>
      <c r="M134" s="15" t="str">
        <f>Price!B134</f>
        <v>770C4502S</v>
      </c>
      <c r="N134" s="15" t="str">
        <f>Price!C134</f>
        <v>PS-M</v>
      </c>
      <c r="O134" s="525">
        <f>Price!D134</f>
        <v>0</v>
      </c>
      <c r="P134" s="16"/>
      <c r="Q134" s="17">
        <f>Price!F134</f>
        <v>943.23755000000006</v>
      </c>
      <c r="R134" s="318"/>
      <c r="S134" s="318"/>
      <c r="T134" s="12">
        <f>Price!G134</f>
        <v>3724689</v>
      </c>
      <c r="U134" s="252">
        <f>Price!H134</f>
        <v>314833</v>
      </c>
      <c r="V134" s="13"/>
      <c r="W134" s="13"/>
      <c r="X134" s="19"/>
      <c r="Y134" s="19"/>
    </row>
    <row r="135" spans="1:25" x14ac:dyDescent="0.35">
      <c r="A135" s="81"/>
      <c r="B135" s="160"/>
      <c r="C135" s="160"/>
      <c r="D135" s="528"/>
      <c r="E135" s="78"/>
      <c r="F135" s="65"/>
      <c r="G135" s="65"/>
      <c r="H135" s="65"/>
      <c r="I135" s="65"/>
      <c r="J135" s="65"/>
      <c r="K135" s="62"/>
      <c r="L135" s="61" t="str">
        <f>Price!A135</f>
        <v>Bočnice C pure, 450mm, nerez</v>
      </c>
      <c r="M135" s="15" t="str">
        <f>Price!B135</f>
        <v>770C4502I</v>
      </c>
      <c r="N135" s="15" t="str">
        <f>Price!C135</f>
        <v>Inox</v>
      </c>
      <c r="O135" s="525" t="str">
        <f>Price!D135</f>
        <v>!</v>
      </c>
      <c r="P135" s="16"/>
      <c r="Q135" s="17">
        <f>Price!F135</f>
        <v>1867.5268100000001</v>
      </c>
      <c r="R135" s="318"/>
      <c r="S135" s="318"/>
      <c r="T135" s="12">
        <f>Price!G135</f>
        <v>9778477</v>
      </c>
      <c r="U135" s="252">
        <f>Price!H135</f>
        <v>227512</v>
      </c>
      <c r="V135" s="13"/>
      <c r="W135" s="13"/>
      <c r="X135" s="19"/>
      <c r="Y135" s="19"/>
    </row>
    <row r="136" spans="1:25" ht="15" thickBot="1" x14ac:dyDescent="0.4">
      <c r="A136" s="86" t="str">
        <f>IF($C$2=1,L136,IF($C$2=2,L137,IF($C$2=3,L138,IF($C$2=4,L139, IF($C$2=5, L140, "  chyba")))))</f>
        <v>Bočnice C pure, 500mm, Orion šedá</v>
      </c>
      <c r="B136" s="87" t="str">
        <f t="shared" ref="B136" si="147">IF($C$2=1,M136,IF($C$2=2,M137,IF($C$2=3,M138,IF($C$2=4,M139, IF($C$2=5, M140, "  chyba")))))</f>
        <v>770C5002S</v>
      </c>
      <c r="C136" s="87" t="str">
        <f t="shared" ref="C136" si="148">IF($C$2=1,N136,IF($C$2=2,N137,IF($C$2=3,N138,IF($C$2=4,N139, IF($C$2=5, N140, "  chyba")))))</f>
        <v>OG-M</v>
      </c>
      <c r="D136" s="527">
        <f t="shared" ref="D136" si="149">IF($C$2=1,O136,IF($C$2=2,O137,IF($C$2=3,O138,IF($C$2=4,O139, IF($C$2=5, O140, "  chyba")))))</f>
        <v>0</v>
      </c>
      <c r="E136" s="88"/>
      <c r="F136" s="89">
        <f t="shared" ref="F136" si="150">IF($C$2=1,Q136,IF($C$2=2,Q137,IF($C$2=3,Q138,IF($C$2=4,Q139, IF($C$2=5, Q140, "  chyba")))))</f>
        <v>932.34378000000004</v>
      </c>
      <c r="G136" s="65"/>
      <c r="H136" s="65"/>
      <c r="I136" s="168">
        <f t="shared" ref="I136" si="151">IF($C$2=1,T136,IF($C$2=2,T137,IF($C$2=3,T138,IF($C$2=4,T139, IF($C$2=5, T140, "  chyba")))))</f>
        <v>8962303</v>
      </c>
      <c r="J136" s="168">
        <f t="shared" ref="J136" si="152">IF($C$2=1,U136,IF($C$2=2,U137,IF($C$2=3,U138,IF($C$2=4,U139, IF($C$2=5, U140, "  chyba")))))</f>
        <v>227514</v>
      </c>
      <c r="K136" s="20"/>
      <c r="L136" s="61" t="str">
        <f>Price!A136</f>
        <v>Bočnice C pure, 500mm, Orion šedá</v>
      </c>
      <c r="M136" s="15" t="str">
        <f>Price!B136</f>
        <v>770C5002S</v>
      </c>
      <c r="N136" s="15" t="str">
        <f>Price!C136</f>
        <v>OG-M</v>
      </c>
      <c r="O136" s="525">
        <f>Price!D136</f>
        <v>0</v>
      </c>
      <c r="P136" s="16"/>
      <c r="Q136" s="17">
        <f>Price!F136</f>
        <v>932.34378000000004</v>
      </c>
      <c r="R136" s="318"/>
      <c r="S136" s="318"/>
      <c r="T136" s="12">
        <f>Price!G136</f>
        <v>8962303</v>
      </c>
      <c r="U136" s="252">
        <f>Price!H136</f>
        <v>227514</v>
      </c>
      <c r="V136" s="13"/>
      <c r="W136" s="13"/>
      <c r="X136" s="19"/>
      <c r="Y136" s="19"/>
    </row>
    <row r="137" spans="1:25" x14ac:dyDescent="0.35">
      <c r="A137" s="81"/>
      <c r="B137" s="160"/>
      <c r="C137" s="160"/>
      <c r="D137" s="528"/>
      <c r="E137" s="78"/>
      <c r="F137" s="65"/>
      <c r="G137" s="65"/>
      <c r="H137" s="65"/>
      <c r="I137" s="65"/>
      <c r="J137" s="65"/>
      <c r="K137" s="20"/>
      <c r="L137" s="61" t="str">
        <f>Price!A137</f>
        <v>Bočnice C pure, 500mm, hedvábně bílá</v>
      </c>
      <c r="M137" s="15" t="str">
        <f>Price!B137</f>
        <v>770C5002S</v>
      </c>
      <c r="N137" s="15" t="str">
        <f>Price!C137</f>
        <v>SW-M</v>
      </c>
      <c r="O137" s="525">
        <f>Price!D137</f>
        <v>0</v>
      </c>
      <c r="P137" s="16"/>
      <c r="Q137" s="17">
        <f>Price!F137</f>
        <v>932.34378000000004</v>
      </c>
      <c r="R137" s="318"/>
      <c r="S137" s="318"/>
      <c r="T137" s="12">
        <f>Price!G137</f>
        <v>8965119</v>
      </c>
      <c r="U137" s="252">
        <f>Price!H137</f>
        <v>227513</v>
      </c>
      <c r="V137" s="13"/>
      <c r="W137" s="13"/>
      <c r="X137" s="19"/>
      <c r="Y137" s="19"/>
    </row>
    <row r="138" spans="1:25" x14ac:dyDescent="0.35">
      <c r="A138" s="81"/>
      <c r="B138" s="160"/>
      <c r="C138" s="160"/>
      <c r="D138" s="528"/>
      <c r="E138" s="78"/>
      <c r="F138" s="65"/>
      <c r="G138" s="65"/>
      <c r="H138" s="65"/>
      <c r="I138" s="65"/>
      <c r="J138" s="65"/>
      <c r="K138" s="62"/>
      <c r="L138" s="61" t="str">
        <f>Price!A138</f>
        <v>Bočnice C pure, 500mm, Terra černá</v>
      </c>
      <c r="M138" s="15" t="str">
        <f>Price!B138</f>
        <v>770C5002S</v>
      </c>
      <c r="N138" s="15" t="str">
        <f>Price!C138</f>
        <v>TS-M</v>
      </c>
      <c r="O138" s="525">
        <f>Price!D138</f>
        <v>0</v>
      </c>
      <c r="P138" s="16"/>
      <c r="Q138" s="17">
        <f>Price!F138</f>
        <v>932.34378000000004</v>
      </c>
      <c r="R138" s="318"/>
      <c r="S138" s="318"/>
      <c r="T138" s="12">
        <f>Price!G138</f>
        <v>8979438</v>
      </c>
      <c r="U138" s="252">
        <f>Price!H138</f>
        <v>227515</v>
      </c>
      <c r="V138" s="13"/>
      <c r="W138" s="13"/>
      <c r="X138" s="19"/>
      <c r="Y138" s="19"/>
    </row>
    <row r="139" spans="1:25" x14ac:dyDescent="0.35">
      <c r="A139" s="81"/>
      <c r="B139" s="160"/>
      <c r="C139" s="160"/>
      <c r="D139" s="528"/>
      <c r="E139" s="78"/>
      <c r="F139" s="65"/>
      <c r="G139" s="65"/>
      <c r="H139" s="65"/>
      <c r="I139" s="65"/>
      <c r="J139" s="65"/>
      <c r="K139" s="62"/>
      <c r="L139" s="61" t="str">
        <f>Price!A139</f>
        <v>Bočnice C pure, 500mm, Polar stříbrná</v>
      </c>
      <c r="M139" s="15" t="str">
        <f>Price!B139</f>
        <v>770C5002S</v>
      </c>
      <c r="N139" s="15" t="str">
        <f>Price!C139</f>
        <v>PS-M</v>
      </c>
      <c r="O139" s="525">
        <f>Price!D139</f>
        <v>0</v>
      </c>
      <c r="P139" s="16"/>
      <c r="Q139" s="17">
        <f>Price!F139</f>
        <v>954.54244000000006</v>
      </c>
      <c r="R139" s="318"/>
      <c r="S139" s="318"/>
      <c r="T139" s="12">
        <f>Price!G139</f>
        <v>4733580</v>
      </c>
      <c r="U139" s="252">
        <f>Price!H139</f>
        <v>314834</v>
      </c>
      <c r="V139" s="13"/>
      <c r="W139" s="13"/>
      <c r="X139" s="19"/>
      <c r="Y139" s="19"/>
    </row>
    <row r="140" spans="1:25" x14ac:dyDescent="0.35">
      <c r="A140" s="81"/>
      <c r="B140" s="160"/>
      <c r="C140" s="160"/>
      <c r="D140" s="528"/>
      <c r="E140" s="78"/>
      <c r="F140" s="65"/>
      <c r="G140" s="65"/>
      <c r="H140" s="65"/>
      <c r="I140" s="65"/>
      <c r="J140" s="65"/>
      <c r="K140" s="20"/>
      <c r="L140" s="61" t="str">
        <f>Price!A140</f>
        <v>Bočnice C pure, 500mm, nerez</v>
      </c>
      <c r="M140" s="15" t="str">
        <f>Price!B140</f>
        <v>770C5002I</v>
      </c>
      <c r="N140" s="15" t="str">
        <f>Price!C140</f>
        <v>Inox</v>
      </c>
      <c r="O140" s="525" t="str">
        <f>Price!D140</f>
        <v>!</v>
      </c>
      <c r="P140" s="16"/>
      <c r="Q140" s="17">
        <f>Price!F140</f>
        <v>1902.8335300000001</v>
      </c>
      <c r="R140" s="318"/>
      <c r="S140" s="318"/>
      <c r="T140" s="12">
        <f>Price!G140</f>
        <v>9782673</v>
      </c>
      <c r="U140" s="252">
        <f>Price!H140</f>
        <v>227516</v>
      </c>
      <c r="V140" s="13"/>
      <c r="W140" s="13"/>
      <c r="X140" s="19"/>
      <c r="Y140" s="19"/>
    </row>
    <row r="141" spans="1:25" ht="15" thickBot="1" x14ac:dyDescent="0.4">
      <c r="A141" s="86" t="str">
        <f>IF($C$2=1,L141,IF($C$2=2,L142,IF($C$2=3,L143,IF($C$2=4,L144, IF($C$2=5, L145, "  chyba")))))</f>
        <v>Bočnice C pure, 550mm, Orion šedá</v>
      </c>
      <c r="B141" s="87" t="str">
        <f t="shared" ref="B141" si="153">IF($C$2=1,M141,IF($C$2=2,M142,IF($C$2=3,M143,IF($C$2=4,M144, IF($C$2=5, M145, "  chyba")))))</f>
        <v>770C5502S</v>
      </c>
      <c r="C141" s="87" t="str">
        <f t="shared" ref="C141" si="154">IF($C$2=1,N141,IF($C$2=2,N142,IF($C$2=3,N143,IF($C$2=4,N144, IF($C$2=5, N145, "  chyba")))))</f>
        <v>OG-M</v>
      </c>
      <c r="D141" s="527">
        <f t="shared" ref="D141" si="155">IF($C$2=1,O141,IF($C$2=2,O142,IF($C$2=3,O143,IF($C$2=4,O144, IF($C$2=5, O145, "  chyba")))))</f>
        <v>0</v>
      </c>
      <c r="E141" s="88"/>
      <c r="F141" s="89">
        <f t="shared" ref="F141" si="156">IF($C$2=1,Q141,IF($C$2=2,Q142,IF($C$2=3,Q143,IF($C$2=4,Q144, IF($C$2=5, Q145, "  chyba")))))</f>
        <v>1011.04004</v>
      </c>
      <c r="G141" s="65"/>
      <c r="H141" s="65"/>
      <c r="I141" s="168">
        <f t="shared" ref="I141" si="157">IF($C$2=1,T141,IF($C$2=2,T142,IF($C$2=3,T143,IF($C$2=4,T144, IF($C$2=5, T145, "  chyba")))))</f>
        <v>8987845</v>
      </c>
      <c r="J141" s="168">
        <f t="shared" ref="J141" si="158">IF($C$2=1,U141,IF($C$2=2,U142,IF($C$2=3,U143,IF($C$2=4,U144, IF($C$2=5, U145, "  chyba")))))</f>
        <v>227518</v>
      </c>
      <c r="K141" s="20"/>
      <c r="L141" s="61" t="str">
        <f>Price!A141</f>
        <v>Bočnice C pure, 550mm, Orion šedá</v>
      </c>
      <c r="M141" s="15" t="str">
        <f>Price!B141</f>
        <v>770C5502S</v>
      </c>
      <c r="N141" s="15" t="str">
        <f>Price!C141</f>
        <v>OG-M</v>
      </c>
      <c r="O141" s="525">
        <f>Price!D141</f>
        <v>0</v>
      </c>
      <c r="P141" s="16"/>
      <c r="Q141" s="17">
        <f>Price!F141</f>
        <v>1011.04004</v>
      </c>
      <c r="R141" s="318"/>
      <c r="S141" s="318"/>
      <c r="T141" s="12">
        <f>Price!G141</f>
        <v>8987845</v>
      </c>
      <c r="U141" s="252">
        <f>Price!H141</f>
        <v>227518</v>
      </c>
      <c r="V141" s="13"/>
      <c r="W141" s="13"/>
      <c r="X141" s="19"/>
      <c r="Y141" s="19"/>
    </row>
    <row r="142" spans="1:25" x14ac:dyDescent="0.35">
      <c r="A142" s="81"/>
      <c r="B142" s="160"/>
      <c r="C142" s="160"/>
      <c r="D142" s="528"/>
      <c r="E142" s="78"/>
      <c r="F142" s="65"/>
      <c r="G142" s="65"/>
      <c r="H142" s="65"/>
      <c r="I142" s="65"/>
      <c r="J142" s="65"/>
      <c r="K142" s="62"/>
      <c r="L142" s="61" t="str">
        <f>Price!A142</f>
        <v>Bočnice C pure, 550mm, hedvábně bílá</v>
      </c>
      <c r="M142" s="15" t="str">
        <f>Price!B142</f>
        <v>770C5502S</v>
      </c>
      <c r="N142" s="15" t="str">
        <f>Price!C142</f>
        <v>SW-M</v>
      </c>
      <c r="O142" s="525">
        <f>Price!D142</f>
        <v>0</v>
      </c>
      <c r="P142" s="16"/>
      <c r="Q142" s="17">
        <f>Price!F142</f>
        <v>1011.04004</v>
      </c>
      <c r="R142" s="318"/>
      <c r="S142" s="318"/>
      <c r="T142" s="12">
        <f>Price!G142</f>
        <v>9045768</v>
      </c>
      <c r="U142" s="252">
        <f>Price!H142</f>
        <v>227517</v>
      </c>
      <c r="V142" s="13"/>
      <c r="W142" s="13"/>
      <c r="X142" s="19"/>
      <c r="Y142" s="19"/>
    </row>
    <row r="143" spans="1:25" x14ac:dyDescent="0.35">
      <c r="A143" s="81"/>
      <c r="B143" s="160"/>
      <c r="C143" s="160"/>
      <c r="D143" s="528"/>
      <c r="E143" s="78"/>
      <c r="F143" s="65"/>
      <c r="G143" s="65"/>
      <c r="H143" s="65"/>
      <c r="I143" s="65"/>
      <c r="J143" s="65"/>
      <c r="K143" s="63"/>
      <c r="L143" s="61" t="str">
        <f>Price!A143</f>
        <v>Bočnice C pure, 550mm, Terra černá</v>
      </c>
      <c r="M143" s="15" t="str">
        <f>Price!B143</f>
        <v>770C5502S</v>
      </c>
      <c r="N143" s="15" t="str">
        <f>Price!C143</f>
        <v>TS-M</v>
      </c>
      <c r="O143" s="525">
        <f>Price!D143</f>
        <v>0</v>
      </c>
      <c r="P143" s="16"/>
      <c r="Q143" s="17">
        <f>Price!F143</f>
        <v>1011.04004</v>
      </c>
      <c r="R143" s="318"/>
      <c r="S143" s="318"/>
      <c r="T143" s="12">
        <f>Price!G143</f>
        <v>9054479</v>
      </c>
      <c r="U143" s="252">
        <f>Price!H143</f>
        <v>227519</v>
      </c>
      <c r="V143" s="13"/>
      <c r="W143" s="13"/>
      <c r="X143" s="19"/>
      <c r="Y143" s="19"/>
    </row>
    <row r="144" spans="1:25" x14ac:dyDescent="0.35">
      <c r="A144" s="81"/>
      <c r="B144" s="160"/>
      <c r="C144" s="160"/>
      <c r="D144" s="528"/>
      <c r="E144" s="78"/>
      <c r="F144" s="65"/>
      <c r="G144" s="65"/>
      <c r="H144" s="65"/>
      <c r="I144" s="65"/>
      <c r="J144" s="65"/>
      <c r="K144" s="63"/>
      <c r="L144" s="61" t="str">
        <f>Price!A144</f>
        <v>Bočnice C pure, 550mm, Polar stříbrná</v>
      </c>
      <c r="M144" s="15" t="str">
        <f>Price!B144</f>
        <v>770C5502S</v>
      </c>
      <c r="N144" s="15" t="str">
        <f>Price!C144</f>
        <v>PS-M</v>
      </c>
      <c r="O144" s="525">
        <f>Price!D144</f>
        <v>0</v>
      </c>
      <c r="P144" s="16"/>
      <c r="Q144" s="17">
        <f>Price!F144</f>
        <v>1011.04004</v>
      </c>
      <c r="R144" s="318"/>
      <c r="S144" s="318"/>
      <c r="T144" s="12">
        <f>Price!G144</f>
        <v>8939566</v>
      </c>
      <c r="U144" s="252">
        <f>Price!H144</f>
        <v>348942</v>
      </c>
      <c r="V144" s="13"/>
      <c r="W144" s="13"/>
      <c r="X144" s="19"/>
      <c r="Y144" s="19"/>
    </row>
    <row r="145" spans="1:25" x14ac:dyDescent="0.35">
      <c r="A145" s="81"/>
      <c r="B145" s="160"/>
      <c r="C145" s="160"/>
      <c r="D145" s="528"/>
      <c r="E145" s="78"/>
      <c r="F145" s="65"/>
      <c r="G145" s="65"/>
      <c r="H145" s="65"/>
      <c r="I145" s="65"/>
      <c r="J145" s="65"/>
      <c r="K145" s="20"/>
      <c r="L145" s="61" t="str">
        <f>Price!A145</f>
        <v>Bočnice C pure, 550mm, nerez</v>
      </c>
      <c r="M145" s="15" t="str">
        <f>Price!B145</f>
        <v>770C5502I</v>
      </c>
      <c r="N145" s="15" t="str">
        <f>Price!C145</f>
        <v>Inox</v>
      </c>
      <c r="O145" s="525" t="str">
        <f>Price!D145</f>
        <v>!</v>
      </c>
      <c r="P145" s="16"/>
      <c r="Q145" s="17">
        <f>Price!F145</f>
        <v>2001.7128399999999</v>
      </c>
      <c r="R145" s="318"/>
      <c r="S145" s="318"/>
      <c r="T145" s="12">
        <f>Price!G145</f>
        <v>9804991</v>
      </c>
      <c r="U145" s="252">
        <f>Price!H145</f>
        <v>227520</v>
      </c>
      <c r="V145" s="13"/>
      <c r="W145" s="13"/>
      <c r="X145" s="19"/>
      <c r="Y145" s="19"/>
    </row>
    <row r="146" spans="1:25" ht="15" thickBot="1" x14ac:dyDescent="0.4">
      <c r="A146" s="86" t="str">
        <f>IF($C$2=1,L146,IF($C$2=2,L147,IF($C$2=3,L148,IF($C$2=4,L149, IF($C$2=5, L150, "  chyba")))))</f>
        <v>Bočnice C pure, 600mm, Orion šedá</v>
      </c>
      <c r="B146" s="87" t="str">
        <f t="shared" ref="B146" si="159">IF($C$2=1,M146,IF($C$2=2,M147,IF($C$2=3,M148,IF($C$2=4,M149, IF($C$2=5, M150, "  chyba")))))</f>
        <v>770C6002S</v>
      </c>
      <c r="C146" s="87" t="str">
        <f t="shared" ref="C146" si="160">IF($C$2=1,N146,IF($C$2=2,N147,IF($C$2=3,N148,IF($C$2=4,N149, IF($C$2=5, N150, "  chyba")))))</f>
        <v>OG-M</v>
      </c>
      <c r="D146" s="527">
        <f t="shared" ref="D146" si="161">IF($C$2=1,O146,IF($C$2=2,O147,IF($C$2=3,O148,IF($C$2=4,O149, IF($C$2=5, O150, "  chyba")))))</f>
        <v>0</v>
      </c>
      <c r="E146" s="88"/>
      <c r="F146" s="89">
        <f t="shared" ref="F146" si="162">IF($C$2=1,Q146,IF($C$2=2,Q147,IF($C$2=3,Q148,IF($C$2=4,Q149, IF($C$2=5, Q150, "  chyba")))))</f>
        <v>1127.97047</v>
      </c>
      <c r="G146" s="65"/>
      <c r="H146" s="65"/>
      <c r="I146" s="168">
        <f t="shared" ref="I146" si="163">IF($C$2=1,T146,IF($C$2=2,T147,IF($C$2=3,T148,IF($C$2=4,T149, IF($C$2=5, T150, "  chyba")))))</f>
        <v>9069622</v>
      </c>
      <c r="J146" s="168">
        <f t="shared" ref="J146" si="164">IF($C$2=1,U146,IF($C$2=2,U147,IF($C$2=3,U148,IF($C$2=4,U149, IF($C$2=5, U150, "  chyba")))))</f>
        <v>227522</v>
      </c>
      <c r="K146" s="20"/>
      <c r="L146" s="61" t="str">
        <f>Price!A146</f>
        <v>Bočnice C pure, 600mm, Orion šedá</v>
      </c>
      <c r="M146" s="15" t="str">
        <f>Price!B146</f>
        <v>770C6002S</v>
      </c>
      <c r="N146" s="15" t="str">
        <f>Price!C146</f>
        <v>OG-M</v>
      </c>
      <c r="O146" s="525">
        <f>Price!D146</f>
        <v>0</v>
      </c>
      <c r="P146" s="16"/>
      <c r="Q146" s="17">
        <f>Price!F146</f>
        <v>1127.97047</v>
      </c>
      <c r="R146" s="318"/>
      <c r="S146" s="318"/>
      <c r="T146" s="12">
        <f>Price!G146</f>
        <v>9069622</v>
      </c>
      <c r="U146" s="252">
        <f>Price!H146</f>
        <v>227522</v>
      </c>
      <c r="V146" s="13"/>
      <c r="W146" s="13"/>
      <c r="X146" s="19"/>
      <c r="Y146" s="19"/>
    </row>
    <row r="147" spans="1:25" x14ac:dyDescent="0.35">
      <c r="A147" s="81"/>
      <c r="B147" s="160"/>
      <c r="C147" s="160"/>
      <c r="D147" s="528"/>
      <c r="E147" s="78"/>
      <c r="F147" s="65"/>
      <c r="G147" s="65"/>
      <c r="H147" s="65"/>
      <c r="I147" s="65"/>
      <c r="J147" s="65"/>
      <c r="K147" s="62"/>
      <c r="L147" s="61" t="str">
        <f>Price!A147</f>
        <v>Bočnice C pure, 600mm, hedvábně bílá</v>
      </c>
      <c r="M147" s="15" t="str">
        <f>Price!B147</f>
        <v>770C6002S</v>
      </c>
      <c r="N147" s="15" t="str">
        <f>Price!C147</f>
        <v>SW-M</v>
      </c>
      <c r="O147" s="525">
        <f>Price!D147</f>
        <v>0</v>
      </c>
      <c r="P147" s="16"/>
      <c r="Q147" s="17">
        <f>Price!F147</f>
        <v>1127.97047</v>
      </c>
      <c r="R147" s="318"/>
      <c r="S147" s="318"/>
      <c r="T147" s="12">
        <f>Price!G147</f>
        <v>9085908</v>
      </c>
      <c r="U147" s="252">
        <f>Price!H147</f>
        <v>227521</v>
      </c>
      <c r="V147" s="13"/>
      <c r="W147" s="13"/>
      <c r="X147" s="19"/>
      <c r="Y147" s="19"/>
    </row>
    <row r="148" spans="1:25" x14ac:dyDescent="0.35">
      <c r="A148" s="81"/>
      <c r="B148" s="160"/>
      <c r="C148" s="160"/>
      <c r="D148" s="528"/>
      <c r="E148" s="78"/>
      <c r="F148" s="65"/>
      <c r="G148" s="65"/>
      <c r="H148" s="65"/>
      <c r="I148" s="65"/>
      <c r="J148" s="65"/>
      <c r="K148" s="63"/>
      <c r="L148" s="61" t="str">
        <f>Price!A148</f>
        <v>Bočnice C pure, 600mm, Terra černá</v>
      </c>
      <c r="M148" s="15" t="str">
        <f>Price!B148</f>
        <v>770C6002S</v>
      </c>
      <c r="N148" s="15" t="str">
        <f>Price!C148</f>
        <v>TS-M</v>
      </c>
      <c r="O148" s="525">
        <f>Price!D148</f>
        <v>0</v>
      </c>
      <c r="P148" s="16"/>
      <c r="Q148" s="17">
        <f>Price!F148</f>
        <v>1127.97047</v>
      </c>
      <c r="R148" s="318"/>
      <c r="S148" s="318"/>
      <c r="T148" s="12">
        <f>Price!G148</f>
        <v>9087007</v>
      </c>
      <c r="U148" s="252">
        <f>Price!H148</f>
        <v>227523</v>
      </c>
      <c r="V148" s="13"/>
      <c r="W148" s="13"/>
      <c r="X148" s="19"/>
      <c r="Y148" s="19"/>
    </row>
    <row r="149" spans="1:25" x14ac:dyDescent="0.35">
      <c r="A149" s="81"/>
      <c r="B149" s="160"/>
      <c r="C149" s="160"/>
      <c r="D149" s="528"/>
      <c r="E149" s="78"/>
      <c r="F149" s="65"/>
      <c r="G149" s="65"/>
      <c r="H149" s="65"/>
      <c r="I149" s="65"/>
      <c r="J149" s="65"/>
      <c r="K149" s="63"/>
      <c r="L149" s="61" t="str">
        <f>Price!A149</f>
        <v>Bočnice C pure, 600mm, Polar stříbrná</v>
      </c>
      <c r="M149" s="15" t="str">
        <f>Price!B149</f>
        <v>770C6002S</v>
      </c>
      <c r="N149" s="15" t="str">
        <f>Price!C149</f>
        <v>PS-M</v>
      </c>
      <c r="O149" s="525">
        <f>Price!D149</f>
        <v>0</v>
      </c>
      <c r="P149" s="16"/>
      <c r="Q149" s="17">
        <f>Price!F149</f>
        <v>1127.97047</v>
      </c>
      <c r="R149" s="318"/>
      <c r="S149" s="318"/>
      <c r="T149" s="12">
        <f>Price!G149</f>
        <v>1588689</v>
      </c>
      <c r="U149" s="252">
        <f>Price!H149</f>
        <v>348943</v>
      </c>
      <c r="V149" s="13"/>
      <c r="W149" s="13"/>
      <c r="X149" s="19"/>
      <c r="Y149" s="19"/>
    </row>
    <row r="150" spans="1:25" x14ac:dyDescent="0.35">
      <c r="A150" s="81"/>
      <c r="B150" s="160"/>
      <c r="C150" s="160"/>
      <c r="D150" s="528"/>
      <c r="E150" s="78"/>
      <c r="F150" s="65"/>
      <c r="G150" s="65"/>
      <c r="H150" s="65"/>
      <c r="I150" s="65"/>
      <c r="J150" s="65"/>
      <c r="K150" s="63"/>
      <c r="L150" s="61" t="str">
        <f>Price!A150</f>
        <v>Bočnice C pure, 600mm, nerez</v>
      </c>
      <c r="M150" s="15" t="str">
        <f>Price!B150</f>
        <v>770C6002I</v>
      </c>
      <c r="N150" s="15" t="str">
        <f>Price!C150</f>
        <v>Inox</v>
      </c>
      <c r="O150" s="525" t="str">
        <f>Price!D150</f>
        <v>!</v>
      </c>
      <c r="P150" s="16"/>
      <c r="Q150" s="17">
        <f>Price!F150</f>
        <v>2232.56909</v>
      </c>
      <c r="R150" s="318"/>
      <c r="S150" s="318"/>
      <c r="T150" s="12">
        <f>Price!G150</f>
        <v>9843329</v>
      </c>
      <c r="U150" s="252">
        <f>Price!H150</f>
        <v>227524</v>
      </c>
      <c r="V150" s="13"/>
      <c r="W150" s="13"/>
      <c r="X150" s="19"/>
      <c r="Y150" s="19"/>
    </row>
    <row r="151" spans="1:25" ht="15" thickBot="1" x14ac:dyDescent="0.4">
      <c r="A151" s="86" t="str">
        <f>IF($C$2=1,L151,IF($C$2=2,L152,IF($C$2=3,L153,IF($C$2=4,L154, IF($C$2=5, L155, "  chyba")))))</f>
        <v>Bočnice C pure, 650mm, Orion šedá</v>
      </c>
      <c r="B151" s="87" t="str">
        <f t="shared" ref="B151" si="165">IF($C$2=1,M151,IF($C$2=2,M152,IF($C$2=3,M153,IF($C$2=4,M154, IF($C$2=5, M155, "  chyba")))))</f>
        <v>770C6502S</v>
      </c>
      <c r="C151" s="87" t="str">
        <f t="shared" ref="C151" si="166">IF($C$2=1,N151,IF($C$2=2,N152,IF($C$2=3,N153,IF($C$2=4,N154, IF($C$2=5, N155, "  chyba")))))</f>
        <v>OG-M</v>
      </c>
      <c r="D151" s="527">
        <f t="shared" ref="D151" si="167">IF($C$2=1,O151,IF($C$2=2,O152,IF($C$2=3,O153,IF($C$2=4,O154, IF($C$2=5, O155, "  chyba")))))</f>
        <v>0</v>
      </c>
      <c r="E151" s="88"/>
      <c r="F151" s="89">
        <f t="shared" ref="F151" si="168">IF($C$2=1,Q151,IF($C$2=2,Q152,IF($C$2=3,Q153,IF($C$2=4,Q154, IF($C$2=5, Q155, "  chyba")))))</f>
        <v>1167.5130999999999</v>
      </c>
      <c r="G151" s="65"/>
      <c r="H151" s="65"/>
      <c r="I151" s="168">
        <f t="shared" ref="I151" si="169">IF($C$2=1,T151,IF($C$2=2,T152,IF($C$2=3,T153,IF($C$2=4,T154, IF($C$2=5, T155, "  chyba")))))</f>
        <v>7790076</v>
      </c>
      <c r="J151" s="168">
        <f t="shared" ref="J151" si="170">IF($C$2=1,U151,IF($C$2=2,U152,IF($C$2=3,U153,IF($C$2=4,U154, IF($C$2=5, U155, "  chyba")))))</f>
        <v>256458</v>
      </c>
      <c r="K151" s="63"/>
      <c r="L151" s="61" t="str">
        <f>Price!A151</f>
        <v>Bočnice C pure, 650mm, Orion šedá</v>
      </c>
      <c r="M151" s="15" t="str">
        <f>Price!B151</f>
        <v>770C6502S</v>
      </c>
      <c r="N151" s="15" t="str">
        <f>Price!C151</f>
        <v>OG-M</v>
      </c>
      <c r="O151" s="525">
        <f>Price!D151</f>
        <v>0</v>
      </c>
      <c r="P151" s="16"/>
      <c r="Q151" s="17">
        <f>Price!F151</f>
        <v>1167.5130999999999</v>
      </c>
      <c r="R151" s="318"/>
      <c r="S151" s="318"/>
      <c r="T151" s="12">
        <f>Price!G151</f>
        <v>7790076</v>
      </c>
      <c r="U151" s="252">
        <f>Price!H151</f>
        <v>256458</v>
      </c>
      <c r="V151" s="13"/>
      <c r="W151" s="13"/>
      <c r="X151" s="19"/>
      <c r="Y151" s="19"/>
    </row>
    <row r="152" spans="1:25" x14ac:dyDescent="0.35">
      <c r="A152" s="81"/>
      <c r="B152" s="160"/>
      <c r="C152" s="160"/>
      <c r="D152" s="528"/>
      <c r="E152" s="78"/>
      <c r="F152" s="65"/>
      <c r="G152" s="65"/>
      <c r="H152" s="65"/>
      <c r="I152" s="65"/>
      <c r="J152" s="65"/>
      <c r="K152" s="63"/>
      <c r="L152" s="61" t="str">
        <f>Price!A152</f>
        <v>Bočnice C pure, 650mm, hedvábně bílá</v>
      </c>
      <c r="M152" s="15" t="str">
        <f>Price!B152</f>
        <v>770C6502S</v>
      </c>
      <c r="N152" s="15" t="str">
        <f>Price!C152</f>
        <v>SW-M</v>
      </c>
      <c r="O152" s="525">
        <f>Price!D152</f>
        <v>0</v>
      </c>
      <c r="P152" s="16"/>
      <c r="Q152" s="17">
        <f>Price!F152</f>
        <v>1167.5130999999999</v>
      </c>
      <c r="R152" s="318"/>
      <c r="S152" s="318"/>
      <c r="T152" s="12">
        <f>Price!G152</f>
        <v>9944409</v>
      </c>
      <c r="U152" s="252">
        <f>Price!H152</f>
        <v>256457</v>
      </c>
      <c r="V152" s="13"/>
      <c r="W152" s="13"/>
      <c r="X152" s="19"/>
      <c r="Y152" s="19"/>
    </row>
    <row r="153" spans="1:25" x14ac:dyDescent="0.35">
      <c r="A153" s="81"/>
      <c r="B153" s="160"/>
      <c r="C153" s="160"/>
      <c r="D153" s="528"/>
      <c r="E153" s="78"/>
      <c r="F153" s="65"/>
      <c r="G153" s="65"/>
      <c r="H153" s="65"/>
      <c r="I153" s="65"/>
      <c r="J153" s="65"/>
      <c r="K153" s="63"/>
      <c r="L153" s="61" t="str">
        <f>Price!A153</f>
        <v>Bočnice C pure, 650mm, Terra černá</v>
      </c>
      <c r="M153" s="15" t="str">
        <f>Price!B153</f>
        <v>770C6502S</v>
      </c>
      <c r="N153" s="15" t="str">
        <f>Price!C153</f>
        <v>TS-M</v>
      </c>
      <c r="O153" s="525">
        <f>Price!D153</f>
        <v>0</v>
      </c>
      <c r="P153" s="16"/>
      <c r="Q153" s="17">
        <f>Price!F153</f>
        <v>1167.5130999999999</v>
      </c>
      <c r="R153" s="318"/>
      <c r="S153" s="318"/>
      <c r="T153" s="12">
        <f>Price!G153</f>
        <v>8859975</v>
      </c>
      <c r="U153" s="252">
        <f>Price!H153</f>
        <v>256459</v>
      </c>
      <c r="V153" s="13"/>
      <c r="W153" s="13"/>
      <c r="X153" s="19"/>
      <c r="Y153" s="19"/>
    </row>
    <row r="154" spans="1:25" x14ac:dyDescent="0.35">
      <c r="A154" s="81"/>
      <c r="B154" s="160"/>
      <c r="C154" s="160"/>
      <c r="D154" s="528"/>
      <c r="E154" s="78"/>
      <c r="F154" s="65"/>
      <c r="G154" s="65"/>
      <c r="H154" s="65"/>
      <c r="I154" s="65"/>
      <c r="J154" s="65"/>
      <c r="K154" s="63"/>
      <c r="L154" s="61" t="str">
        <f>Price!A154</f>
        <v>Bočnice C pure, 650mm, Polar stříbrná</v>
      </c>
      <c r="M154" s="15" t="str">
        <f>Price!B154</f>
        <v>770C6502S</v>
      </c>
      <c r="N154" s="15" t="str">
        <f>Price!C154</f>
        <v>PS-M</v>
      </c>
      <c r="O154" s="525">
        <f>Price!D154</f>
        <v>0</v>
      </c>
      <c r="P154" s="16"/>
      <c r="Q154" s="17">
        <f>Price!F154</f>
        <v>1167.5130999999999</v>
      </c>
      <c r="R154" s="318"/>
      <c r="S154" s="318"/>
      <c r="T154" s="12">
        <f>Price!G154</f>
        <v>1578939</v>
      </c>
      <c r="U154" s="252">
        <f>Price!H154</f>
        <v>348945</v>
      </c>
      <c r="V154" s="13"/>
      <c r="W154" s="13"/>
      <c r="X154" s="19"/>
      <c r="Y154" s="19"/>
    </row>
    <row r="155" spans="1:25" x14ac:dyDescent="0.35">
      <c r="A155" s="81"/>
      <c r="B155" s="160"/>
      <c r="C155" s="160"/>
      <c r="D155" s="528"/>
      <c r="E155" s="78"/>
      <c r="F155" s="65"/>
      <c r="G155" s="65"/>
      <c r="H155" s="65"/>
      <c r="I155" s="65"/>
      <c r="J155" s="65"/>
      <c r="K155" s="63"/>
      <c r="L155" s="61" t="str">
        <f>Price!A155</f>
        <v>Bočnice C pure, 650mm, nerez</v>
      </c>
      <c r="M155" s="15" t="str">
        <f>Price!B155</f>
        <v>770C6502I</v>
      </c>
      <c r="N155" s="15" t="str">
        <f>Price!C155</f>
        <v>Inox</v>
      </c>
      <c r="O155" s="525" t="str">
        <f>Price!D155</f>
        <v>!</v>
      </c>
      <c r="P155" s="16"/>
      <c r="Q155" s="17">
        <f>Price!F155</f>
        <v>2359.65744</v>
      </c>
      <c r="R155" s="318"/>
      <c r="S155" s="318"/>
      <c r="T155" s="12">
        <f>Price!G155</f>
        <v>5885172</v>
      </c>
      <c r="U155" s="252">
        <f>Price!H155</f>
        <v>256460</v>
      </c>
      <c r="V155" s="13"/>
      <c r="W155" s="13"/>
      <c r="X155" s="19"/>
      <c r="Y155" s="19"/>
    </row>
    <row r="156" spans="1:25" ht="15" thickBot="1" x14ac:dyDescent="0.4">
      <c r="A156" s="86">
        <f>IF($C$2=1,L156,IF($C$2=2,L157,IF($C$2=3,L158,IF($C$2=4,L159, IF($C$2=5, L160, "  chyba")))))</f>
        <v>0</v>
      </c>
      <c r="B156" s="87">
        <f t="shared" ref="B156" si="171">IF($C$2=1,M156,IF($C$2=2,M157,IF($C$2=3,M158,IF($C$2=4,M159, IF($C$2=5, M160, "  chyba")))))</f>
        <v>0</v>
      </c>
      <c r="C156" s="87">
        <f t="shared" ref="C156" si="172">IF($C$2=1,N156,IF($C$2=2,N157,IF($C$2=3,N158,IF($C$2=4,N159, IF($C$2=5, N160, "  chyba")))))</f>
        <v>0</v>
      </c>
      <c r="D156" s="527">
        <f t="shared" ref="D156" si="173">IF($C$2=1,O156,IF($C$2=2,O157,IF($C$2=3,O158,IF($C$2=4,O159, IF($C$2=5, O160, "  chyba")))))</f>
        <v>0</v>
      </c>
      <c r="E156" s="88"/>
      <c r="F156" s="89">
        <f t="shared" ref="F156" si="174">IF($C$2=1,Q156,IF($C$2=2,Q157,IF($C$2=3,Q158,IF($C$2=4,Q159, IF($C$2=5, Q160, "  chyba")))))</f>
        <v>0</v>
      </c>
      <c r="G156" s="65"/>
      <c r="H156" s="65"/>
      <c r="I156" s="168">
        <f t="shared" ref="I156" si="175">IF($C$2=1,T156,IF($C$2=2,T157,IF($C$2=3,T158,IF($C$2=4,T159, IF($C$2=5, T160, "  chyba")))))</f>
        <v>0</v>
      </c>
      <c r="J156" s="168">
        <f t="shared" ref="J156" si="176">IF($C$2=1,U156,IF($C$2=2,U157,IF($C$2=3,U158,IF($C$2=4,U159, IF($C$2=5, U160, "  chyba")))))</f>
        <v>0</v>
      </c>
      <c r="K156" s="63"/>
      <c r="L156" s="61">
        <f>Price!A156</f>
        <v>0</v>
      </c>
      <c r="M156" s="15">
        <f>Price!B156</f>
        <v>0</v>
      </c>
      <c r="N156" s="15">
        <f>Price!C156</f>
        <v>0</v>
      </c>
      <c r="O156" s="525">
        <f>Price!D156</f>
        <v>0</v>
      </c>
      <c r="P156" s="16"/>
      <c r="Q156" s="17">
        <f>Price!F156</f>
        <v>0</v>
      </c>
      <c r="R156" s="318"/>
      <c r="S156" s="318"/>
      <c r="T156" s="12">
        <f>Price!G156</f>
        <v>0</v>
      </c>
      <c r="U156" s="252">
        <f>Price!H156</f>
        <v>0</v>
      </c>
      <c r="V156" s="13"/>
      <c r="W156" s="13"/>
      <c r="X156" s="19"/>
      <c r="Y156" s="19"/>
    </row>
    <row r="157" spans="1:25" x14ac:dyDescent="0.35">
      <c r="A157" s="81"/>
      <c r="B157" s="160"/>
      <c r="C157" s="160"/>
      <c r="D157" s="528"/>
      <c r="E157" s="78"/>
      <c r="F157" s="65"/>
      <c r="G157" s="65"/>
      <c r="H157" s="65"/>
      <c r="I157" s="65"/>
      <c r="J157" s="65"/>
      <c r="K157" s="63"/>
      <c r="L157" s="61">
        <f>Price!A157</f>
        <v>0</v>
      </c>
      <c r="M157" s="15">
        <f>Price!B157</f>
        <v>0</v>
      </c>
      <c r="N157" s="15">
        <f>Price!C157</f>
        <v>0</v>
      </c>
      <c r="O157" s="525">
        <f>Price!D157</f>
        <v>0</v>
      </c>
      <c r="P157" s="16"/>
      <c r="Q157" s="17">
        <f>Price!F157</f>
        <v>0</v>
      </c>
      <c r="R157" s="318"/>
      <c r="S157" s="318"/>
      <c r="T157" s="12">
        <f>Price!G157</f>
        <v>0</v>
      </c>
      <c r="U157" s="252">
        <f>Price!H157</f>
        <v>0</v>
      </c>
      <c r="V157" s="13"/>
      <c r="W157" s="13"/>
      <c r="X157" s="19"/>
      <c r="Y157" s="19"/>
    </row>
    <row r="158" spans="1:25" x14ac:dyDescent="0.35">
      <c r="A158" s="81"/>
      <c r="B158" s="160"/>
      <c r="C158" s="160"/>
      <c r="D158" s="528"/>
      <c r="E158" s="78"/>
      <c r="F158" s="65"/>
      <c r="G158" s="65"/>
      <c r="H158" s="65"/>
      <c r="I158" s="65"/>
      <c r="J158" s="65"/>
      <c r="K158" s="63"/>
      <c r="L158" s="61">
        <f>Price!A159</f>
        <v>0</v>
      </c>
      <c r="M158" s="15">
        <f>Price!B159</f>
        <v>0</v>
      </c>
      <c r="N158" s="15">
        <f>Price!C159</f>
        <v>0</v>
      </c>
      <c r="O158" s="525">
        <f>Price!D159</f>
        <v>0</v>
      </c>
      <c r="P158" s="16"/>
      <c r="Q158" s="17">
        <f>Price!F159</f>
        <v>0</v>
      </c>
      <c r="R158" s="318"/>
      <c r="S158" s="318"/>
      <c r="T158" s="12">
        <f>Price!G159</f>
        <v>0</v>
      </c>
      <c r="U158" s="252">
        <f>Price!H159</f>
        <v>0</v>
      </c>
      <c r="V158" s="13"/>
      <c r="W158" s="13"/>
      <c r="X158" s="19"/>
      <c r="Y158" s="19"/>
    </row>
    <row r="159" spans="1:25" x14ac:dyDescent="0.35">
      <c r="A159" s="81"/>
      <c r="B159" s="160"/>
      <c r="C159" s="160"/>
      <c r="D159" s="528"/>
      <c r="E159" s="78"/>
      <c r="F159" s="65"/>
      <c r="G159" s="65"/>
      <c r="H159" s="65"/>
      <c r="I159" s="65"/>
      <c r="J159" s="65"/>
      <c r="K159" s="63"/>
      <c r="L159" s="61"/>
      <c r="M159" s="15"/>
      <c r="N159" s="15"/>
      <c r="O159" s="525"/>
      <c r="P159" s="16"/>
      <c r="Q159" s="17"/>
      <c r="R159" s="318"/>
      <c r="S159" s="318"/>
      <c r="T159" s="12"/>
      <c r="U159" s="252"/>
      <c r="V159" s="13"/>
      <c r="W159" s="13"/>
      <c r="X159" s="19"/>
      <c r="Y159" s="19"/>
    </row>
    <row r="160" spans="1:25" x14ac:dyDescent="0.35">
      <c r="A160" s="81"/>
      <c r="B160" s="160"/>
      <c r="C160" s="160"/>
      <c r="D160" s="528"/>
      <c r="E160" s="78"/>
      <c r="F160" s="65"/>
      <c r="G160" s="65"/>
      <c r="H160" s="65"/>
      <c r="I160" s="65"/>
      <c r="J160" s="65"/>
      <c r="K160" s="63"/>
      <c r="L160" s="61">
        <f>Price!A160</f>
        <v>0</v>
      </c>
      <c r="M160" s="15">
        <f>Price!B160</f>
        <v>0</v>
      </c>
      <c r="N160" s="15">
        <f>Price!C160</f>
        <v>0</v>
      </c>
      <c r="O160" s="525">
        <f>Price!D160</f>
        <v>0</v>
      </c>
      <c r="P160" s="16"/>
      <c r="Q160" s="17">
        <f>Price!F160</f>
        <v>0</v>
      </c>
      <c r="R160" s="318"/>
      <c r="S160" s="318"/>
      <c r="T160" s="12">
        <f>Price!G160</f>
        <v>0</v>
      </c>
      <c r="U160" s="252">
        <f>Price!H160</f>
        <v>0</v>
      </c>
      <c r="V160" s="13"/>
      <c r="W160" s="13"/>
      <c r="X160" s="19"/>
      <c r="Y160" s="19"/>
    </row>
    <row r="161" spans="1:25" ht="15" thickBot="1" x14ac:dyDescent="0.4">
      <c r="A161" s="86">
        <f>IF($C$2=1,L161,IF($C$2=2,L162,IF($C$2=3,L163,IF($C$2=4,L164, IF($C$2=5, L165, "  chyba")))))</f>
        <v>0</v>
      </c>
      <c r="B161" s="87">
        <f t="shared" ref="B161" si="177">IF($C$2=1,M161,IF($C$2=2,M162,IF($C$2=3,M163,IF($C$2=4,M164, IF($C$2=5, M165, "  chyba")))))</f>
        <v>0</v>
      </c>
      <c r="C161" s="87">
        <f t="shared" ref="C161" si="178">IF($C$2=1,N161,IF($C$2=2,N162,IF($C$2=3,N163,IF($C$2=4,N164, IF($C$2=5, N165, "  chyba")))))</f>
        <v>0</v>
      </c>
      <c r="D161" s="527">
        <f t="shared" ref="D161" si="179">IF($C$2=1,O161,IF($C$2=2,O162,IF($C$2=3,O163,IF($C$2=4,O164, IF($C$2=5, O165, "  chyba")))))</f>
        <v>0</v>
      </c>
      <c r="E161" s="88"/>
      <c r="F161" s="89">
        <f t="shared" ref="F161" si="180">IF($C$2=1,Q161,IF($C$2=2,Q162,IF($C$2=3,Q163,IF($C$2=4,Q164, IF($C$2=5, Q165, "  chyba")))))</f>
        <v>0</v>
      </c>
      <c r="G161" s="65"/>
      <c r="H161" s="65"/>
      <c r="I161" s="168">
        <f t="shared" ref="I161" si="181">IF($C$2=1,T161,IF($C$2=2,T162,IF($C$2=3,T163,IF($C$2=4,T164, IF($C$2=5, T165, "  chyba")))))</f>
        <v>0</v>
      </c>
      <c r="J161" s="168">
        <f t="shared" ref="J161" si="182">IF($C$2=1,U161,IF($C$2=2,U162,IF($C$2=3,U163,IF($C$2=4,U164, IF($C$2=5, U165, "  chyba")))))</f>
        <v>0</v>
      </c>
      <c r="K161" s="20"/>
      <c r="L161" s="61">
        <f>Price!A161</f>
        <v>0</v>
      </c>
      <c r="M161" s="15">
        <f>Price!B161</f>
        <v>0</v>
      </c>
      <c r="N161" s="15">
        <f>Price!C161</f>
        <v>0</v>
      </c>
      <c r="O161" s="525">
        <f>Price!D161</f>
        <v>0</v>
      </c>
      <c r="P161" s="16"/>
      <c r="Q161" s="17">
        <f>Price!F161</f>
        <v>0</v>
      </c>
      <c r="R161" s="318"/>
      <c r="S161" s="318"/>
      <c r="T161" s="12">
        <f>Price!G161</f>
        <v>0</v>
      </c>
      <c r="U161" s="252">
        <f>Price!H161</f>
        <v>0</v>
      </c>
      <c r="V161" s="13"/>
      <c r="W161" s="13"/>
      <c r="X161" s="19"/>
      <c r="Y161" s="19"/>
    </row>
    <row r="162" spans="1:25" x14ac:dyDescent="0.35">
      <c r="A162" s="81"/>
      <c r="B162" s="160"/>
      <c r="C162" s="160"/>
      <c r="D162" s="528"/>
      <c r="E162" s="78"/>
      <c r="F162" s="65"/>
      <c r="G162" s="65"/>
      <c r="H162" s="65"/>
      <c r="I162" s="65"/>
      <c r="J162" s="65"/>
      <c r="K162" s="20"/>
      <c r="L162" s="61">
        <f>Price!A162</f>
        <v>0</v>
      </c>
      <c r="M162" s="15">
        <f>Price!B162</f>
        <v>0</v>
      </c>
      <c r="N162" s="15">
        <f>Price!C162</f>
        <v>0</v>
      </c>
      <c r="O162" s="525">
        <f>Price!D162</f>
        <v>0</v>
      </c>
      <c r="P162" s="16"/>
      <c r="Q162" s="17">
        <f>Price!F162</f>
        <v>0</v>
      </c>
      <c r="R162" s="318"/>
      <c r="S162" s="318"/>
      <c r="T162" s="12">
        <f>Price!G162</f>
        <v>0</v>
      </c>
      <c r="U162" s="252">
        <f>Price!H162</f>
        <v>0</v>
      </c>
      <c r="V162" s="13"/>
      <c r="W162" s="13"/>
      <c r="X162" s="19"/>
      <c r="Y162" s="19"/>
    </row>
    <row r="163" spans="1:25" x14ac:dyDescent="0.35">
      <c r="A163" s="81"/>
      <c r="B163" s="160"/>
      <c r="C163" s="160"/>
      <c r="D163" s="528"/>
      <c r="E163" s="78"/>
      <c r="F163" s="65"/>
      <c r="G163" s="65"/>
      <c r="H163" s="65"/>
      <c r="I163" s="65"/>
      <c r="J163" s="65"/>
      <c r="K163" s="20"/>
      <c r="L163" s="61">
        <f>Price!A164</f>
        <v>0</v>
      </c>
      <c r="M163" s="15">
        <f>Price!B164</f>
        <v>0</v>
      </c>
      <c r="N163" s="15">
        <f>Price!C164</f>
        <v>0</v>
      </c>
      <c r="O163" s="525">
        <f>Price!D164</f>
        <v>0</v>
      </c>
      <c r="P163" s="16"/>
      <c r="Q163" s="17">
        <f>Price!F164</f>
        <v>0</v>
      </c>
      <c r="R163" s="318"/>
      <c r="S163" s="318"/>
      <c r="T163" s="12">
        <f>Price!G164</f>
        <v>0</v>
      </c>
      <c r="U163" s="252">
        <f>Price!H164</f>
        <v>0</v>
      </c>
      <c r="V163" s="13"/>
      <c r="W163" s="13"/>
      <c r="X163" s="19"/>
      <c r="Y163" s="19"/>
    </row>
    <row r="164" spans="1:25" x14ac:dyDescent="0.35">
      <c r="A164" s="81"/>
      <c r="B164" s="160"/>
      <c r="C164" s="160"/>
      <c r="D164" s="528"/>
      <c r="E164" s="78"/>
      <c r="F164" s="65"/>
      <c r="G164" s="65"/>
      <c r="H164" s="65"/>
      <c r="I164" s="65"/>
      <c r="J164" s="65"/>
      <c r="K164" s="20"/>
      <c r="L164" s="61"/>
      <c r="M164" s="15"/>
      <c r="N164" s="15"/>
      <c r="O164" s="525"/>
      <c r="P164" s="16"/>
      <c r="Q164" s="17"/>
      <c r="R164" s="318"/>
      <c r="S164" s="318"/>
      <c r="T164" s="12"/>
      <c r="U164" s="252"/>
      <c r="V164" s="13"/>
      <c r="W164" s="13"/>
      <c r="X164" s="19"/>
      <c r="Y164" s="19"/>
    </row>
    <row r="165" spans="1:25" x14ac:dyDescent="0.35">
      <c r="A165" s="81"/>
      <c r="B165" s="160"/>
      <c r="C165" s="160"/>
      <c r="D165" s="528"/>
      <c r="E165" s="78"/>
      <c r="F165" s="65"/>
      <c r="G165" s="65"/>
      <c r="H165" s="65"/>
      <c r="I165" s="65"/>
      <c r="J165" s="65"/>
      <c r="K165" s="62"/>
      <c r="L165" s="61">
        <f>Price!A165</f>
        <v>0</v>
      </c>
      <c r="M165" s="15">
        <f>Price!B165</f>
        <v>0</v>
      </c>
      <c r="N165" s="15">
        <f>Price!C165</f>
        <v>0</v>
      </c>
      <c r="O165" s="525">
        <f>Price!D165</f>
        <v>0</v>
      </c>
      <c r="P165" s="16"/>
      <c r="Q165" s="17">
        <f>Price!F165</f>
        <v>0</v>
      </c>
      <c r="R165" s="318"/>
      <c r="S165" s="318"/>
      <c r="T165" s="12">
        <f>Price!G165</f>
        <v>0</v>
      </c>
      <c r="U165" s="252">
        <f>Price!H165</f>
        <v>0</v>
      </c>
      <c r="V165" s="13"/>
      <c r="W165" s="13"/>
      <c r="X165" s="19"/>
      <c r="Y165" s="19"/>
    </row>
    <row r="166" spans="1:25" ht="15" thickBot="1" x14ac:dyDescent="0.4">
      <c r="A166" s="86" t="str">
        <f>IF($C$2=1,L166,IF($C$2=2,L167,IF($C$2=3,L168,IF($C$2=4,L169, IF($C$2=5, L170, "  chyba")))))</f>
        <v>Bočnice C free, 350mm, Orion šedá</v>
      </c>
      <c r="B166" s="87" t="str">
        <f t="shared" ref="B166" si="183">IF($C$2=1,M166,IF($C$2=2,M167,IF($C$2=3,M168,IF($C$2=4,M169, IF($C$2=5, M170, "  chyba")))))</f>
        <v>780C3502S</v>
      </c>
      <c r="C166" s="87" t="str">
        <f t="shared" ref="C166" si="184">IF($C$2=1,N166,IF($C$2=2,N167,IF($C$2=3,N168,IF($C$2=4,N169, IF($C$2=5, N170, "  chyba")))))</f>
        <v>OG-M</v>
      </c>
      <c r="D166" s="527">
        <f t="shared" ref="D166" si="185">IF($C$2=1,O166,IF($C$2=2,O167,IF($C$2=3,O168,IF($C$2=4,O169, IF($C$2=5, O170, "  chyba")))))</f>
        <v>0</v>
      </c>
      <c r="E166" s="88"/>
      <c r="F166" s="89">
        <f t="shared" ref="F166" si="186">IF($C$2=1,Q166,IF($C$2=2,Q167,IF($C$2=3,Q168,IF($C$2=4,Q169, IF($C$2=5, Q170, "  chyba")))))</f>
        <v>957.21118000000001</v>
      </c>
      <c r="G166" s="65"/>
      <c r="H166" s="65"/>
      <c r="I166" s="168">
        <f t="shared" ref="I166" si="187">IF($C$2=1,T166,IF($C$2=2,T167,IF($C$2=3,T168,IF($C$2=4,T169, IF($C$2=5, T170, "  chyba")))))</f>
        <v>3099055</v>
      </c>
      <c r="J166" s="168">
        <f t="shared" ref="J166" si="188">IF($C$2=1,U166,IF($C$2=2,U167,IF($C$2=3,U168,IF($C$2=4,U169, IF($C$2=5, U170, "  chyba")))))</f>
        <v>256471</v>
      </c>
      <c r="K166" s="20"/>
      <c r="L166" s="61" t="str">
        <f>Price!A166</f>
        <v>Bočnice C free, 350mm, Orion šedá</v>
      </c>
      <c r="M166" s="15" t="str">
        <f>Price!B166</f>
        <v>780C3502S</v>
      </c>
      <c r="N166" s="15" t="str">
        <f>Price!C166</f>
        <v>OG-M</v>
      </c>
      <c r="O166" s="525">
        <f>Price!D166</f>
        <v>0</v>
      </c>
      <c r="P166" s="16"/>
      <c r="Q166" s="17">
        <f>Price!F166</f>
        <v>957.21118000000001</v>
      </c>
      <c r="R166" s="318"/>
      <c r="S166" s="318"/>
      <c r="T166" s="12">
        <f>Price!G166</f>
        <v>3099055</v>
      </c>
      <c r="U166" s="252">
        <f>Price!H166</f>
        <v>256471</v>
      </c>
      <c r="V166" s="13"/>
      <c r="W166" s="13"/>
      <c r="X166" s="19"/>
      <c r="Y166" s="19"/>
    </row>
    <row r="167" spans="1:25" x14ac:dyDescent="0.35">
      <c r="A167" s="81"/>
      <c r="B167" s="160"/>
      <c r="C167" s="160"/>
      <c r="D167" s="528"/>
      <c r="E167" s="78"/>
      <c r="F167" s="65"/>
      <c r="G167" s="65"/>
      <c r="H167" s="65"/>
      <c r="I167" s="65"/>
      <c r="J167" s="65"/>
      <c r="K167" s="20"/>
      <c r="L167" s="61" t="str">
        <f>Price!A167</f>
        <v>Bočnice C free, 350mm, hedvábně bílá</v>
      </c>
      <c r="M167" s="15" t="str">
        <f>Price!B167</f>
        <v>780C3502S</v>
      </c>
      <c r="N167" s="15" t="str">
        <f>Price!C167</f>
        <v>SW-M</v>
      </c>
      <c r="O167" s="525">
        <f>Price!D167</f>
        <v>0</v>
      </c>
      <c r="P167" s="16"/>
      <c r="Q167" s="17">
        <f>Price!F167</f>
        <v>957.21118000000001</v>
      </c>
      <c r="R167" s="318"/>
      <c r="S167" s="318"/>
      <c r="T167" s="12">
        <f>Price!G167</f>
        <v>3655321</v>
      </c>
      <c r="U167" s="252">
        <f>Price!H167</f>
        <v>256470</v>
      </c>
      <c r="V167" s="13"/>
      <c r="W167" s="13"/>
      <c r="X167" s="19"/>
      <c r="Y167" s="19"/>
    </row>
    <row r="168" spans="1:25" x14ac:dyDescent="0.35">
      <c r="A168" s="81"/>
      <c r="B168" s="160"/>
      <c r="C168" s="160"/>
      <c r="D168" s="528"/>
      <c r="E168" s="78"/>
      <c r="F168" s="65"/>
      <c r="G168" s="65"/>
      <c r="H168" s="65"/>
      <c r="I168" s="65"/>
      <c r="J168" s="65"/>
      <c r="K168" s="20"/>
      <c r="L168" s="61" t="str">
        <f>Price!A168</f>
        <v>Bočnice C free, 350mm, Terra černá</v>
      </c>
      <c r="M168" s="15" t="str">
        <f>Price!B168</f>
        <v>780C3502S</v>
      </c>
      <c r="N168" s="15" t="str">
        <f>Price!C168</f>
        <v>TS-M</v>
      </c>
      <c r="O168" s="525">
        <f>Price!D168</f>
        <v>0</v>
      </c>
      <c r="P168" s="16"/>
      <c r="Q168" s="17">
        <f>Price!F168</f>
        <v>957.21118000000001</v>
      </c>
      <c r="R168" s="318"/>
      <c r="S168" s="318"/>
      <c r="T168" s="12">
        <f>Price!G168</f>
        <v>3792680</v>
      </c>
      <c r="U168" s="252">
        <f>Price!H168</f>
        <v>256472</v>
      </c>
      <c r="V168" s="13"/>
      <c r="W168" s="13"/>
      <c r="X168" s="19"/>
      <c r="Y168" s="19"/>
    </row>
    <row r="169" spans="1:25" x14ac:dyDescent="0.35">
      <c r="A169" s="81"/>
      <c r="B169" s="160"/>
      <c r="C169" s="160"/>
      <c r="D169" s="528"/>
      <c r="E169" s="78"/>
      <c r="F169" s="65"/>
      <c r="G169" s="65"/>
      <c r="H169" s="65"/>
      <c r="I169" s="65"/>
      <c r="J169" s="65"/>
      <c r="K169" s="20"/>
      <c r="L169" s="61" t="str">
        <f>Price!A169</f>
        <v>Bočnice C free, 350mm, Polar stříbrná</v>
      </c>
      <c r="M169" s="15" t="str">
        <f>Price!B169</f>
        <v>780C3502S</v>
      </c>
      <c r="N169" s="15" t="str">
        <f>Price!C169</f>
        <v>PS-M</v>
      </c>
      <c r="O169" s="525">
        <f>Price!D169</f>
        <v>0</v>
      </c>
      <c r="P169" s="16"/>
      <c r="Q169" s="17">
        <f>Price!F169</f>
        <v>957.21118000000001</v>
      </c>
      <c r="R169" s="318"/>
      <c r="S169" s="318"/>
      <c r="T169" s="12">
        <f>Price!G169</f>
        <v>6877962</v>
      </c>
      <c r="U169" s="252">
        <f>Price!H169</f>
        <v>348947</v>
      </c>
      <c r="V169" s="13"/>
      <c r="W169" s="13"/>
      <c r="X169" s="19"/>
      <c r="Y169" s="19"/>
    </row>
    <row r="170" spans="1:25" x14ac:dyDescent="0.35">
      <c r="A170" s="81"/>
      <c r="B170" s="160"/>
      <c r="C170" s="160"/>
      <c r="D170" s="528"/>
      <c r="E170" s="78"/>
      <c r="F170" s="65"/>
      <c r="G170" s="65"/>
      <c r="H170" s="65"/>
      <c r="I170" s="65"/>
      <c r="J170" s="65"/>
      <c r="K170" s="62"/>
      <c r="L170" s="61" t="str">
        <f>Price!A170</f>
        <v>Bočnice C free, 350mm, nerez</v>
      </c>
      <c r="M170" s="15" t="str">
        <f>Price!B170</f>
        <v>780C3502I</v>
      </c>
      <c r="N170" s="15" t="str">
        <f>Price!C170</f>
        <v>Inox</v>
      </c>
      <c r="O170" s="525" t="str">
        <f>Price!D170</f>
        <v>!</v>
      </c>
      <c r="P170" s="16"/>
      <c r="Q170" s="17">
        <f>Price!F170</f>
        <v>1811.01784</v>
      </c>
      <c r="R170" s="318"/>
      <c r="S170" s="318"/>
      <c r="T170" s="12">
        <f>Price!G170</f>
        <v>3924789</v>
      </c>
      <c r="U170" s="252">
        <f>Price!H170</f>
        <v>256473</v>
      </c>
      <c r="V170" s="13"/>
      <c r="W170" s="13"/>
      <c r="X170" s="19"/>
      <c r="Y170" s="19"/>
    </row>
    <row r="171" spans="1:25" ht="15" thickBot="1" x14ac:dyDescent="0.4">
      <c r="A171" s="86" t="str">
        <f>IF($C$2=1,L171,IF($C$2=2,L172,IF($C$2=3,L173,IF($C$2=4,L174, IF($C$2=5, L175, "  chyba")))))</f>
        <v>Bočnice C free, 400mm, Orion šedá</v>
      </c>
      <c r="B171" s="87" t="str">
        <f t="shared" ref="B171" si="189">IF($C$2=1,M171,IF($C$2=2,M172,IF($C$2=3,M173,IF($C$2=4,M174, IF($C$2=5, M175, "  chyba")))))</f>
        <v>780C4002S</v>
      </c>
      <c r="C171" s="87" t="str">
        <f t="shared" ref="C171" si="190">IF($C$2=1,N171,IF($C$2=2,N172,IF($C$2=3,N173,IF($C$2=4,N174, IF($C$2=5, N175, "  chyba")))))</f>
        <v>OG-M</v>
      </c>
      <c r="D171" s="527">
        <f t="shared" ref="D171" si="191">IF($C$2=1,O171,IF($C$2=2,O172,IF($C$2=3,O173,IF($C$2=4,O174, IF($C$2=5, O175, "  chyba")))))</f>
        <v>0</v>
      </c>
      <c r="E171" s="88"/>
      <c r="F171" s="89">
        <f t="shared" ref="F171" si="192">IF($C$2=1,Q171,IF($C$2=2,Q172,IF($C$2=3,Q173,IF($C$2=4,Q174, IF($C$2=5, Q175, "  chyba")))))</f>
        <v>964.26940999999999</v>
      </c>
      <c r="G171" s="65"/>
      <c r="H171" s="65"/>
      <c r="I171" s="168">
        <f t="shared" ref="I171" si="193">IF($C$2=1,T171,IF($C$2=2,T172,IF($C$2=3,T173,IF($C$2=4,T174, IF($C$2=5, T175, "  chyba")))))</f>
        <v>4025444</v>
      </c>
      <c r="J171" s="168">
        <f t="shared" ref="J171" si="194">IF($C$2=1,U171,IF($C$2=2,U172,IF($C$2=3,U173,IF($C$2=4,U174, IF($C$2=5, U175, "  chyba")))))</f>
        <v>256475</v>
      </c>
      <c r="K171" s="20"/>
      <c r="L171" s="61" t="str">
        <f>Price!A171</f>
        <v>Bočnice C free, 400mm, Orion šedá</v>
      </c>
      <c r="M171" s="15" t="str">
        <f>Price!B171</f>
        <v>780C4002S</v>
      </c>
      <c r="N171" s="15" t="str">
        <f>Price!C171</f>
        <v>OG-M</v>
      </c>
      <c r="O171" s="525">
        <f>Price!D171</f>
        <v>0</v>
      </c>
      <c r="P171" s="16"/>
      <c r="Q171" s="17">
        <f>Price!F171</f>
        <v>964.26940999999999</v>
      </c>
      <c r="R171" s="318"/>
      <c r="S171" s="318"/>
      <c r="T171" s="12">
        <f>Price!G171</f>
        <v>4025444</v>
      </c>
      <c r="U171" s="252">
        <f>Price!H171</f>
        <v>256475</v>
      </c>
      <c r="V171" s="13"/>
      <c r="W171" s="13"/>
      <c r="X171" s="19"/>
      <c r="Y171" s="19"/>
    </row>
    <row r="172" spans="1:25" x14ac:dyDescent="0.35">
      <c r="A172" s="81"/>
      <c r="B172" s="160"/>
      <c r="C172" s="160"/>
      <c r="D172" s="528"/>
      <c r="E172" s="78"/>
      <c r="F172" s="65"/>
      <c r="G172" s="65"/>
      <c r="H172" s="65"/>
      <c r="I172" s="65"/>
      <c r="J172" s="65"/>
      <c r="K172" s="20"/>
      <c r="L172" s="61" t="str">
        <f>Price!A172</f>
        <v>Bočnice C free, 400mm, hedvábně bílá</v>
      </c>
      <c r="M172" s="15" t="str">
        <f>Price!B172</f>
        <v>780C4002S</v>
      </c>
      <c r="N172" s="15" t="str">
        <f>Price!C172</f>
        <v>SW-M</v>
      </c>
      <c r="O172" s="525">
        <f>Price!D172</f>
        <v>0</v>
      </c>
      <c r="P172" s="16"/>
      <c r="Q172" s="17">
        <f>Price!F172</f>
        <v>964.26940999999999</v>
      </c>
      <c r="R172" s="318"/>
      <c r="S172" s="318"/>
      <c r="T172" s="12">
        <f>Price!G172</f>
        <v>4154009</v>
      </c>
      <c r="U172" s="252">
        <f>Price!H172</f>
        <v>256474</v>
      </c>
      <c r="V172" s="13"/>
      <c r="W172" s="13"/>
      <c r="X172" s="19"/>
      <c r="Y172" s="19"/>
    </row>
    <row r="173" spans="1:25" x14ac:dyDescent="0.35">
      <c r="A173" s="81"/>
      <c r="B173" s="160"/>
      <c r="C173" s="160"/>
      <c r="D173" s="528"/>
      <c r="E173" s="78"/>
      <c r="F173" s="65"/>
      <c r="G173" s="65"/>
      <c r="H173" s="65"/>
      <c r="I173" s="65"/>
      <c r="J173" s="65"/>
      <c r="K173" s="20"/>
      <c r="L173" s="61" t="str">
        <f>Price!A173</f>
        <v>Bočnice C free, 400mm, Terra černá</v>
      </c>
      <c r="M173" s="15" t="str">
        <f>Price!B173</f>
        <v>780C4002S</v>
      </c>
      <c r="N173" s="15" t="str">
        <f>Price!C173</f>
        <v>TS-M</v>
      </c>
      <c r="O173" s="525">
        <f>Price!D173</f>
        <v>0</v>
      </c>
      <c r="P173" s="16"/>
      <c r="Q173" s="17">
        <f>Price!F173</f>
        <v>964.26940999999999</v>
      </c>
      <c r="R173" s="318"/>
      <c r="S173" s="318"/>
      <c r="T173" s="12">
        <f>Price!G173</f>
        <v>4156714</v>
      </c>
      <c r="U173" s="252">
        <f>Price!H173</f>
        <v>256476</v>
      </c>
      <c r="V173" s="13"/>
      <c r="W173" s="13"/>
      <c r="X173" s="19"/>
      <c r="Y173" s="19"/>
    </row>
    <row r="174" spans="1:25" x14ac:dyDescent="0.35">
      <c r="A174" s="81"/>
      <c r="B174" s="160"/>
      <c r="C174" s="160"/>
      <c r="D174" s="528"/>
      <c r="E174" s="78"/>
      <c r="F174" s="65"/>
      <c r="G174" s="65"/>
      <c r="H174" s="65"/>
      <c r="I174" s="65"/>
      <c r="J174" s="65"/>
      <c r="K174" s="20"/>
      <c r="L174" s="61" t="str">
        <f>Price!A174</f>
        <v>Bočnice C free, 400mm, Polar stříbrná</v>
      </c>
      <c r="M174" s="15" t="str">
        <f>Price!B174</f>
        <v>780C4002S</v>
      </c>
      <c r="N174" s="15" t="str">
        <f>Price!C174</f>
        <v>PS-M</v>
      </c>
      <c r="O174" s="525">
        <f>Price!D174</f>
        <v>0</v>
      </c>
      <c r="P174" s="16"/>
      <c r="Q174" s="17">
        <f>Price!F174</f>
        <v>964.26940999999999</v>
      </c>
      <c r="R174" s="318"/>
      <c r="S174" s="318"/>
      <c r="T174" s="12">
        <f>Price!G174</f>
        <v>2040252</v>
      </c>
      <c r="U174" s="252">
        <f>Price!H174</f>
        <v>348948</v>
      </c>
      <c r="V174" s="13"/>
      <c r="W174" s="13"/>
      <c r="X174" s="19"/>
      <c r="Y174" s="19"/>
    </row>
    <row r="175" spans="1:25" x14ac:dyDescent="0.35">
      <c r="A175" s="81"/>
      <c r="B175" s="160"/>
      <c r="C175" s="160"/>
      <c r="D175" s="528"/>
      <c r="E175" s="78"/>
      <c r="F175" s="65"/>
      <c r="G175" s="65"/>
      <c r="H175" s="65"/>
      <c r="I175" s="65"/>
      <c r="J175" s="65"/>
      <c r="K175" s="62"/>
      <c r="L175" s="61" t="str">
        <f>Price!A175</f>
        <v>Bočnice C free, 400mm, nerez</v>
      </c>
      <c r="M175" s="15" t="str">
        <f>Price!B175</f>
        <v>780C4002I</v>
      </c>
      <c r="N175" s="15" t="str">
        <f>Price!C175</f>
        <v>Inox</v>
      </c>
      <c r="O175" s="525" t="str">
        <f>Price!D175</f>
        <v>!</v>
      </c>
      <c r="P175" s="16"/>
      <c r="Q175" s="17">
        <f>Price!F175</f>
        <v>1835.7345399999999</v>
      </c>
      <c r="R175" s="318"/>
      <c r="S175" s="318"/>
      <c r="T175" s="12">
        <f>Price!G175</f>
        <v>4182057</v>
      </c>
      <c r="U175" s="252">
        <f>Price!H175</f>
        <v>256477</v>
      </c>
      <c r="V175" s="13"/>
      <c r="W175" s="13"/>
      <c r="X175" s="19"/>
      <c r="Y175" s="19"/>
    </row>
    <row r="176" spans="1:25" ht="15" thickBot="1" x14ac:dyDescent="0.4">
      <c r="A176" s="86" t="str">
        <f>IF($C$2=1,L176,IF($C$2=2,L177,IF($C$2=3,L178,IF($C$2=4,L179, IF($C$2=5, L180, "  chyba")))))</f>
        <v>Bočnice C free, 450mm, Orion šedá</v>
      </c>
      <c r="B176" s="87" t="str">
        <f t="shared" ref="B176" si="195">IF($C$2=1,M176,IF($C$2=2,M177,IF($C$2=3,M178,IF($C$2=4,M179, IF($C$2=5, M180, "  chyba")))))</f>
        <v>780C4502S</v>
      </c>
      <c r="C176" s="87" t="str">
        <f t="shared" ref="C176" si="196">IF($C$2=1,N176,IF($C$2=2,N177,IF($C$2=3,N178,IF($C$2=4,N179, IF($C$2=5, N180, "  chyba")))))</f>
        <v>OG-M</v>
      </c>
      <c r="D176" s="527">
        <f t="shared" ref="D176" si="197">IF($C$2=1,O176,IF($C$2=2,O177,IF($C$2=3,O178,IF($C$2=4,O179, IF($C$2=5, O180, "  chyba")))))</f>
        <v>0</v>
      </c>
      <c r="E176" s="88"/>
      <c r="F176" s="89">
        <f t="shared" ref="F176" si="198">IF($C$2=1,Q176,IF($C$2=2,Q177,IF($C$2=3,Q178,IF($C$2=4,Q179, IF($C$2=5, Q180, "  chyba")))))</f>
        <v>971.33302000000003</v>
      </c>
      <c r="G176" s="65"/>
      <c r="H176" s="65"/>
      <c r="I176" s="168">
        <f t="shared" ref="I176" si="199">IF($C$2=1,T176,IF($C$2=2,T177,IF($C$2=3,T178,IF($C$2=4,T179, IF($C$2=5, T180, "  chyba")))))</f>
        <v>4205596</v>
      </c>
      <c r="J176" s="168">
        <f t="shared" ref="J176" si="200">IF($C$2=1,U176,IF($C$2=2,U177,IF($C$2=3,U178,IF($C$2=4,U179, IF($C$2=5, U180, "  chyba")))))</f>
        <v>256479</v>
      </c>
      <c r="K176" s="20"/>
      <c r="L176" s="61" t="str">
        <f>Price!A176</f>
        <v>Bočnice C free, 450mm, Orion šedá</v>
      </c>
      <c r="M176" s="15" t="str">
        <f>Price!B176</f>
        <v>780C4502S</v>
      </c>
      <c r="N176" s="15" t="str">
        <f>Price!C176</f>
        <v>OG-M</v>
      </c>
      <c r="O176" s="525">
        <f>Price!D176</f>
        <v>0</v>
      </c>
      <c r="P176" s="16"/>
      <c r="Q176" s="17">
        <f>Price!F176</f>
        <v>971.33302000000003</v>
      </c>
      <c r="R176" s="318"/>
      <c r="S176" s="318"/>
      <c r="T176" s="12">
        <f>Price!G176</f>
        <v>4205596</v>
      </c>
      <c r="U176" s="252">
        <f>Price!H176</f>
        <v>256479</v>
      </c>
      <c r="V176" s="13"/>
      <c r="W176" s="13"/>
      <c r="X176" s="19"/>
      <c r="Y176" s="19"/>
    </row>
    <row r="177" spans="1:25" x14ac:dyDescent="0.35">
      <c r="A177" s="81"/>
      <c r="B177" s="160"/>
      <c r="C177" s="160"/>
      <c r="D177" s="528"/>
      <c r="E177" s="78"/>
      <c r="F177" s="65"/>
      <c r="G177" s="65"/>
      <c r="H177" s="65"/>
      <c r="I177" s="65"/>
      <c r="J177" s="65"/>
      <c r="K177" s="20"/>
      <c r="L177" s="61" t="str">
        <f>Price!A177</f>
        <v>Bočnice C free, 450mm, hedvábně bílá</v>
      </c>
      <c r="M177" s="15" t="str">
        <f>Price!B177</f>
        <v>780C4502S</v>
      </c>
      <c r="N177" s="15" t="str">
        <f>Price!C177</f>
        <v>SW-M</v>
      </c>
      <c r="O177" s="525">
        <f>Price!D177</f>
        <v>0</v>
      </c>
      <c r="P177" s="16"/>
      <c r="Q177" s="17">
        <f>Price!F177</f>
        <v>971.33302000000003</v>
      </c>
      <c r="R177" s="318"/>
      <c r="S177" s="318"/>
      <c r="T177" s="12">
        <f>Price!G177</f>
        <v>4274411</v>
      </c>
      <c r="U177" s="252">
        <f>Price!H177</f>
        <v>256478</v>
      </c>
      <c r="V177" s="13"/>
      <c r="W177" s="13"/>
      <c r="X177" s="19"/>
      <c r="Y177" s="19"/>
    </row>
    <row r="178" spans="1:25" x14ac:dyDescent="0.35">
      <c r="A178" s="81"/>
      <c r="B178" s="160"/>
      <c r="C178" s="160"/>
      <c r="D178" s="528"/>
      <c r="E178" s="78"/>
      <c r="F178" s="65"/>
      <c r="G178" s="65"/>
      <c r="H178" s="65"/>
      <c r="I178" s="65"/>
      <c r="J178" s="65"/>
      <c r="K178" s="20"/>
      <c r="L178" s="61" t="str">
        <f>Price!A178</f>
        <v>Bočnice C free, 450mm, Terra černá</v>
      </c>
      <c r="M178" s="15" t="str">
        <f>Price!B178</f>
        <v>780C4502S</v>
      </c>
      <c r="N178" s="15" t="str">
        <f>Price!C178</f>
        <v>TS-M</v>
      </c>
      <c r="O178" s="525">
        <f>Price!D178</f>
        <v>0</v>
      </c>
      <c r="P178" s="16"/>
      <c r="Q178" s="17">
        <f>Price!F178</f>
        <v>971.33302000000003</v>
      </c>
      <c r="R178" s="318"/>
      <c r="S178" s="318"/>
      <c r="T178" s="12">
        <f>Price!G178</f>
        <v>4883795</v>
      </c>
      <c r="U178" s="252">
        <f>Price!H178</f>
        <v>256480</v>
      </c>
      <c r="V178" s="13"/>
      <c r="W178" s="13"/>
      <c r="X178" s="19"/>
      <c r="Y178" s="19"/>
    </row>
    <row r="179" spans="1:25" x14ac:dyDescent="0.35">
      <c r="A179" s="81"/>
      <c r="B179" s="160"/>
      <c r="C179" s="160"/>
      <c r="D179" s="528"/>
      <c r="E179" s="78"/>
      <c r="F179" s="65"/>
      <c r="G179" s="65"/>
      <c r="H179" s="65"/>
      <c r="I179" s="65"/>
      <c r="J179" s="65"/>
      <c r="K179" s="20"/>
      <c r="L179" s="61" t="str">
        <f>Price!A179</f>
        <v>Bočnice C free, 450mm, Polar stříbrná</v>
      </c>
      <c r="M179" s="15" t="str">
        <f>Price!B179</f>
        <v>780C4502S</v>
      </c>
      <c r="N179" s="15" t="str">
        <f>Price!C179</f>
        <v>PS-M</v>
      </c>
      <c r="O179" s="525">
        <f>Price!D179</f>
        <v>0</v>
      </c>
      <c r="P179" s="16"/>
      <c r="Q179" s="17">
        <f>Price!F179</f>
        <v>971.33302000000003</v>
      </c>
      <c r="R179" s="318"/>
      <c r="S179" s="318"/>
      <c r="T179" s="12">
        <f>Price!G179</f>
        <v>6580371</v>
      </c>
      <c r="U179" s="252">
        <f>Price!H179</f>
        <v>348950</v>
      </c>
      <c r="V179" s="13"/>
      <c r="W179" s="13"/>
      <c r="X179" s="19"/>
      <c r="Y179" s="19"/>
    </row>
    <row r="180" spans="1:25" x14ac:dyDescent="0.35">
      <c r="A180" s="81"/>
      <c r="B180" s="160"/>
      <c r="C180" s="160"/>
      <c r="D180" s="528"/>
      <c r="E180" s="78"/>
      <c r="F180" s="65"/>
      <c r="G180" s="65"/>
      <c r="H180" s="65"/>
      <c r="I180" s="65"/>
      <c r="J180" s="65"/>
      <c r="K180" s="62"/>
      <c r="L180" s="61" t="str">
        <f>Price!A180</f>
        <v>Bočnice C free, 450mm, nerez</v>
      </c>
      <c r="M180" s="15" t="str">
        <f>Price!B180</f>
        <v>780C4502I</v>
      </c>
      <c r="N180" s="15" t="str">
        <f>Price!C180</f>
        <v>Inox</v>
      </c>
      <c r="O180" s="525" t="str">
        <f>Price!D180</f>
        <v>!</v>
      </c>
      <c r="P180" s="16"/>
      <c r="Q180" s="17">
        <f>Price!F180</f>
        <v>1860.45182</v>
      </c>
      <c r="R180" s="318"/>
      <c r="S180" s="318"/>
      <c r="T180" s="12">
        <f>Price!G180</f>
        <v>4964668</v>
      </c>
      <c r="U180" s="252">
        <f>Price!H180</f>
        <v>256481</v>
      </c>
      <c r="V180" s="13"/>
      <c r="W180" s="13"/>
      <c r="X180" s="19"/>
      <c r="Y180" s="19"/>
    </row>
    <row r="181" spans="1:25" ht="15" thickBot="1" x14ac:dyDescent="0.4">
      <c r="A181" s="86" t="str">
        <f>IF($C$2=1,L181,IF($C$2=2,L182,IF($C$2=3,L183,IF($C$2=4,L184, IF($C$2=5, L185, "  chyba")))))</f>
        <v>Bočnice C free, 500mm, Orion šedá</v>
      </c>
      <c r="B181" s="87" t="str">
        <f>IF($C$2=1,M181,IF($C$2=2,M182,IF($C$2=3,M183,IF($C$2=4,M184, IF($C$2=5, M185, "  chyba")))))</f>
        <v>780C5002S</v>
      </c>
      <c r="C181" s="87" t="str">
        <f>IF($C$2=1,N181,IF($C$2=2,N182,IF($C$2=3,N183,IF($C$2=4,N184, IF($C$2=5, N185, "  chyba")))))</f>
        <v>OG-M</v>
      </c>
      <c r="D181" s="527">
        <f>IF($C$2=1,O181,IF($C$2=2,O182,IF($C$2=3,O183,IF($C$2=4,O184, IF($C$2=5, O185, "  chyba")))))</f>
        <v>0</v>
      </c>
      <c r="E181" s="88"/>
      <c r="F181" s="89">
        <f>IF($C$2=1,Q181,IF($C$2=2,Q182,IF($C$2=3,Q183,IF($C$2=4,Q184, IF($C$2=5, Q185, "  chyba")))))</f>
        <v>978.39665000000002</v>
      </c>
      <c r="G181" s="65"/>
      <c r="H181" s="65"/>
      <c r="I181" s="168">
        <f>IF($C$2=1,T181,IF($C$2=2,T182,IF($C$2=3,T183,IF($C$2=4,T184, IF($C$2=5, T185, "  chyba")))))</f>
        <v>5095220</v>
      </c>
      <c r="J181" s="168">
        <f>IF($C$2=1,U181,IF($C$2=2,U182,IF($C$2=3,U183,IF($C$2=4,U184, IF($C$2=5, U185, "  chyba")))))</f>
        <v>256483</v>
      </c>
      <c r="K181" s="20"/>
      <c r="L181" s="61" t="str">
        <f>Price!A181</f>
        <v>Bočnice C free, 500mm, Orion šedá</v>
      </c>
      <c r="M181" s="15" t="str">
        <f>Price!B181</f>
        <v>780C5002S</v>
      </c>
      <c r="N181" s="15" t="str">
        <f>Price!C181</f>
        <v>OG-M</v>
      </c>
      <c r="O181" s="525">
        <f>Price!D181</f>
        <v>0</v>
      </c>
      <c r="P181" s="16"/>
      <c r="Q181" s="17">
        <f>Price!F181</f>
        <v>978.39665000000002</v>
      </c>
      <c r="R181" s="318"/>
      <c r="S181" s="318"/>
      <c r="T181" s="12">
        <f>Price!G181</f>
        <v>5095220</v>
      </c>
      <c r="U181" s="252">
        <f>Price!H181</f>
        <v>256483</v>
      </c>
      <c r="V181" s="13"/>
      <c r="W181" s="13"/>
      <c r="X181" s="19"/>
      <c r="Y181" s="19"/>
    </row>
    <row r="182" spans="1:25" x14ac:dyDescent="0.35">
      <c r="A182" s="81"/>
      <c r="B182" s="160"/>
      <c r="C182" s="160"/>
      <c r="D182" s="528"/>
      <c r="E182" s="78"/>
      <c r="F182" s="65"/>
      <c r="G182" s="65"/>
      <c r="H182" s="65"/>
      <c r="I182" s="65"/>
      <c r="J182" s="65"/>
      <c r="K182" s="20"/>
      <c r="L182" s="61" t="str">
        <f>Price!A182</f>
        <v>Bočnice C free, 500mm, hedvábně bílá</v>
      </c>
      <c r="M182" s="15" t="str">
        <f>Price!B182</f>
        <v>780C5002S</v>
      </c>
      <c r="N182" s="15" t="str">
        <f>Price!C182</f>
        <v>SW-M</v>
      </c>
      <c r="O182" s="525">
        <f>Price!D182</f>
        <v>0</v>
      </c>
      <c r="P182" s="16"/>
      <c r="Q182" s="17">
        <f>Price!F182</f>
        <v>978.39665000000002</v>
      </c>
      <c r="R182" s="318"/>
      <c r="S182" s="318"/>
      <c r="T182" s="12">
        <f>Price!G182</f>
        <v>5222798</v>
      </c>
      <c r="U182" s="252">
        <f>Price!H182</f>
        <v>256482</v>
      </c>
      <c r="V182" s="13"/>
      <c r="W182" s="13"/>
      <c r="X182" s="19"/>
      <c r="Y182" s="19"/>
    </row>
    <row r="183" spans="1:25" x14ac:dyDescent="0.35">
      <c r="A183" s="81"/>
      <c r="B183" s="160"/>
      <c r="C183" s="160"/>
      <c r="D183" s="528"/>
      <c r="E183" s="78"/>
      <c r="F183" s="65"/>
      <c r="G183" s="65"/>
      <c r="H183" s="65"/>
      <c r="I183" s="65"/>
      <c r="J183" s="65"/>
      <c r="K183" s="62"/>
      <c r="L183" s="61" t="str">
        <f>Price!A183</f>
        <v>Bočnice C free, 500mm, Terra černá</v>
      </c>
      <c r="M183" s="15" t="str">
        <f>Price!B183</f>
        <v>780C5002S</v>
      </c>
      <c r="N183" s="15" t="str">
        <f>Price!C183</f>
        <v>TS-M</v>
      </c>
      <c r="O183" s="525">
        <f>Price!D183</f>
        <v>0</v>
      </c>
      <c r="P183" s="16"/>
      <c r="Q183" s="17">
        <f>Price!F183</f>
        <v>978.39665000000002</v>
      </c>
      <c r="R183" s="318"/>
      <c r="S183" s="318"/>
      <c r="T183" s="12">
        <f>Price!G183</f>
        <v>5286912</v>
      </c>
      <c r="U183" s="252">
        <f>Price!H183</f>
        <v>256484</v>
      </c>
      <c r="V183" s="13"/>
      <c r="W183" s="13"/>
      <c r="X183" s="19"/>
      <c r="Y183" s="19"/>
    </row>
    <row r="184" spans="1:25" x14ac:dyDescent="0.35">
      <c r="A184" s="81"/>
      <c r="B184" s="160"/>
      <c r="C184" s="160"/>
      <c r="D184" s="528"/>
      <c r="E184" s="78"/>
      <c r="F184" s="65"/>
      <c r="G184" s="65"/>
      <c r="H184" s="65"/>
      <c r="I184" s="65"/>
      <c r="J184" s="65"/>
      <c r="K184" s="62"/>
      <c r="L184" s="61" t="str">
        <f>Price!A184</f>
        <v>Bočnice C free, 500mm, Polar stříbrná</v>
      </c>
      <c r="M184" s="15" t="str">
        <f>Price!B184</f>
        <v>780C5002S</v>
      </c>
      <c r="N184" s="15" t="str">
        <f>Price!C184</f>
        <v>PS-M</v>
      </c>
      <c r="O184" s="525">
        <f>Price!D184</f>
        <v>0</v>
      </c>
      <c r="P184" s="16"/>
      <c r="Q184" s="17">
        <f>Price!F184</f>
        <v>978.39665000000002</v>
      </c>
      <c r="R184" s="318"/>
      <c r="S184" s="318"/>
      <c r="T184" s="12">
        <f>Price!G184</f>
        <v>5338349</v>
      </c>
      <c r="U184" s="252">
        <f>Price!H184</f>
        <v>348951</v>
      </c>
      <c r="V184" s="13"/>
      <c r="W184" s="13"/>
      <c r="X184" s="19"/>
      <c r="Y184" s="19"/>
    </row>
    <row r="185" spans="1:25" x14ac:dyDescent="0.35">
      <c r="A185" s="81"/>
      <c r="B185" s="160"/>
      <c r="C185" s="160"/>
      <c r="D185" s="528"/>
      <c r="E185" s="78"/>
      <c r="F185" s="65"/>
      <c r="G185" s="65"/>
      <c r="H185" s="65"/>
      <c r="I185" s="65"/>
      <c r="J185" s="65"/>
      <c r="K185" s="20"/>
      <c r="L185" s="61" t="str">
        <f>Price!A185</f>
        <v>Bočnice C free, 500mm, nerez</v>
      </c>
      <c r="M185" s="15" t="str">
        <f>Price!B185</f>
        <v>780C5002I</v>
      </c>
      <c r="N185" s="15" t="str">
        <f>Price!C185</f>
        <v>Inox</v>
      </c>
      <c r="O185" s="525" t="str">
        <f>Price!D185</f>
        <v>!</v>
      </c>
      <c r="P185" s="16"/>
      <c r="Q185" s="17">
        <f>Price!F185</f>
        <v>1885.1685</v>
      </c>
      <c r="R185" s="318"/>
      <c r="S185" s="318"/>
      <c r="T185" s="12">
        <f>Price!G185</f>
        <v>5605893</v>
      </c>
      <c r="U185" s="252">
        <f>Price!H185</f>
        <v>256485</v>
      </c>
      <c r="V185" s="13"/>
      <c r="W185" s="13"/>
      <c r="X185" s="19"/>
      <c r="Y185" s="19"/>
    </row>
    <row r="186" spans="1:25" ht="15" thickBot="1" x14ac:dyDescent="0.4">
      <c r="A186" s="86" t="str">
        <f>IF($C$2=1,L186,IF($C$2=2,L187,IF($C$2=3,L188,IF($C$2=4,L189, IF($C$2=5, L190, "  chyba")))))</f>
        <v>Bočnice C free, 550mm, Orion šedá</v>
      </c>
      <c r="B186" s="87" t="str">
        <f t="shared" ref="B186" si="201">IF($C$2=1,M186,IF($C$2=2,M187,IF($C$2=3,M188,IF($C$2=4,M189, IF($C$2=5, M190, "  chyba")))))</f>
        <v>780C5502S</v>
      </c>
      <c r="C186" s="87" t="str">
        <f t="shared" ref="C186" si="202">IF($C$2=1,N186,IF($C$2=2,N187,IF($C$2=3,N188,IF($C$2=4,N189, IF($C$2=5, N190, "  chyba")))))</f>
        <v>OG-M</v>
      </c>
      <c r="D186" s="527">
        <f t="shared" ref="D186" si="203">IF($C$2=1,O186,IF($C$2=2,O187,IF($C$2=3,O188,IF($C$2=4,O189, IF($C$2=5, O190, "  chyba")))))</f>
        <v>0</v>
      </c>
      <c r="E186" s="88"/>
      <c r="F186" s="89">
        <f t="shared" ref="F186" si="204">IF($C$2=1,Q186,IF($C$2=2,Q187,IF($C$2=3,Q188,IF($C$2=4,Q189, IF($C$2=5, Q190, "  chyba")))))</f>
        <v>1034.8882699999999</v>
      </c>
      <c r="G186" s="65"/>
      <c r="H186" s="65"/>
      <c r="I186" s="168">
        <f t="shared" ref="I186" si="205">IF($C$2=1,T186,IF($C$2=2,T187,IF($C$2=3,T188,IF($C$2=4,T189, IF($C$2=5, T190, "  chyba")))))</f>
        <v>7038294</v>
      </c>
      <c r="J186" s="168">
        <f t="shared" ref="J186" si="206">IF($C$2=1,U186,IF($C$2=2,U187,IF($C$2=3,U188,IF($C$2=4,U189, IF($C$2=5, U190, "  chyba")))))</f>
        <v>256486</v>
      </c>
      <c r="K186" s="20"/>
      <c r="L186" s="61" t="str">
        <f>Price!A186</f>
        <v>Bočnice C free, 550mm, Orion šedá</v>
      </c>
      <c r="M186" s="15" t="str">
        <f>Price!B186</f>
        <v>780C5502S</v>
      </c>
      <c r="N186" s="15" t="str">
        <f>Price!C186</f>
        <v>OG-M</v>
      </c>
      <c r="O186" s="525">
        <f>Price!D186</f>
        <v>0</v>
      </c>
      <c r="P186" s="16"/>
      <c r="Q186" s="17">
        <f>Price!F186</f>
        <v>1034.8882699999999</v>
      </c>
      <c r="R186" s="318"/>
      <c r="S186" s="318"/>
      <c r="T186" s="12">
        <f>Price!G186</f>
        <v>7038294</v>
      </c>
      <c r="U186" s="252">
        <f>Price!H186</f>
        <v>256486</v>
      </c>
      <c r="V186" s="13"/>
      <c r="W186" s="13"/>
      <c r="X186" s="19"/>
      <c r="Y186" s="19"/>
    </row>
    <row r="187" spans="1:25" x14ac:dyDescent="0.35">
      <c r="A187" s="81"/>
      <c r="B187" s="160"/>
      <c r="C187" s="160"/>
      <c r="D187" s="528"/>
      <c r="E187" s="78"/>
      <c r="F187" s="65"/>
      <c r="G187" s="65"/>
      <c r="H187" s="65"/>
      <c r="I187" s="65"/>
      <c r="J187" s="65"/>
      <c r="K187" s="62"/>
      <c r="L187" s="61" t="str">
        <f>Price!A187</f>
        <v>Bočnice C free, 550mm, hedvábně bílá</v>
      </c>
      <c r="M187" s="15" t="str">
        <f>Price!B187</f>
        <v>780C5502S</v>
      </c>
      <c r="N187" s="15" t="str">
        <f>Price!C187</f>
        <v>SW-M</v>
      </c>
      <c r="O187" s="525">
        <f>Price!D187</f>
        <v>0</v>
      </c>
      <c r="P187" s="16"/>
      <c r="Q187" s="17">
        <f>Price!F187</f>
        <v>1034.8882699999999</v>
      </c>
      <c r="R187" s="318"/>
      <c r="S187" s="318"/>
      <c r="T187" s="12">
        <f>Price!G187</f>
        <v>7222585</v>
      </c>
      <c r="U187" s="252">
        <f>Price!H187</f>
        <v>256487</v>
      </c>
      <c r="V187" s="13"/>
      <c r="W187" s="13"/>
      <c r="X187" s="19"/>
      <c r="Y187" s="19"/>
    </row>
    <row r="188" spans="1:25" x14ac:dyDescent="0.35">
      <c r="A188" s="81"/>
      <c r="B188" s="160"/>
      <c r="C188" s="160"/>
      <c r="D188" s="528"/>
      <c r="E188" s="78"/>
      <c r="F188" s="65"/>
      <c r="G188" s="65"/>
      <c r="H188" s="65"/>
      <c r="I188" s="65"/>
      <c r="J188" s="65"/>
      <c r="K188" s="63"/>
      <c r="L188" s="61" t="str">
        <f>Price!A188</f>
        <v>Bočnice C free, 550mm, Terra černá</v>
      </c>
      <c r="M188" s="15" t="str">
        <f>Price!B188</f>
        <v>780C5502S</v>
      </c>
      <c r="N188" s="15" t="str">
        <f>Price!C188</f>
        <v>TS-M</v>
      </c>
      <c r="O188" s="525">
        <f>Price!D188</f>
        <v>0</v>
      </c>
      <c r="P188" s="16"/>
      <c r="Q188" s="17">
        <f>Price!F188</f>
        <v>1034.8882699999999</v>
      </c>
      <c r="R188" s="318"/>
      <c r="S188" s="318"/>
      <c r="T188" s="12">
        <f>Price!G188</f>
        <v>7307946</v>
      </c>
      <c r="U188" s="252">
        <f>Price!H188</f>
        <v>256488</v>
      </c>
      <c r="V188" s="13"/>
      <c r="W188" s="13"/>
      <c r="X188" s="19"/>
      <c r="Y188" s="19"/>
    </row>
    <row r="189" spans="1:25" x14ac:dyDescent="0.35">
      <c r="A189" s="81"/>
      <c r="B189" s="160"/>
      <c r="C189" s="160"/>
      <c r="D189" s="528"/>
      <c r="E189" s="78"/>
      <c r="F189" s="65"/>
      <c r="G189" s="65"/>
      <c r="H189" s="65"/>
      <c r="I189" s="65"/>
      <c r="J189" s="65"/>
      <c r="K189" s="63"/>
      <c r="L189" s="61" t="str">
        <f>Price!A189</f>
        <v>Bočnice C free, 550mm, Polar stříbrná</v>
      </c>
      <c r="M189" s="15" t="str">
        <f>Price!B189</f>
        <v>780C5502S</v>
      </c>
      <c r="N189" s="15" t="str">
        <f>Price!C189</f>
        <v>PS-M</v>
      </c>
      <c r="O189" s="525">
        <f>Price!D189</f>
        <v>0</v>
      </c>
      <c r="P189" s="16"/>
      <c r="Q189" s="17">
        <f>Price!F189</f>
        <v>1034.8882699999999</v>
      </c>
      <c r="R189" s="318"/>
      <c r="S189" s="318"/>
      <c r="T189" s="12">
        <f>Price!G189</f>
        <v>5361734</v>
      </c>
      <c r="U189" s="252">
        <f>Price!H189</f>
        <v>348952</v>
      </c>
      <c r="V189" s="13"/>
      <c r="W189" s="13"/>
      <c r="X189" s="19"/>
      <c r="Y189" s="19"/>
    </row>
    <row r="190" spans="1:25" x14ac:dyDescent="0.35">
      <c r="A190" s="81"/>
      <c r="B190" s="160"/>
      <c r="C190" s="160"/>
      <c r="D190" s="528"/>
      <c r="E190" s="78"/>
      <c r="F190" s="65"/>
      <c r="G190" s="65"/>
      <c r="H190" s="65"/>
      <c r="I190" s="65"/>
      <c r="J190" s="65"/>
      <c r="K190" s="20"/>
      <c r="L190" s="61" t="str">
        <f>Price!A190</f>
        <v>Bočnice C free, 550mm, nerez</v>
      </c>
      <c r="M190" s="15" t="str">
        <f>Price!B190</f>
        <v>780C5502I</v>
      </c>
      <c r="N190" s="15" t="str">
        <f>Price!C190</f>
        <v>Inox</v>
      </c>
      <c r="O190" s="525" t="str">
        <f>Price!D190</f>
        <v>!</v>
      </c>
      <c r="P190" s="16"/>
      <c r="Q190" s="17">
        <f>Price!F190</f>
        <v>1954.7144900000001</v>
      </c>
      <c r="R190" s="318"/>
      <c r="S190" s="318"/>
      <c r="T190" s="12">
        <f>Price!G190</f>
        <v>7427442</v>
      </c>
      <c r="U190" s="252">
        <f>Price!H190</f>
        <v>256489</v>
      </c>
      <c r="V190" s="13"/>
      <c r="W190" s="13"/>
      <c r="X190" s="19"/>
      <c r="Y190" s="19"/>
    </row>
    <row r="191" spans="1:25" ht="15" thickBot="1" x14ac:dyDescent="0.4">
      <c r="A191" s="86" t="str">
        <f>IF($C$2=1,L191,IF($C$2=2,L192,IF($C$2=3,L193,IF($C$2=4,L194, IF($C$2=5, L195, "  chyba")))))</f>
        <v>Bočnice C free, 600mm, Orion šedá</v>
      </c>
      <c r="B191" s="87" t="str">
        <f t="shared" ref="B191" si="207">IF($C$2=1,M191,IF($C$2=2,M192,IF($C$2=3,M193,IF($C$2=4,M194, IF($C$2=5, M195, "  chyba")))))</f>
        <v>780C6002S</v>
      </c>
      <c r="C191" s="87" t="str">
        <f t="shared" ref="C191" si="208">IF($C$2=1,N191,IF($C$2=2,N192,IF($C$2=3,N193,IF($C$2=4,N194, IF($C$2=5, N195, "  chyba")))))</f>
        <v>OG-M</v>
      </c>
      <c r="D191" s="527">
        <f t="shared" ref="D191" si="209">IF($C$2=1,O191,IF($C$2=2,O192,IF($C$2=3,O193,IF($C$2=4,O194, IF($C$2=5, O195, "  chyba")))))</f>
        <v>0</v>
      </c>
      <c r="E191" s="88"/>
      <c r="F191" s="89">
        <f t="shared" ref="F191" si="210">IF($C$2=1,Q191,IF($C$2=2,Q192,IF($C$2=3,Q193,IF($C$2=4,Q194, IF($C$2=5, Q195, "  chyba")))))</f>
        <v>1123.16077</v>
      </c>
      <c r="G191" s="65"/>
      <c r="H191" s="65"/>
      <c r="I191" s="168">
        <f t="shared" ref="I191" si="211">IF($C$2=1,T191,IF($C$2=2,T192,IF($C$2=3,T193,IF($C$2=4,T194, IF($C$2=5, T195, "  chyba")))))</f>
        <v>8044415</v>
      </c>
      <c r="J191" s="168">
        <f t="shared" ref="J191" si="212">IF($C$2=1,U191,IF($C$2=2,U192,IF($C$2=3,U193,IF($C$2=4,U194, IF($C$2=5, U195, "  chyba")))))</f>
        <v>256491</v>
      </c>
      <c r="K191" s="20"/>
      <c r="L191" s="61" t="str">
        <f>Price!A191</f>
        <v>Bočnice C free, 600mm, Orion šedá</v>
      </c>
      <c r="M191" s="15" t="str">
        <f>Price!B191</f>
        <v>780C6002S</v>
      </c>
      <c r="N191" s="15" t="str">
        <f>Price!C191</f>
        <v>OG-M</v>
      </c>
      <c r="O191" s="525">
        <f>Price!D191</f>
        <v>0</v>
      </c>
      <c r="P191" s="16"/>
      <c r="Q191" s="17">
        <f>Price!F191</f>
        <v>1123.16077</v>
      </c>
      <c r="R191" s="318"/>
      <c r="S191" s="318"/>
      <c r="T191" s="12">
        <f>Price!G191</f>
        <v>8044415</v>
      </c>
      <c r="U191" s="252">
        <f>Price!H191</f>
        <v>256491</v>
      </c>
      <c r="V191" s="13"/>
      <c r="W191" s="13"/>
      <c r="X191" s="19"/>
      <c r="Y191" s="19"/>
    </row>
    <row r="192" spans="1:25" x14ac:dyDescent="0.35">
      <c r="A192" s="81"/>
      <c r="B192" s="160"/>
      <c r="C192" s="160"/>
      <c r="D192" s="528"/>
      <c r="E192" s="78"/>
      <c r="F192" s="65"/>
      <c r="G192" s="65"/>
      <c r="H192" s="65"/>
      <c r="I192" s="65"/>
      <c r="J192" s="65"/>
      <c r="K192" s="62"/>
      <c r="L192" s="61" t="str">
        <f>Price!A192</f>
        <v>Bočnice C free, 600mm, hedvábně bílá</v>
      </c>
      <c r="M192" s="15" t="str">
        <f>Price!B192</f>
        <v>780C6002S</v>
      </c>
      <c r="N192" s="15" t="str">
        <f>Price!C192</f>
        <v>SW-M</v>
      </c>
      <c r="O192" s="525">
        <f>Price!D192</f>
        <v>0</v>
      </c>
      <c r="P192" s="16"/>
      <c r="Q192" s="17">
        <f>Price!F192</f>
        <v>1123.16077</v>
      </c>
      <c r="R192" s="318"/>
      <c r="S192" s="318"/>
      <c r="T192" s="12">
        <f>Price!G192</f>
        <v>8285646</v>
      </c>
      <c r="U192" s="252">
        <f>Price!H192</f>
        <v>256490</v>
      </c>
      <c r="V192" s="13"/>
      <c r="W192" s="13"/>
      <c r="X192" s="19"/>
      <c r="Y192" s="19"/>
    </row>
    <row r="193" spans="1:25" x14ac:dyDescent="0.35">
      <c r="A193" s="81"/>
      <c r="B193" s="160"/>
      <c r="C193" s="160"/>
      <c r="D193" s="528"/>
      <c r="E193" s="78"/>
      <c r="F193" s="65"/>
      <c r="G193" s="65"/>
      <c r="H193" s="65"/>
      <c r="I193" s="65"/>
      <c r="J193" s="65"/>
      <c r="K193" s="63"/>
      <c r="L193" s="61" t="str">
        <f>Price!A193</f>
        <v>Bočnice C free, 600mm, Terra černá</v>
      </c>
      <c r="M193" s="15" t="str">
        <f>Price!B193</f>
        <v>780C6002S</v>
      </c>
      <c r="N193" s="15" t="str">
        <f>Price!C193</f>
        <v>TS-M</v>
      </c>
      <c r="O193" s="525">
        <f>Price!D193</f>
        <v>0</v>
      </c>
      <c r="P193" s="16"/>
      <c r="Q193" s="17">
        <f>Price!F193</f>
        <v>1123.16077</v>
      </c>
      <c r="R193" s="318"/>
      <c r="S193" s="318"/>
      <c r="T193" s="12">
        <f>Price!G193</f>
        <v>8474809</v>
      </c>
      <c r="U193" s="252">
        <f>Price!H193</f>
        <v>256492</v>
      </c>
      <c r="V193" s="13"/>
      <c r="W193" s="13"/>
      <c r="X193" s="19"/>
      <c r="Y193" s="19"/>
    </row>
    <row r="194" spans="1:25" x14ac:dyDescent="0.35">
      <c r="A194" s="81"/>
      <c r="B194" s="160"/>
      <c r="C194" s="160"/>
      <c r="D194" s="528"/>
      <c r="E194" s="78"/>
      <c r="F194" s="65"/>
      <c r="G194" s="65"/>
      <c r="H194" s="65"/>
      <c r="I194" s="65"/>
      <c r="J194" s="65"/>
      <c r="K194" s="63"/>
      <c r="L194" s="61" t="str">
        <f>Price!A194</f>
        <v>Bočnice C free, 600mm, Polar stříbrná</v>
      </c>
      <c r="M194" s="15" t="str">
        <f>Price!B194</f>
        <v>780C6002S</v>
      </c>
      <c r="N194" s="15" t="str">
        <f>Price!C194</f>
        <v>PS-M</v>
      </c>
      <c r="O194" s="525">
        <f>Price!D194</f>
        <v>0</v>
      </c>
      <c r="P194" s="16"/>
      <c r="Q194" s="17">
        <f>Price!F194</f>
        <v>1123.16077</v>
      </c>
      <c r="R194" s="318"/>
      <c r="S194" s="318"/>
      <c r="T194" s="12">
        <f>Price!G194</f>
        <v>9803836</v>
      </c>
      <c r="U194" s="252">
        <f>Price!H194</f>
        <v>348953</v>
      </c>
      <c r="V194" s="13"/>
      <c r="W194" s="13"/>
      <c r="X194" s="19"/>
      <c r="Y194" s="19"/>
    </row>
    <row r="195" spans="1:25" x14ac:dyDescent="0.35">
      <c r="A195" s="81"/>
      <c r="B195" s="160"/>
      <c r="C195" s="160"/>
      <c r="D195" s="528"/>
      <c r="E195" s="78"/>
      <c r="F195" s="65"/>
      <c r="G195" s="65"/>
      <c r="H195" s="65"/>
      <c r="I195" s="65"/>
      <c r="J195" s="65"/>
      <c r="K195" s="63"/>
      <c r="L195" s="61" t="str">
        <f>Price!A195</f>
        <v>Bočnice C free, 600mm, nerez</v>
      </c>
      <c r="M195" s="15" t="str">
        <f>Price!B195</f>
        <v>780C6002I</v>
      </c>
      <c r="N195" s="15" t="str">
        <f>Price!C195</f>
        <v>Inox</v>
      </c>
      <c r="O195" s="525" t="str">
        <f>Price!D195</f>
        <v>!</v>
      </c>
      <c r="P195" s="16"/>
      <c r="Q195" s="17">
        <f>Price!F195</f>
        <v>2106.2702899999999</v>
      </c>
      <c r="R195" s="318"/>
      <c r="S195" s="318"/>
      <c r="T195" s="12">
        <f>Price!G195</f>
        <v>7634696</v>
      </c>
      <c r="U195" s="252">
        <f>Price!H195</f>
        <v>256493</v>
      </c>
      <c r="V195" s="13"/>
      <c r="W195" s="13"/>
      <c r="X195" s="19"/>
      <c r="Y195" s="19"/>
    </row>
    <row r="196" spans="1:25" ht="15" thickBot="1" x14ac:dyDescent="0.4">
      <c r="A196" s="86" t="str">
        <f>IF($C$2=1,L196,IF($C$2=2,L197,IF($C$2=3,L198,IF($C$2=4,L199, IF($C$2=5, L200, "  chyba")))))</f>
        <v>Bočnice C free, 650mm, Orion šedá</v>
      </c>
      <c r="B196" s="87" t="str">
        <f t="shared" ref="B196" si="213">IF($C$2=1,M196,IF($C$2=2,M197,IF($C$2=3,M198,IF($C$2=4,M199, IF($C$2=5, M200, "  chyba")))))</f>
        <v>780C6502S</v>
      </c>
      <c r="C196" s="87" t="str">
        <f t="shared" ref="C196" si="214">IF($C$2=1,N196,IF($C$2=2,N197,IF($C$2=3,N198,IF($C$2=4,N199, IF($C$2=5, N200, "  chyba")))))</f>
        <v>OG-M</v>
      </c>
      <c r="D196" s="527">
        <f t="shared" ref="D196" si="215">IF($C$2=1,O196,IF($C$2=2,O197,IF($C$2=3,O198,IF($C$2=4,O199, IF($C$2=5, O200, "  chyba")))))</f>
        <v>0</v>
      </c>
      <c r="E196" s="88"/>
      <c r="F196" s="89">
        <f t="shared" ref="F196" si="216">IF($C$2=1,Q196,IF($C$2=2,Q197,IF($C$2=3,Q198,IF($C$2=4,Q199, IF($C$2=5, Q200, "  chyba")))))</f>
        <v>1156.3666000000001</v>
      </c>
      <c r="G196" s="65"/>
      <c r="H196" s="65"/>
      <c r="I196" s="168">
        <f t="shared" ref="I196" si="217">IF($C$2=1,T196,IF($C$2=2,T197,IF($C$2=3,T198,IF($C$2=4,T199, IF($C$2=5, T200, "  chyba")))))</f>
        <v>9037386</v>
      </c>
      <c r="J196" s="168">
        <f t="shared" ref="J196" si="218">IF($C$2=1,U196,IF($C$2=2,U197,IF($C$2=3,U198,IF($C$2=4,U199, IF($C$2=5, U200, "  chyba")))))</f>
        <v>256495</v>
      </c>
      <c r="K196" s="63"/>
      <c r="L196" s="61" t="str">
        <f>Price!A196</f>
        <v>Bočnice C free, 650mm, Orion šedá</v>
      </c>
      <c r="M196" s="15" t="str">
        <f>Price!B196</f>
        <v>780C6502S</v>
      </c>
      <c r="N196" s="15" t="str">
        <f>Price!C196</f>
        <v>OG-M</v>
      </c>
      <c r="O196" s="525">
        <f>Price!D196</f>
        <v>0</v>
      </c>
      <c r="P196" s="16"/>
      <c r="Q196" s="17">
        <f>Price!F196</f>
        <v>1156.3666000000001</v>
      </c>
      <c r="R196" s="318"/>
      <c r="S196" s="318"/>
      <c r="T196" s="12">
        <f>Price!G196</f>
        <v>9037386</v>
      </c>
      <c r="U196" s="252">
        <f>Price!H196</f>
        <v>256495</v>
      </c>
      <c r="V196" s="13"/>
      <c r="W196" s="13"/>
      <c r="X196" s="19"/>
      <c r="Y196" s="19"/>
    </row>
    <row r="197" spans="1:25" x14ac:dyDescent="0.35">
      <c r="A197" s="81"/>
      <c r="B197" s="160"/>
      <c r="C197" s="160"/>
      <c r="D197" s="528"/>
      <c r="E197" s="78"/>
      <c r="F197" s="65"/>
      <c r="G197" s="65"/>
      <c r="H197" s="65"/>
      <c r="I197" s="65"/>
      <c r="J197" s="65"/>
      <c r="K197" s="63"/>
      <c r="L197" s="61" t="str">
        <f>Price!A197</f>
        <v>Bočnice C free, 650mm, hedvábně bílá</v>
      </c>
      <c r="M197" s="15" t="str">
        <f>Price!B197</f>
        <v>780C6502S</v>
      </c>
      <c r="N197" s="15" t="str">
        <f>Price!C197</f>
        <v>SW-M</v>
      </c>
      <c r="O197" s="525">
        <f>Price!D197</f>
        <v>0</v>
      </c>
      <c r="P197" s="16"/>
      <c r="Q197" s="17">
        <f>Price!F197</f>
        <v>1156.3666000000001</v>
      </c>
      <c r="R197" s="318"/>
      <c r="S197" s="318"/>
      <c r="T197" s="12">
        <f>Price!G197</f>
        <v>9076042</v>
      </c>
      <c r="U197" s="252">
        <f>Price!H197</f>
        <v>256494</v>
      </c>
      <c r="V197" s="13"/>
      <c r="W197" s="13"/>
      <c r="X197" s="19"/>
      <c r="Y197" s="19"/>
    </row>
    <row r="198" spans="1:25" x14ac:dyDescent="0.35">
      <c r="A198" s="81"/>
      <c r="B198" s="160"/>
      <c r="C198" s="160"/>
      <c r="D198" s="528"/>
      <c r="E198" s="78"/>
      <c r="F198" s="65"/>
      <c r="G198" s="65"/>
      <c r="H198" s="65"/>
      <c r="I198" s="65"/>
      <c r="J198" s="65"/>
      <c r="K198" s="63"/>
      <c r="L198" s="61" t="str">
        <f>Price!A198</f>
        <v>Bočnice C free, 650mm, Terra černá</v>
      </c>
      <c r="M198" s="15" t="str">
        <f>Price!B198</f>
        <v>780C6502S</v>
      </c>
      <c r="N198" s="15" t="str">
        <f>Price!C198</f>
        <v>TS-M</v>
      </c>
      <c r="O198" s="525">
        <f>Price!D198</f>
        <v>0</v>
      </c>
      <c r="P198" s="16"/>
      <c r="Q198" s="17">
        <f>Price!F198</f>
        <v>1156.3666000000001</v>
      </c>
      <c r="R198" s="318"/>
      <c r="S198" s="318"/>
      <c r="T198" s="12">
        <f>Price!G198</f>
        <v>9166830</v>
      </c>
      <c r="U198" s="252">
        <f>Price!H198</f>
        <v>256496</v>
      </c>
      <c r="V198" s="13"/>
      <c r="W198" s="13"/>
      <c r="X198" s="19"/>
      <c r="Y198" s="19"/>
    </row>
    <row r="199" spans="1:25" x14ac:dyDescent="0.35">
      <c r="A199" s="81"/>
      <c r="B199" s="160"/>
      <c r="C199" s="160"/>
      <c r="D199" s="528"/>
      <c r="E199" s="78"/>
      <c r="F199" s="65"/>
      <c r="G199" s="65"/>
      <c r="H199" s="65"/>
      <c r="I199" s="65"/>
      <c r="J199" s="65"/>
      <c r="K199" s="63"/>
      <c r="L199" s="61" t="str">
        <f>Price!A199</f>
        <v>Bočnice C free, 650mm, Polar stříbrná</v>
      </c>
      <c r="M199" s="15" t="str">
        <f>Price!B199</f>
        <v>780C6502S</v>
      </c>
      <c r="N199" s="15" t="str">
        <f>Price!C199</f>
        <v>PS-M</v>
      </c>
      <c r="O199" s="525">
        <f>Price!D199</f>
        <v>0</v>
      </c>
      <c r="P199" s="16"/>
      <c r="Q199" s="17">
        <f>Price!F199</f>
        <v>1156.3666000000001</v>
      </c>
      <c r="R199" s="318"/>
      <c r="S199" s="318"/>
      <c r="T199" s="12">
        <f>Price!G199</f>
        <v>7173671</v>
      </c>
      <c r="U199" s="252">
        <f>Price!H199</f>
        <v>348954</v>
      </c>
      <c r="V199" s="13"/>
      <c r="W199" s="13"/>
      <c r="X199" s="19"/>
      <c r="Y199" s="19"/>
    </row>
    <row r="200" spans="1:25" x14ac:dyDescent="0.35">
      <c r="A200" s="81"/>
      <c r="B200" s="160"/>
      <c r="C200" s="160"/>
      <c r="D200" s="528"/>
      <c r="E200" s="78"/>
      <c r="F200" s="65"/>
      <c r="G200" s="65"/>
      <c r="H200" s="65"/>
      <c r="I200" s="65"/>
      <c r="J200" s="65"/>
      <c r="K200" s="63"/>
      <c r="L200" s="61" t="str">
        <f>Price!A200</f>
        <v>Bočnice C free, 650mm, nerez</v>
      </c>
      <c r="M200" s="15" t="str">
        <f>Price!B200</f>
        <v>780C6502I</v>
      </c>
      <c r="N200" s="15" t="str">
        <f>Price!C200</f>
        <v>Inox</v>
      </c>
      <c r="O200" s="525" t="str">
        <f>Price!D200</f>
        <v>!</v>
      </c>
      <c r="P200" s="16"/>
      <c r="Q200" s="17">
        <f>Price!F200</f>
        <v>2185.2420000000002</v>
      </c>
      <c r="R200" s="318"/>
      <c r="S200" s="318"/>
      <c r="T200" s="12">
        <f>Price!G200</f>
        <v>9760720</v>
      </c>
      <c r="U200" s="252">
        <f>Price!H200</f>
        <v>256497</v>
      </c>
      <c r="V200" s="13"/>
      <c r="W200" s="13"/>
      <c r="X200" s="19"/>
      <c r="Y200" s="19"/>
    </row>
    <row r="201" spans="1:25" ht="15" thickBot="1" x14ac:dyDescent="0.4">
      <c r="A201" s="86" t="str">
        <f>IF($C$2=1,L201,IF($C$2=2,L202,IF($C$2=3,L203,IF($C$2=4,L204, IF($C$2=5, L205, "  chyba")))))</f>
        <v>Bočnice F 400mm, Orion šedá</v>
      </c>
      <c r="B201" s="87" t="str">
        <f t="shared" ref="B201" si="219">IF($C$2=1,M201,IF($C$2=2,M202,IF($C$2=3,M203,IF($C$2=4,M204, IF($C$2=5, M205, "  chyba")))))</f>
        <v>770F4002S</v>
      </c>
      <c r="C201" s="87" t="str">
        <f t="shared" ref="C201" si="220">IF($C$2=1,N201,IF($C$2=2,N202,IF($C$2=3,N203,IF($C$2=4,N204, IF($C$2=5, N205, "  chyba")))))</f>
        <v>OG-M</v>
      </c>
      <c r="D201" s="527">
        <f t="shared" ref="D201" si="221">IF($C$2=1,O201,IF($C$2=2,O202,IF($C$2=3,O203,IF($C$2=4,O204, IF($C$2=5, O205, "  chyba")))))</f>
        <v>0</v>
      </c>
      <c r="E201" s="88"/>
      <c r="F201" s="89">
        <f t="shared" ref="F201" si="222">IF($C$2=1,Q201,IF($C$2=2,Q202,IF($C$2=3,Q203,IF($C$2=4,Q204, IF($C$2=5, Q205, "  chyba")))))</f>
        <v>1559.0609999999999</v>
      </c>
      <c r="G201" s="65"/>
      <c r="H201" s="65"/>
      <c r="I201" s="168">
        <f t="shared" ref="I201" si="223">IF($C$2=1,T201,IF($C$2=2,T202,IF($C$2=3,T203,IF($C$2=4,T204, IF($C$2=5, T205, "  chyba")))))</f>
        <v>8372952</v>
      </c>
      <c r="J201" s="168">
        <f t="shared" ref="J201" si="224">IF($C$2=1,U201,IF($C$2=2,U202,IF($C$2=3,U203,IF($C$2=4,U204, IF($C$2=5, U205, "  chyba")))))</f>
        <v>336685</v>
      </c>
      <c r="K201" s="63"/>
      <c r="L201" s="61" t="str">
        <f>Price!A201</f>
        <v>Bočnice F 400mm, Orion šedá</v>
      </c>
      <c r="M201" s="15" t="str">
        <f>Price!B201</f>
        <v>770F4002S</v>
      </c>
      <c r="N201" s="15" t="str">
        <f>Price!C201</f>
        <v>OG-M</v>
      </c>
      <c r="O201" s="525">
        <f>Price!D201</f>
        <v>0</v>
      </c>
      <c r="P201" s="16"/>
      <c r="Q201" s="17">
        <f>Price!F201</f>
        <v>1559.0609999999999</v>
      </c>
      <c r="R201" s="318"/>
      <c r="S201" s="318"/>
      <c r="T201" s="12">
        <f>Price!G201</f>
        <v>8372952</v>
      </c>
      <c r="U201" s="252">
        <f>Price!H201</f>
        <v>336685</v>
      </c>
      <c r="V201" s="13"/>
      <c r="W201" s="13"/>
      <c r="X201" s="19"/>
      <c r="Y201" s="19"/>
    </row>
    <row r="202" spans="1:25" x14ac:dyDescent="0.35">
      <c r="A202" s="81"/>
      <c r="B202" s="160"/>
      <c r="C202" s="160"/>
      <c r="D202" s="528"/>
      <c r="E202" s="78"/>
      <c r="F202" s="65"/>
      <c r="G202" s="65"/>
      <c r="H202" s="65"/>
      <c r="I202" s="65"/>
      <c r="J202" s="65"/>
      <c r="K202" s="63"/>
      <c r="L202" s="61" t="str">
        <f>Price!A202</f>
        <v>Bočnice F 400mm, hedvábně bílá</v>
      </c>
      <c r="M202" s="15" t="str">
        <f>Price!B202</f>
        <v>770F4002S</v>
      </c>
      <c r="N202" s="15" t="str">
        <f>Price!C202</f>
        <v>SW-M</v>
      </c>
      <c r="O202" s="525">
        <f>Price!D202</f>
        <v>0</v>
      </c>
      <c r="P202" s="16"/>
      <c r="Q202" s="17">
        <f>Price!F202</f>
        <v>1559.0609999999999</v>
      </c>
      <c r="R202" s="318"/>
      <c r="S202" s="318"/>
      <c r="T202" s="12">
        <f>Price!G202</f>
        <v>7375979</v>
      </c>
      <c r="U202" s="252">
        <f>Price!H202</f>
        <v>336683</v>
      </c>
      <c r="V202" s="13"/>
      <c r="W202" s="13"/>
      <c r="X202" s="19"/>
      <c r="Y202" s="19"/>
    </row>
    <row r="203" spans="1:25" x14ac:dyDescent="0.35">
      <c r="A203" s="81"/>
      <c r="B203" s="160"/>
      <c r="C203" s="160"/>
      <c r="D203" s="528"/>
      <c r="E203" s="78"/>
      <c r="F203" s="65"/>
      <c r="G203" s="65"/>
      <c r="H203" s="65"/>
      <c r="I203" s="65"/>
      <c r="J203" s="65"/>
      <c r="K203" s="63"/>
      <c r="L203" s="61" t="str">
        <f>Price!A203</f>
        <v>Bočnice F 400mm, Terra černá</v>
      </c>
      <c r="M203" s="15" t="str">
        <f>Price!B203</f>
        <v>770F4002S</v>
      </c>
      <c r="N203" s="15" t="str">
        <f>Price!C203</f>
        <v>TS-M</v>
      </c>
      <c r="O203" s="525">
        <f>Price!D203</f>
        <v>0</v>
      </c>
      <c r="P203" s="16"/>
      <c r="Q203" s="17">
        <f>Price!F203</f>
        <v>1559.0609999999999</v>
      </c>
      <c r="R203" s="318"/>
      <c r="S203" s="318"/>
      <c r="T203" s="12">
        <f>Price!G203</f>
        <v>3083634</v>
      </c>
      <c r="U203" s="252">
        <f>Price!H203</f>
        <v>336687</v>
      </c>
      <c r="V203" s="13"/>
      <c r="W203" s="13"/>
      <c r="X203" s="19"/>
      <c r="Y203" s="19"/>
    </row>
    <row r="204" spans="1:25" x14ac:dyDescent="0.35">
      <c r="A204" s="81"/>
      <c r="B204" s="160"/>
      <c r="C204" s="160"/>
      <c r="D204" s="528"/>
      <c r="E204" s="78"/>
      <c r="F204" s="65"/>
      <c r="G204" s="65"/>
      <c r="H204" s="65"/>
      <c r="I204" s="65"/>
      <c r="J204" s="65"/>
      <c r="K204" s="63"/>
      <c r="L204" s="61" t="str">
        <f>Price!A204</f>
        <v>Bočnice F 400mm, Polar stříbrná</v>
      </c>
      <c r="M204" s="15" t="str">
        <f>Price!B204</f>
        <v>770F4002S</v>
      </c>
      <c r="N204" s="15" t="str">
        <f>Price!C204</f>
        <v>PS-M</v>
      </c>
      <c r="O204" s="525">
        <f>Price!D204</f>
        <v>0</v>
      </c>
      <c r="P204" s="16"/>
      <c r="Q204" s="17">
        <f>Price!F204</f>
        <v>1559.0609999999999</v>
      </c>
      <c r="R204" s="318"/>
      <c r="S204" s="318"/>
      <c r="T204" s="12">
        <f>Price!G204</f>
        <v>7003442</v>
      </c>
      <c r="U204" s="252">
        <f>Price!H204</f>
        <v>336682</v>
      </c>
      <c r="V204" s="13"/>
      <c r="W204" s="13"/>
      <c r="X204" s="19"/>
      <c r="Y204" s="19"/>
    </row>
    <row r="205" spans="1:25" x14ac:dyDescent="0.35">
      <c r="A205" s="81"/>
      <c r="B205" s="160"/>
      <c r="C205" s="160"/>
      <c r="D205" s="528"/>
      <c r="E205" s="78"/>
      <c r="F205" s="65"/>
      <c r="G205" s="65"/>
      <c r="H205" s="65"/>
      <c r="I205" s="65"/>
      <c r="J205" s="65"/>
      <c r="K205" s="63"/>
      <c r="L205" s="61" t="str">
        <f>Price!A205</f>
        <v>Bočnice F 400mm, nerez</v>
      </c>
      <c r="M205" s="15" t="str">
        <f>Price!B205</f>
        <v>770F4002I</v>
      </c>
      <c r="N205" s="15" t="str">
        <f>Price!C205</f>
        <v>Inox</v>
      </c>
      <c r="O205" s="525" t="str">
        <f>Price!D205</f>
        <v>!</v>
      </c>
      <c r="P205" s="16"/>
      <c r="Q205" s="17">
        <f>Price!F205</f>
        <v>2612.2896900000001</v>
      </c>
      <c r="R205" s="318"/>
      <c r="S205" s="318"/>
      <c r="T205" s="12">
        <f>Price!G205</f>
        <v>2465292</v>
      </c>
      <c r="U205" s="252">
        <f>Price!H205</f>
        <v>336681</v>
      </c>
      <c r="V205" s="13"/>
      <c r="W205" s="13"/>
      <c r="X205" s="19"/>
      <c r="Y205" s="19"/>
    </row>
    <row r="206" spans="1:25" ht="15" thickBot="1" x14ac:dyDescent="0.4">
      <c r="A206" s="86" t="str">
        <f>IF($C$2=1,L206,IF($C$2=2,L207,IF($C$2=3,L208,IF($C$2=4,L209, IF($C$2=5, L210, "  chyba")))))</f>
        <v>Bočnice F 450mm, Orion šedá</v>
      </c>
      <c r="B206" s="87" t="str">
        <f t="shared" ref="B206" si="225">IF($C$2=1,M206,IF($C$2=2,M207,IF($C$2=3,M208,IF($C$2=4,M209, IF($C$2=5, M210, "  chyba")))))</f>
        <v>770F4502S</v>
      </c>
      <c r="C206" s="87" t="str">
        <f t="shared" ref="C206" si="226">IF($C$2=1,N206,IF($C$2=2,N207,IF($C$2=3,N208,IF($C$2=4,N209, IF($C$2=5, N210, "  chyba")))))</f>
        <v>OG-M</v>
      </c>
      <c r="D206" s="527">
        <f t="shared" ref="D206" si="227">IF($C$2=1,O206,IF($C$2=2,O207,IF($C$2=3,O208,IF($C$2=4,O209, IF($C$2=5, O210, "  chyba")))))</f>
        <v>0</v>
      </c>
      <c r="E206" s="88"/>
      <c r="F206" s="89">
        <f t="shared" ref="F206" si="228">IF($C$2=1,Q206,IF($C$2=2,Q207,IF($C$2=3,Q208,IF($C$2=4,Q209, IF($C$2=5, Q210, "  chyba")))))</f>
        <v>1572.79675</v>
      </c>
      <c r="G206" s="65"/>
      <c r="H206" s="65"/>
      <c r="I206" s="168">
        <f t="shared" ref="I206" si="229">IF($C$2=1,T206,IF($C$2=2,T207,IF($C$2=3,T208,IF($C$2=4,T209, IF($C$2=5, T210, "  chyba")))))</f>
        <v>9096837</v>
      </c>
      <c r="J206" s="168">
        <f t="shared" ref="J206" si="230">IF($C$2=1,U206,IF($C$2=2,U207,IF($C$2=3,U208,IF($C$2=4,U209, IF($C$2=5, U210, "  chyba")))))</f>
        <v>227526</v>
      </c>
      <c r="K206" s="63"/>
      <c r="L206" s="61" t="str">
        <f>Price!A206</f>
        <v>Bočnice F 450mm, Orion šedá</v>
      </c>
      <c r="M206" s="15" t="str">
        <f>Price!B206</f>
        <v>770F4502S</v>
      </c>
      <c r="N206" s="15" t="str">
        <f>Price!C206</f>
        <v>OG-M</v>
      </c>
      <c r="O206" s="525">
        <f>Price!D206</f>
        <v>0</v>
      </c>
      <c r="P206" s="16"/>
      <c r="Q206" s="17">
        <f>Price!F206</f>
        <v>1572.79675</v>
      </c>
      <c r="R206" s="318"/>
      <c r="S206" s="318"/>
      <c r="T206" s="12">
        <f>Price!G206</f>
        <v>9096837</v>
      </c>
      <c r="U206" s="252">
        <f>Price!H206</f>
        <v>227526</v>
      </c>
      <c r="V206" s="13"/>
      <c r="W206" s="13"/>
      <c r="X206" s="19"/>
      <c r="Y206" s="19"/>
    </row>
    <row r="207" spans="1:25" x14ac:dyDescent="0.35">
      <c r="A207" s="81"/>
      <c r="B207" s="160"/>
      <c r="C207" s="160"/>
      <c r="D207" s="528"/>
      <c r="E207" s="78"/>
      <c r="F207" s="65"/>
      <c r="G207" s="65"/>
      <c r="H207" s="65"/>
      <c r="I207" s="65"/>
      <c r="J207" s="65"/>
      <c r="K207" s="20"/>
      <c r="L207" s="61" t="str">
        <f>Price!A207</f>
        <v>Bočnice F 450mm, hedvábně bílá</v>
      </c>
      <c r="M207" s="15" t="str">
        <f>Price!B207</f>
        <v>770F4502S</v>
      </c>
      <c r="N207" s="15" t="str">
        <f>Price!C207</f>
        <v>SW-M</v>
      </c>
      <c r="O207" s="525">
        <f>Price!D207</f>
        <v>0</v>
      </c>
      <c r="P207" s="16"/>
      <c r="Q207" s="17">
        <f>Price!F207</f>
        <v>1572.79675</v>
      </c>
      <c r="R207" s="318"/>
      <c r="S207" s="318"/>
      <c r="T207" s="12">
        <f>Price!G207</f>
        <v>9100975</v>
      </c>
      <c r="U207" s="252">
        <f>Price!H207</f>
        <v>227525</v>
      </c>
      <c r="V207" s="13"/>
      <c r="W207" s="13"/>
      <c r="X207" s="19"/>
      <c r="Y207" s="19"/>
    </row>
    <row r="208" spans="1:25" x14ac:dyDescent="0.35">
      <c r="A208" s="81"/>
      <c r="B208" s="160"/>
      <c r="C208" s="160"/>
      <c r="D208" s="528"/>
      <c r="E208" s="78"/>
      <c r="F208" s="65"/>
      <c r="G208" s="65"/>
      <c r="H208" s="65"/>
      <c r="I208" s="65"/>
      <c r="J208" s="65"/>
      <c r="K208" s="20"/>
      <c r="L208" s="61" t="str">
        <f>Price!A208</f>
        <v>Bočnice F 450mm, Terra černá</v>
      </c>
      <c r="M208" s="15" t="str">
        <f>Price!B208</f>
        <v>770F4502S</v>
      </c>
      <c r="N208" s="15" t="str">
        <f>Price!C208</f>
        <v>TS-M</v>
      </c>
      <c r="O208" s="525">
        <f>Price!D208</f>
        <v>0</v>
      </c>
      <c r="P208" s="16"/>
      <c r="Q208" s="17">
        <f>Price!F208</f>
        <v>1572.79675</v>
      </c>
      <c r="R208" s="318"/>
      <c r="S208" s="318"/>
      <c r="T208" s="12">
        <f>Price!G208</f>
        <v>9123035</v>
      </c>
      <c r="U208" s="252">
        <f>Price!H208</f>
        <v>227527</v>
      </c>
      <c r="V208" s="13"/>
      <c r="X208" s="19"/>
      <c r="Y208" s="19"/>
    </row>
    <row r="209" spans="1:25" x14ac:dyDescent="0.35">
      <c r="A209" s="81"/>
      <c r="B209" s="160"/>
      <c r="C209" s="160"/>
      <c r="D209" s="528"/>
      <c r="E209" s="78"/>
      <c r="F209" s="65"/>
      <c r="G209" s="65"/>
      <c r="H209" s="65"/>
      <c r="I209" s="65"/>
      <c r="J209" s="65"/>
      <c r="K209" s="20"/>
      <c r="L209" s="61" t="str">
        <f>Price!A209</f>
        <v>Bočnice F 450mm, Polar stříbrná</v>
      </c>
      <c r="M209" s="15" t="str">
        <f>Price!B209</f>
        <v>770F4502S</v>
      </c>
      <c r="N209" s="15" t="str">
        <f>Price!C209</f>
        <v>PS-M</v>
      </c>
      <c r="O209" s="525">
        <f>Price!D209</f>
        <v>0</v>
      </c>
      <c r="P209" s="16"/>
      <c r="Q209" s="17">
        <f>Price!F209</f>
        <v>1572.79675</v>
      </c>
      <c r="R209" s="318"/>
      <c r="S209" s="318"/>
      <c r="T209" s="12">
        <f>Price!G209</f>
        <v>1507351</v>
      </c>
      <c r="U209" s="252">
        <f>Price!H209</f>
        <v>348958</v>
      </c>
      <c r="V209" s="13"/>
      <c r="X209" s="19"/>
      <c r="Y209" s="19"/>
    </row>
    <row r="210" spans="1:25" x14ac:dyDescent="0.35">
      <c r="A210" s="81"/>
      <c r="B210" s="160"/>
      <c r="C210" s="160"/>
      <c r="D210" s="528"/>
      <c r="E210" s="78"/>
      <c r="F210" s="65"/>
      <c r="G210" s="65"/>
      <c r="H210" s="65"/>
      <c r="I210" s="65"/>
      <c r="J210" s="65"/>
      <c r="K210" s="20"/>
      <c r="L210" s="61" t="str">
        <f>Price!A210</f>
        <v>Bočnice F 450mm, nerez</v>
      </c>
      <c r="M210" s="15" t="str">
        <f>Price!B210</f>
        <v>770F4502I</v>
      </c>
      <c r="N210" s="15" t="str">
        <f>Price!C210</f>
        <v>Inox</v>
      </c>
      <c r="O210" s="525" t="str">
        <f>Price!D210</f>
        <v>!</v>
      </c>
      <c r="P210" s="16"/>
      <c r="Q210" s="17">
        <f>Price!F210</f>
        <v>2653.5190400000001</v>
      </c>
      <c r="R210" s="318"/>
      <c r="S210" s="318"/>
      <c r="T210" s="12">
        <f>Price!G210</f>
        <v>1201651</v>
      </c>
      <c r="U210" s="252">
        <f>Price!H210</f>
        <v>227528</v>
      </c>
      <c r="V210" s="13"/>
      <c r="X210" s="19"/>
      <c r="Y210" s="19"/>
    </row>
    <row r="211" spans="1:25" ht="15" thickBot="1" x14ac:dyDescent="0.4">
      <c r="A211" s="86" t="str">
        <f>IF($C$2=1,L211,IF($C$2=2,L212,IF($C$2=3,L213,IF($C$2=4,L214, IF($C$2=5, L215, "  chyba")))))</f>
        <v>Bočnice F 500mm, Orion šedá</v>
      </c>
      <c r="B211" s="87" t="str">
        <f t="shared" ref="B211" si="231">IF($C$2=1,M211,IF($C$2=2,M212,IF($C$2=3,M213,IF($C$2=4,M214, IF($C$2=5, M215, "  chyba")))))</f>
        <v>770F5002S</v>
      </c>
      <c r="C211" s="87" t="str">
        <f t="shared" ref="C211" si="232">IF($C$2=1,N211,IF($C$2=2,N212,IF($C$2=3,N213,IF($C$2=4,N214, IF($C$2=5, N215, "  chyba")))))</f>
        <v>OG-M</v>
      </c>
      <c r="D211" s="527">
        <f t="shared" ref="D211" si="233">IF($C$2=1,O211,IF($C$2=2,O212,IF($C$2=3,O213,IF($C$2=4,O214, IF($C$2=5, O215, "  chyba")))))</f>
        <v>0</v>
      </c>
      <c r="E211" s="88"/>
      <c r="F211" s="89">
        <f t="shared" ref="F211" si="234">IF($C$2=1,Q211,IF($C$2=2,Q212,IF($C$2=3,Q213,IF($C$2=4,Q214, IF($C$2=5, Q215, "  chyba")))))</f>
        <v>1586.5378700000001</v>
      </c>
      <c r="G211" s="65"/>
      <c r="H211" s="65"/>
      <c r="I211" s="168">
        <f t="shared" ref="I211" si="235">IF($C$2=1,T211,IF($C$2=2,T212,IF($C$2=3,T213,IF($C$2=4,T214, IF($C$2=5, T215, "  chyba")))))</f>
        <v>9153879</v>
      </c>
      <c r="J211" s="168">
        <f t="shared" ref="J211" si="236">IF($C$2=1,U211,IF($C$2=2,U212,IF($C$2=3,U213,IF($C$2=4,U214, IF($C$2=5, U215, "  chyba")))))</f>
        <v>227530</v>
      </c>
      <c r="K211" s="20"/>
      <c r="L211" s="61" t="str">
        <f>Price!A211</f>
        <v>Bočnice F 500mm, Orion šedá</v>
      </c>
      <c r="M211" s="15" t="str">
        <f>Price!B211</f>
        <v>770F5002S</v>
      </c>
      <c r="N211" s="15" t="str">
        <f>Price!C211</f>
        <v>OG-M</v>
      </c>
      <c r="O211" s="525">
        <f>Price!D211</f>
        <v>0</v>
      </c>
      <c r="P211" s="16"/>
      <c r="Q211" s="17">
        <f>Price!F211</f>
        <v>1586.5378700000001</v>
      </c>
      <c r="R211" s="318"/>
      <c r="S211" s="318"/>
      <c r="T211" s="12">
        <f>Price!G211</f>
        <v>9153879</v>
      </c>
      <c r="U211" s="252">
        <f>Price!H211</f>
        <v>227530</v>
      </c>
      <c r="V211" s="13"/>
      <c r="X211" s="19"/>
      <c r="Y211" s="19"/>
    </row>
    <row r="212" spans="1:25" x14ac:dyDescent="0.35">
      <c r="A212" s="81"/>
      <c r="B212" s="160"/>
      <c r="C212" s="160"/>
      <c r="D212" s="528"/>
      <c r="E212" s="78"/>
      <c r="F212" s="65"/>
      <c r="G212" s="65"/>
      <c r="H212" s="65"/>
      <c r="I212" s="65"/>
      <c r="J212" s="65"/>
      <c r="K212" s="20"/>
      <c r="L212" s="61" t="str">
        <f>Price!A212</f>
        <v>Bočnice F 500mm, hedvábně bílá</v>
      </c>
      <c r="M212" s="15" t="str">
        <f>Price!B212</f>
        <v>770F5002S</v>
      </c>
      <c r="N212" s="15" t="str">
        <f>Price!C212</f>
        <v>SW-M</v>
      </c>
      <c r="O212" s="525">
        <f>Price!D212</f>
        <v>0</v>
      </c>
      <c r="P212" s="16"/>
      <c r="Q212" s="17">
        <f>Price!F212</f>
        <v>1586.5378700000001</v>
      </c>
      <c r="R212" s="318"/>
      <c r="S212" s="318"/>
      <c r="T212" s="12">
        <f>Price!G212</f>
        <v>9160529</v>
      </c>
      <c r="U212" s="252">
        <f>Price!H212</f>
        <v>227529</v>
      </c>
      <c r="V212" s="13"/>
      <c r="X212" s="19"/>
      <c r="Y212" s="19"/>
    </row>
    <row r="213" spans="1:25" x14ac:dyDescent="0.35">
      <c r="A213" s="81"/>
      <c r="B213" s="160"/>
      <c r="C213" s="160"/>
      <c r="D213" s="528"/>
      <c r="E213" s="78"/>
      <c r="F213" s="65"/>
      <c r="G213" s="65"/>
      <c r="H213" s="65"/>
      <c r="I213" s="65"/>
      <c r="J213" s="65"/>
      <c r="K213" s="20"/>
      <c r="L213" s="61" t="str">
        <f>Price!A213</f>
        <v>Bočnice F 500mm, Terra černá</v>
      </c>
      <c r="M213" s="15" t="str">
        <f>Price!B213</f>
        <v>770F5002S</v>
      </c>
      <c r="N213" s="15" t="str">
        <f>Price!C213</f>
        <v>TS-M</v>
      </c>
      <c r="O213" s="525">
        <f>Price!D213</f>
        <v>0</v>
      </c>
      <c r="P213" s="16"/>
      <c r="Q213" s="17">
        <f>Price!F213</f>
        <v>1586.5378700000001</v>
      </c>
      <c r="R213" s="318"/>
      <c r="S213" s="318"/>
      <c r="T213" s="12">
        <f>Price!G213</f>
        <v>9177721</v>
      </c>
      <c r="U213" s="252">
        <f>Price!H213</f>
        <v>227531</v>
      </c>
      <c r="V213" s="13"/>
      <c r="X213" s="19"/>
      <c r="Y213" s="19"/>
    </row>
    <row r="214" spans="1:25" x14ac:dyDescent="0.35">
      <c r="A214" s="81"/>
      <c r="B214" s="160"/>
      <c r="C214" s="160"/>
      <c r="D214" s="528"/>
      <c r="E214" s="78"/>
      <c r="F214" s="65"/>
      <c r="G214" s="65"/>
      <c r="H214" s="65"/>
      <c r="I214" s="65"/>
      <c r="J214" s="65"/>
      <c r="K214" s="20"/>
      <c r="L214" s="61" t="str">
        <f>Price!A214</f>
        <v>Bočnice F 500mm, Polar stříbrná</v>
      </c>
      <c r="M214" s="15" t="str">
        <f>Price!B214</f>
        <v>770F5002S</v>
      </c>
      <c r="N214" s="15" t="str">
        <f>Price!C214</f>
        <v>PS-M</v>
      </c>
      <c r="O214" s="525">
        <f>Price!D214</f>
        <v>0</v>
      </c>
      <c r="P214" s="16"/>
      <c r="Q214" s="17">
        <f>Price!F214</f>
        <v>1648.36157</v>
      </c>
      <c r="R214" s="318"/>
      <c r="S214" s="318"/>
      <c r="T214" s="12">
        <f>Price!G214</f>
        <v>7767436</v>
      </c>
      <c r="U214" s="252">
        <f>Price!H214</f>
        <v>346632</v>
      </c>
      <c r="V214" s="13"/>
      <c r="X214" s="19"/>
      <c r="Y214" s="19"/>
    </row>
    <row r="215" spans="1:25" x14ac:dyDescent="0.35">
      <c r="A215" s="81"/>
      <c r="B215" s="160"/>
      <c r="C215" s="160"/>
      <c r="D215" s="528"/>
      <c r="E215" s="78"/>
      <c r="F215" s="65"/>
      <c r="G215" s="65"/>
      <c r="H215" s="65"/>
      <c r="I215" s="65"/>
      <c r="J215" s="65"/>
      <c r="K215" s="20"/>
      <c r="L215" s="61" t="str">
        <f>Price!A215</f>
        <v>Bočnice F 500mm, nerez</v>
      </c>
      <c r="M215" s="15" t="str">
        <f>Price!B215</f>
        <v>770F5002I</v>
      </c>
      <c r="N215" s="15" t="str">
        <f>Price!C215</f>
        <v>Inox</v>
      </c>
      <c r="O215" s="525" t="str">
        <f>Price!D215</f>
        <v>!</v>
      </c>
      <c r="P215" s="16"/>
      <c r="Q215" s="17">
        <f>Price!F215</f>
        <v>2694.7477800000001</v>
      </c>
      <c r="R215" s="318"/>
      <c r="S215" s="318"/>
      <c r="T215" s="12">
        <f>Price!G215</f>
        <v>1241241</v>
      </c>
      <c r="U215" s="252">
        <f>Price!H215</f>
        <v>227532</v>
      </c>
      <c r="V215" s="13"/>
      <c r="X215" s="19"/>
      <c r="Y215" s="19"/>
    </row>
    <row r="216" spans="1:25" ht="15" thickBot="1" x14ac:dyDescent="0.4">
      <c r="A216" s="86" t="str">
        <f>IF($C$2=1,L216,IF($C$2=2,L217,IF($C$2=3,L218,IF($C$2=4,L219, IF($C$2=5, L220, "  chyba")))))</f>
        <v>Bočnice F 550mm, Orion šedá</v>
      </c>
      <c r="B216" s="87" t="str">
        <f t="shared" ref="B216" si="237">IF($C$2=1,M216,IF($C$2=2,M217,IF($C$2=3,M218,IF($C$2=4,M219, IF($C$2=5, M220, "  chyba")))))</f>
        <v>770F5502S</v>
      </c>
      <c r="C216" s="87" t="str">
        <f t="shared" ref="C216" si="238">IF($C$2=1,N216,IF($C$2=2,N217,IF($C$2=3,N218,IF($C$2=4,N219, IF($C$2=5, N220, "  chyba")))))</f>
        <v>OG-M</v>
      </c>
      <c r="D216" s="527">
        <f t="shared" ref="D216" si="239">IF($C$2=1,O216,IF($C$2=2,O217,IF($C$2=3,O218,IF($C$2=4,O219, IF($C$2=5, O220, "  chyba")))))</f>
        <v>0</v>
      </c>
      <c r="E216" s="88"/>
      <c r="F216" s="89">
        <f t="shared" ref="F216" si="240">IF($C$2=1,Q216,IF($C$2=2,Q217,IF($C$2=3,Q218,IF($C$2=4,Q219, IF($C$2=5, Q220, "  chyba")))))</f>
        <v>1648.36157</v>
      </c>
      <c r="G216" s="65"/>
      <c r="H216" s="65"/>
      <c r="I216" s="168">
        <f t="shared" ref="I216" si="241">IF($C$2=1,T216,IF($C$2=2,T217,IF($C$2=3,T218,IF($C$2=4,T219, IF($C$2=5, T220, "  chyba")))))</f>
        <v>9249100</v>
      </c>
      <c r="J216" s="168">
        <f t="shared" ref="J216" si="242">IF($C$2=1,U216,IF($C$2=2,U217,IF($C$2=3,U218,IF($C$2=4,U219, IF($C$2=5, U220, "  chyba")))))</f>
        <v>227534</v>
      </c>
      <c r="K216" s="66"/>
      <c r="L216" s="61" t="str">
        <f>Price!A216</f>
        <v>Bočnice F 550mm, Orion šedá</v>
      </c>
      <c r="M216" s="15" t="str">
        <f>Price!B216</f>
        <v>770F5502S</v>
      </c>
      <c r="N216" s="15" t="str">
        <f>Price!C216</f>
        <v>OG-M</v>
      </c>
      <c r="O216" s="525">
        <f>Price!D216</f>
        <v>0</v>
      </c>
      <c r="P216" s="16"/>
      <c r="Q216" s="17">
        <f>Price!F216</f>
        <v>1648.36157</v>
      </c>
      <c r="R216" s="318"/>
      <c r="S216" s="318"/>
      <c r="T216" s="12">
        <f>Price!G216</f>
        <v>9249100</v>
      </c>
      <c r="U216" s="252">
        <f>Price!H216</f>
        <v>227534</v>
      </c>
      <c r="V216" s="13"/>
      <c r="W216" s="13"/>
      <c r="X216" s="19"/>
      <c r="Y216" s="19"/>
    </row>
    <row r="217" spans="1:25" x14ac:dyDescent="0.35">
      <c r="A217" s="81"/>
      <c r="B217" s="160"/>
      <c r="C217" s="160"/>
      <c r="D217" s="528"/>
      <c r="E217" s="78"/>
      <c r="F217" s="65"/>
      <c r="G217" s="65"/>
      <c r="H217" s="65"/>
      <c r="I217" s="65"/>
      <c r="J217" s="65"/>
      <c r="K217" s="63"/>
      <c r="L217" s="61" t="str">
        <f>Price!A217</f>
        <v>Bočnice F 550mm, hedvábně bílá</v>
      </c>
      <c r="M217" s="15" t="str">
        <f>Price!B217</f>
        <v>770F5502S</v>
      </c>
      <c r="N217" s="15" t="str">
        <f>Price!C217</f>
        <v>SW-M</v>
      </c>
      <c r="O217" s="525">
        <f>Price!D217</f>
        <v>0</v>
      </c>
      <c r="P217" s="16"/>
      <c r="Q217" s="17">
        <f>Price!F217</f>
        <v>1648.36157</v>
      </c>
      <c r="R217" s="318"/>
      <c r="S217" s="318"/>
      <c r="T217" s="12">
        <f>Price!G217</f>
        <v>9253160</v>
      </c>
      <c r="U217" s="252">
        <f>Price!H217</f>
        <v>227533</v>
      </c>
      <c r="V217" s="13"/>
      <c r="X217" s="19"/>
      <c r="Y217" s="19"/>
    </row>
    <row r="218" spans="1:25" x14ac:dyDescent="0.35">
      <c r="A218" s="81"/>
      <c r="B218" s="160"/>
      <c r="C218" s="160"/>
      <c r="D218" s="528"/>
      <c r="E218" s="78"/>
      <c r="F218" s="65"/>
      <c r="G218" s="65"/>
      <c r="H218" s="65"/>
      <c r="I218" s="65"/>
      <c r="J218" s="65"/>
      <c r="K218" s="63"/>
      <c r="L218" s="61" t="str">
        <f>Price!A218</f>
        <v>Bočnice F 550mm, Terra černá</v>
      </c>
      <c r="M218" s="15" t="str">
        <f>Price!B218</f>
        <v>770F5502S</v>
      </c>
      <c r="N218" s="15" t="str">
        <f>Price!C218</f>
        <v>TS-M</v>
      </c>
      <c r="O218" s="525">
        <f>Price!D218</f>
        <v>0</v>
      </c>
      <c r="P218" s="16"/>
      <c r="Q218" s="17">
        <f>Price!F218</f>
        <v>1648.36157</v>
      </c>
      <c r="R218" s="318"/>
      <c r="S218" s="318"/>
      <c r="T218" s="12">
        <f>Price!G218</f>
        <v>9258019</v>
      </c>
      <c r="U218" s="252">
        <f>Price!H218</f>
        <v>227535</v>
      </c>
      <c r="V218" s="13"/>
      <c r="X218" s="19"/>
      <c r="Y218" s="19"/>
    </row>
    <row r="219" spans="1:25" x14ac:dyDescent="0.35">
      <c r="A219" s="81"/>
      <c r="B219" s="160"/>
      <c r="C219" s="160"/>
      <c r="D219" s="528"/>
      <c r="E219" s="78"/>
      <c r="F219" s="65"/>
      <c r="G219" s="65"/>
      <c r="H219" s="65"/>
      <c r="I219" s="65"/>
      <c r="J219" s="65"/>
      <c r="K219" s="63"/>
      <c r="L219" s="61" t="str">
        <f>Price!A219</f>
        <v>Bočnice F 550mm, Polar stříbrná</v>
      </c>
      <c r="M219" s="15" t="str">
        <f>Price!B219</f>
        <v>770F5502S</v>
      </c>
      <c r="N219" s="15" t="str">
        <f>Price!C219</f>
        <v>PS-M</v>
      </c>
      <c r="O219" s="525">
        <f>Price!D219</f>
        <v>0</v>
      </c>
      <c r="P219" s="16"/>
      <c r="Q219" s="17">
        <f>Price!F219</f>
        <v>1648.36157</v>
      </c>
      <c r="R219" s="318"/>
      <c r="S219" s="318"/>
      <c r="T219" s="12">
        <f>Price!G219</f>
        <v>1591701</v>
      </c>
      <c r="U219" s="252">
        <f>Price!H219</f>
        <v>346631</v>
      </c>
      <c r="V219" s="13"/>
      <c r="X219" s="19"/>
      <c r="Y219" s="19"/>
    </row>
    <row r="220" spans="1:25" x14ac:dyDescent="0.35">
      <c r="A220" s="81"/>
      <c r="B220" s="160"/>
      <c r="C220" s="160"/>
      <c r="D220" s="528"/>
      <c r="E220" s="78"/>
      <c r="F220" s="65"/>
      <c r="G220" s="65"/>
      <c r="H220" s="65"/>
      <c r="I220" s="65"/>
      <c r="J220" s="65"/>
      <c r="K220" s="20"/>
      <c r="L220" s="61" t="str">
        <f>Price!A220</f>
        <v>Bočnice F 550mm, nerez</v>
      </c>
      <c r="M220" s="15" t="str">
        <f>Price!B220</f>
        <v>770F5502I</v>
      </c>
      <c r="N220" s="15" t="str">
        <f>Price!C220</f>
        <v>Inox</v>
      </c>
      <c r="O220" s="525" t="str">
        <f>Price!D220</f>
        <v>!</v>
      </c>
      <c r="P220" s="16"/>
      <c r="Q220" s="17">
        <f>Price!F220</f>
        <v>2797.8062</v>
      </c>
      <c r="R220" s="318"/>
      <c r="S220" s="318"/>
      <c r="T220" s="12">
        <f>Price!G220</f>
        <v>1335726</v>
      </c>
      <c r="U220" s="252">
        <f>Price!H220</f>
        <v>227536</v>
      </c>
      <c r="V220" s="13"/>
      <c r="W220" s="13"/>
      <c r="X220" s="19"/>
      <c r="Y220" s="19"/>
    </row>
    <row r="221" spans="1:25" ht="15" thickBot="1" x14ac:dyDescent="0.4">
      <c r="A221" s="86" t="str">
        <f>IF($C$2=1,L221,IF($C$2=2,L222,IF($C$2=3,L223,IF($C$2=4,L224, IF($C$2=5, L225, "  chyba")))))</f>
        <v>Bočnice F 600mm, Orion šedá</v>
      </c>
      <c r="B221" s="87" t="str">
        <f t="shared" ref="B221" si="243">IF($C$2=1,M221,IF($C$2=2,M222,IF($C$2=3,M223,IF($C$2=4,M224, IF($C$2=5, M225, "  chyba")))))</f>
        <v>770F6002S</v>
      </c>
      <c r="C221" s="87" t="str">
        <f t="shared" ref="C221" si="244">IF($C$2=1,N221,IF($C$2=2,N222,IF($C$2=3,N223,IF($C$2=4,N224, IF($C$2=5, N225, "  chyba")))))</f>
        <v>OG-M</v>
      </c>
      <c r="D221" s="527">
        <f t="shared" ref="D221" si="245">IF($C$2=1,O221,IF($C$2=2,O222,IF($C$2=3,O223,IF($C$2=4,O224, IF($C$2=5, O225, "  chyba")))))</f>
        <v>0</v>
      </c>
      <c r="E221" s="88"/>
      <c r="F221" s="89">
        <f t="shared" ref="F221" si="246">IF($C$2=1,Q221,IF($C$2=2,Q222,IF($C$2=3,Q223,IF($C$2=4,Q224, IF($C$2=5, Q225, "  chyba")))))</f>
        <v>1792.6206400000001</v>
      </c>
      <c r="G221" s="65"/>
      <c r="H221" s="65"/>
      <c r="I221" s="168">
        <f t="shared" ref="I221" si="247">IF($C$2=1,T221,IF($C$2=2,T222,IF($C$2=3,T223,IF($C$2=4,T224, IF($C$2=5, T225, "  chyba")))))</f>
        <v>9299751</v>
      </c>
      <c r="J221" s="168">
        <f t="shared" ref="J221" si="248">IF($C$2=1,U221,IF($C$2=2,U222,IF($C$2=3,U223,IF($C$2=4,U224, IF($C$2=5, U225, "  chyba")))))</f>
        <v>227538</v>
      </c>
      <c r="K221" s="20"/>
      <c r="L221" s="61" t="str">
        <f>Price!A221</f>
        <v>Bočnice F 600mm, Orion šedá</v>
      </c>
      <c r="M221" s="15" t="str">
        <f>Price!B221</f>
        <v>770F6002S</v>
      </c>
      <c r="N221" s="15" t="str">
        <f>Price!C221</f>
        <v>OG-M</v>
      </c>
      <c r="O221" s="525">
        <f>Price!D221</f>
        <v>0</v>
      </c>
      <c r="P221" s="16"/>
      <c r="Q221" s="17">
        <f>Price!F221</f>
        <v>1792.6206400000001</v>
      </c>
      <c r="R221" s="318"/>
      <c r="S221" s="318"/>
      <c r="T221" s="12">
        <f>Price!G221</f>
        <v>9299751</v>
      </c>
      <c r="U221" s="252">
        <f>Price!H221</f>
        <v>227538</v>
      </c>
      <c r="V221" s="13"/>
      <c r="W221" s="13"/>
      <c r="X221" s="19"/>
      <c r="Y221" s="19"/>
    </row>
    <row r="222" spans="1:25" x14ac:dyDescent="0.35">
      <c r="A222" s="81"/>
      <c r="B222" s="160"/>
      <c r="C222" s="160"/>
      <c r="D222" s="528"/>
      <c r="E222" s="78"/>
      <c r="F222" s="65"/>
      <c r="G222" s="65"/>
      <c r="H222" s="65"/>
      <c r="I222" s="65"/>
      <c r="J222" s="65"/>
      <c r="K222" s="62"/>
      <c r="L222" s="61" t="str">
        <f>Price!A222</f>
        <v>Bočnice F 600mm, hedvábně bílá</v>
      </c>
      <c r="M222" s="15" t="str">
        <f>Price!B222</f>
        <v>770F6002S</v>
      </c>
      <c r="N222" s="15" t="str">
        <f>Price!C222</f>
        <v>SW-M</v>
      </c>
      <c r="O222" s="525">
        <f>Price!D222</f>
        <v>0</v>
      </c>
      <c r="P222" s="16"/>
      <c r="Q222" s="17">
        <f>Price!F222</f>
        <v>1792.6206400000001</v>
      </c>
      <c r="R222" s="318"/>
      <c r="S222" s="318"/>
      <c r="T222" s="12">
        <f>Price!G222</f>
        <v>9310682</v>
      </c>
      <c r="U222" s="252">
        <f>Price!H222</f>
        <v>227537</v>
      </c>
      <c r="V222" s="13"/>
      <c r="W222" s="13"/>
      <c r="X222" s="19"/>
      <c r="Y222" s="19"/>
    </row>
    <row r="223" spans="1:25" x14ac:dyDescent="0.35">
      <c r="A223" s="81"/>
      <c r="B223" s="160"/>
      <c r="C223" s="160"/>
      <c r="D223" s="528"/>
      <c r="E223" s="78"/>
      <c r="F223" s="65"/>
      <c r="G223" s="65"/>
      <c r="H223" s="65"/>
      <c r="I223" s="65"/>
      <c r="J223" s="65"/>
      <c r="K223" s="20"/>
      <c r="L223" s="61" t="str">
        <f>Price!A223</f>
        <v>Bočnice F 600mm, Terra černá</v>
      </c>
      <c r="M223" s="15" t="str">
        <f>Price!B223</f>
        <v>770F6002S</v>
      </c>
      <c r="N223" s="15" t="str">
        <f>Price!C223</f>
        <v>TS-M</v>
      </c>
      <c r="O223" s="525">
        <f>Price!D223</f>
        <v>0</v>
      </c>
      <c r="P223" s="16"/>
      <c r="Q223" s="17">
        <f>Price!F223</f>
        <v>1792.6206400000001</v>
      </c>
      <c r="R223" s="318"/>
      <c r="S223" s="318"/>
      <c r="T223" s="12">
        <f>Price!G223</f>
        <v>9313559</v>
      </c>
      <c r="U223" s="252">
        <f>Price!H223</f>
        <v>227539</v>
      </c>
      <c r="V223" s="13"/>
      <c r="X223" s="19"/>
      <c r="Y223" s="19"/>
    </row>
    <row r="224" spans="1:25" x14ac:dyDescent="0.35">
      <c r="A224" s="81"/>
      <c r="B224" s="160"/>
      <c r="C224" s="160"/>
      <c r="D224" s="528"/>
      <c r="E224" s="78"/>
      <c r="F224" s="65"/>
      <c r="G224" s="65"/>
      <c r="H224" s="65"/>
      <c r="I224" s="65"/>
      <c r="J224" s="65"/>
      <c r="K224" s="20"/>
      <c r="L224" s="61" t="str">
        <f>Price!A224</f>
        <v>Bočnice F 600mm, Polar stříbrná</v>
      </c>
      <c r="M224" s="15" t="str">
        <f>Price!B224</f>
        <v>770F6002S</v>
      </c>
      <c r="N224" s="15" t="str">
        <f>Price!C224</f>
        <v>PS-M</v>
      </c>
      <c r="O224" s="525">
        <f>Price!D224</f>
        <v>0</v>
      </c>
      <c r="P224" s="16"/>
      <c r="Q224" s="17">
        <f>Price!F224</f>
        <v>1792.6206400000001</v>
      </c>
      <c r="R224" s="318"/>
      <c r="S224" s="318"/>
      <c r="T224" s="12">
        <f>Price!G224</f>
        <v>9889359</v>
      </c>
      <c r="U224" s="252">
        <f>Price!H224</f>
        <v>348959</v>
      </c>
      <c r="V224" s="13"/>
      <c r="X224" s="19"/>
      <c r="Y224" s="19"/>
    </row>
    <row r="225" spans="1:25" x14ac:dyDescent="0.35">
      <c r="A225" s="81"/>
      <c r="B225" s="160"/>
      <c r="C225" s="160"/>
      <c r="D225" s="528"/>
      <c r="E225" s="78"/>
      <c r="F225" s="65"/>
      <c r="G225" s="65"/>
      <c r="H225" s="65"/>
      <c r="I225" s="65"/>
      <c r="J225" s="65"/>
      <c r="K225" s="20"/>
      <c r="L225" s="61" t="str">
        <f>Price!A225</f>
        <v>Bočnice F 600mm, nerez</v>
      </c>
      <c r="M225" s="15" t="str">
        <f>Price!B225</f>
        <v>770F6002I</v>
      </c>
      <c r="N225" s="15" t="str">
        <f>Price!C225</f>
        <v>Inox</v>
      </c>
      <c r="O225" s="525" t="str">
        <f>Price!D225</f>
        <v>!</v>
      </c>
      <c r="P225" s="16"/>
      <c r="Q225" s="17">
        <f>Price!F225</f>
        <v>3106.9193100000002</v>
      </c>
      <c r="R225" s="318"/>
      <c r="S225" s="318"/>
      <c r="T225" s="12">
        <f>Price!G225</f>
        <v>1351203</v>
      </c>
      <c r="U225" s="252">
        <f>Price!H225</f>
        <v>227540</v>
      </c>
      <c r="V225" s="13"/>
      <c r="W225" s="13"/>
      <c r="X225" s="19"/>
      <c r="Y225" s="19"/>
    </row>
    <row r="226" spans="1:25" ht="15" thickBot="1" x14ac:dyDescent="0.4">
      <c r="A226" s="86" t="str">
        <f>IF($C$2=1,L226,IF($C$2=2,L227,IF($C$2=3,L228,IF($C$2=4,L229, IF($C$2=5, L230, "  chyba")))))</f>
        <v>Bočnice F 650mm, Orion šedá</v>
      </c>
      <c r="B226" s="87" t="str">
        <f t="shared" ref="B226" si="249">IF($C$2=1,M226,IF($C$2=2,M227,IF($C$2=3,M228,IF($C$2=4,M229, IF($C$2=5, M230, "  chyba")))))</f>
        <v>770F6502S</v>
      </c>
      <c r="C226" s="87" t="str">
        <f t="shared" ref="C226" si="250">IF($C$2=1,N226,IF($C$2=2,N227,IF($C$2=3,N228,IF($C$2=4,N229, IF($C$2=5, N230, "  chyba")))))</f>
        <v>OG-M</v>
      </c>
      <c r="D226" s="527">
        <f t="shared" ref="D226" si="251">IF($C$2=1,O226,IF($C$2=2,O227,IF($C$2=3,O228,IF($C$2=4,O229, IF($C$2=5, O230, "  chyba")))))</f>
        <v>0</v>
      </c>
      <c r="E226" s="88"/>
      <c r="F226" s="89">
        <f t="shared" ref="F226" si="252">IF($C$2=1,Q226,IF($C$2=2,Q227,IF($C$2=3,Q228,IF($C$2=4,Q229, IF($C$2=5, Q230, "  chyba")))))</f>
        <v>1842.0827200000001</v>
      </c>
      <c r="G226" s="65"/>
      <c r="H226" s="65"/>
      <c r="I226" s="168">
        <f t="shared" ref="I226" si="253">IF($C$2=1,T226,IF($C$2=2,T227,IF($C$2=3,T228,IF($C$2=4,T229, IF($C$2=5, T230, "  chyba")))))</f>
        <v>1876579</v>
      </c>
      <c r="J226" s="168">
        <f t="shared" ref="J226" si="254">IF($C$2=1,U226,IF($C$2=2,U227,IF($C$2=3,U228,IF($C$2=4,U229, IF($C$2=5, U230, "  chyba")))))</f>
        <v>256462</v>
      </c>
      <c r="K226" s="20"/>
      <c r="L226" s="61" t="str">
        <f>Price!A226</f>
        <v>Bočnice F 650mm, Orion šedá</v>
      </c>
      <c r="M226" s="15" t="str">
        <f>Price!B226</f>
        <v>770F6502S</v>
      </c>
      <c r="N226" s="15" t="str">
        <f>Price!C226</f>
        <v>OG-M</v>
      </c>
      <c r="O226" s="525">
        <f>Price!D226</f>
        <v>0</v>
      </c>
      <c r="P226" s="16"/>
      <c r="Q226" s="17">
        <f>Price!F226</f>
        <v>1842.0827200000001</v>
      </c>
      <c r="R226" s="318"/>
      <c r="S226" s="318"/>
      <c r="T226" s="12">
        <f>Price!G226</f>
        <v>1876579</v>
      </c>
      <c r="U226" s="252">
        <f>Price!H226</f>
        <v>256462</v>
      </c>
      <c r="V226" s="13"/>
      <c r="W226" s="13"/>
      <c r="X226" s="19"/>
      <c r="Y226" s="19"/>
    </row>
    <row r="227" spans="1:25" x14ac:dyDescent="0.35">
      <c r="A227" s="81"/>
      <c r="B227" s="160"/>
      <c r="C227" s="160"/>
      <c r="D227" s="528"/>
      <c r="E227" s="78"/>
      <c r="F227" s="65"/>
      <c r="G227" s="65"/>
      <c r="H227" s="65"/>
      <c r="I227" s="65"/>
      <c r="J227" s="65"/>
      <c r="K227" s="20"/>
      <c r="L227" s="61" t="str">
        <f>Price!A227</f>
        <v>Bočnice F 650mm, hedvábně bílá</v>
      </c>
      <c r="M227" s="15" t="str">
        <f>Price!B227</f>
        <v>770F6502S</v>
      </c>
      <c r="N227" s="15" t="str">
        <f>Price!C227</f>
        <v>SW-M</v>
      </c>
      <c r="O227" s="525">
        <f>Price!D227</f>
        <v>0</v>
      </c>
      <c r="P227" s="16"/>
      <c r="Q227" s="17">
        <f>Price!F227</f>
        <v>1842.0827200000001</v>
      </c>
      <c r="R227" s="318"/>
      <c r="S227" s="318"/>
      <c r="T227" s="12">
        <f>Price!G227</f>
        <v>4138347</v>
      </c>
      <c r="U227" s="252">
        <f>Price!H227</f>
        <v>256461</v>
      </c>
      <c r="V227" s="13"/>
      <c r="W227" s="13"/>
      <c r="X227" s="19"/>
      <c r="Y227" s="19"/>
    </row>
    <row r="228" spans="1:25" x14ac:dyDescent="0.35">
      <c r="A228" s="81"/>
      <c r="B228" s="160"/>
      <c r="C228" s="160"/>
      <c r="D228" s="528"/>
      <c r="E228" s="78"/>
      <c r="F228" s="65"/>
      <c r="G228" s="65"/>
      <c r="H228" s="65"/>
      <c r="I228" s="65"/>
      <c r="J228" s="65"/>
      <c r="K228" s="20"/>
      <c r="L228" s="61" t="str">
        <f>Price!A228</f>
        <v>Bočnice F 650mm, Terra černá</v>
      </c>
      <c r="M228" s="15" t="str">
        <f>Price!B228</f>
        <v>770F6502S</v>
      </c>
      <c r="N228" s="15" t="str">
        <f>Price!C228</f>
        <v>TS-M</v>
      </c>
      <c r="O228" s="525">
        <f>Price!D228</f>
        <v>0</v>
      </c>
      <c r="P228" s="16"/>
      <c r="Q228" s="17">
        <f>Price!F228</f>
        <v>1842.0827200000001</v>
      </c>
      <c r="R228" s="318"/>
      <c r="S228" s="318"/>
      <c r="T228" s="12">
        <f>Price!G228</f>
        <v>6910399</v>
      </c>
      <c r="U228" s="252">
        <f>Price!H228</f>
        <v>256463</v>
      </c>
      <c r="V228" s="13"/>
      <c r="W228" s="13"/>
      <c r="X228" s="19"/>
      <c r="Y228" s="19"/>
    </row>
    <row r="229" spans="1:25" x14ac:dyDescent="0.35">
      <c r="A229" s="81"/>
      <c r="B229" s="160"/>
      <c r="C229" s="160"/>
      <c r="D229" s="528"/>
      <c r="E229" s="78"/>
      <c r="F229" s="65"/>
      <c r="G229" s="65"/>
      <c r="H229" s="65"/>
      <c r="I229" s="65"/>
      <c r="J229" s="65"/>
      <c r="K229" s="20"/>
      <c r="L229" s="61" t="str">
        <f>Price!A229</f>
        <v>Bočnice F 650mm, Polar stříbrná</v>
      </c>
      <c r="M229" s="15" t="str">
        <f>Price!B229</f>
        <v>770F6502S</v>
      </c>
      <c r="N229" s="15" t="str">
        <f>Price!C229</f>
        <v>PS-M</v>
      </c>
      <c r="O229" s="525">
        <f>Price!D229</f>
        <v>0</v>
      </c>
      <c r="P229" s="16"/>
      <c r="Q229" s="17">
        <f>Price!F229</f>
        <v>1842.0827200000001</v>
      </c>
      <c r="R229" s="318"/>
      <c r="S229" s="318"/>
      <c r="T229" s="12">
        <f>Price!G229</f>
        <v>3919936</v>
      </c>
      <c r="U229" s="252">
        <f>Price!H229</f>
        <v>348960</v>
      </c>
      <c r="V229" s="13"/>
      <c r="W229" s="13"/>
      <c r="X229" s="19"/>
      <c r="Y229" s="19"/>
    </row>
    <row r="230" spans="1:25" x14ac:dyDescent="0.35">
      <c r="A230" s="81"/>
      <c r="B230" s="160"/>
      <c r="C230" s="160"/>
      <c r="D230" s="528"/>
      <c r="E230" s="78"/>
      <c r="F230" s="65"/>
      <c r="G230" s="65"/>
      <c r="H230" s="65"/>
      <c r="I230" s="65"/>
      <c r="J230" s="65"/>
      <c r="K230" s="20"/>
      <c r="L230" s="61" t="str">
        <f>Price!A230</f>
        <v>Bočnice F 650mm, nerez</v>
      </c>
      <c r="M230" s="15" t="str">
        <f>Price!B230</f>
        <v>770F6502I</v>
      </c>
      <c r="N230" s="15" t="str">
        <f>Price!C230</f>
        <v>Inox</v>
      </c>
      <c r="O230" s="525" t="str">
        <f>Price!D230</f>
        <v>!</v>
      </c>
      <c r="P230" s="16"/>
      <c r="Q230" s="17">
        <f>Price!F230</f>
        <v>3264.9195199999999</v>
      </c>
      <c r="R230" s="318"/>
      <c r="S230" s="318"/>
      <c r="T230" s="12">
        <f>Price!G230</f>
        <v>3797708</v>
      </c>
      <c r="U230" s="252">
        <f>Price!H230</f>
        <v>256464</v>
      </c>
      <c r="V230" s="13"/>
      <c r="W230" s="13"/>
      <c r="X230" s="19"/>
      <c r="Y230" s="19"/>
    </row>
    <row r="231" spans="1:25" x14ac:dyDescent="0.35">
      <c r="A231" s="81"/>
      <c r="B231" s="160"/>
      <c r="C231" s="160"/>
      <c r="D231" s="528"/>
      <c r="E231" s="78"/>
      <c r="F231" s="65"/>
      <c r="G231" s="65"/>
      <c r="H231" s="65"/>
      <c r="I231" s="65"/>
      <c r="J231" s="65"/>
      <c r="K231" s="62"/>
      <c r="L231" s="61">
        <f>Price!A231</f>
        <v>0</v>
      </c>
      <c r="M231" s="15">
        <f>Price!B231</f>
        <v>0</v>
      </c>
      <c r="N231" s="15">
        <f>Price!C231</f>
        <v>0</v>
      </c>
      <c r="O231" s="525">
        <f>Price!D231</f>
        <v>0</v>
      </c>
      <c r="P231" s="16"/>
      <c r="Q231" s="17">
        <f>Price!F231</f>
        <v>0</v>
      </c>
      <c r="R231" s="318"/>
      <c r="S231" s="318"/>
      <c r="T231" s="12">
        <f>Price!G231</f>
        <v>0</v>
      </c>
      <c r="U231" s="252">
        <f>Price!H231</f>
        <v>0</v>
      </c>
      <c r="V231" s="13"/>
      <c r="W231" s="13"/>
      <c r="X231" s="19"/>
      <c r="Y231" s="19"/>
    </row>
    <row r="232" spans="1:25" x14ac:dyDescent="0.35">
      <c r="A232" s="90" t="str">
        <f t="shared" ref="A232:A238" si="255">L232</f>
        <v>Boční zásuvné prvky, sklo, pro 350 mm</v>
      </c>
      <c r="B232" s="91" t="str">
        <f t="shared" ref="B232:B238" si="256">M232</f>
        <v>ZE7S238G</v>
      </c>
      <c r="C232" s="91" t="str">
        <f t="shared" ref="C232:C238" si="257">N232</f>
        <v>KLA</v>
      </c>
      <c r="D232" s="91">
        <f t="shared" ref="D232:D238" si="258">O232</f>
        <v>0</v>
      </c>
      <c r="E232" s="92">
        <f t="shared" ref="E232:E238" si="259">P232</f>
        <v>0</v>
      </c>
      <c r="F232" s="17">
        <f t="shared" ref="F232:F238" si="260">Q232*(100-$F$6)/100</f>
        <v>625.33465999999999</v>
      </c>
      <c r="G232" s="65"/>
      <c r="H232" s="65"/>
      <c r="I232" s="169">
        <f t="shared" ref="I232:I238" si="261">T232</f>
        <v>6061082</v>
      </c>
      <c r="J232" s="169">
        <f t="shared" ref="J232:J238" si="262">U232</f>
        <v>256611</v>
      </c>
      <c r="K232" s="20"/>
      <c r="L232" s="61" t="str">
        <f>Price!A232</f>
        <v>Boční zásuvné prvky, sklo, pro 350 mm</v>
      </c>
      <c r="M232" s="15" t="str">
        <f>Price!B232</f>
        <v>ZE7S238G</v>
      </c>
      <c r="N232" s="15" t="str">
        <f>Price!C232</f>
        <v>KLA</v>
      </c>
      <c r="O232" s="525">
        <f>Price!D232</f>
        <v>0</v>
      </c>
      <c r="P232" s="16"/>
      <c r="Q232" s="17">
        <f>Price!F232</f>
        <v>625.33465999999999</v>
      </c>
      <c r="R232" s="318"/>
      <c r="S232" s="318"/>
      <c r="T232" s="12">
        <f>Price!G232</f>
        <v>6061082</v>
      </c>
      <c r="U232" s="252">
        <f>Price!H232</f>
        <v>256611</v>
      </c>
      <c r="V232" s="13"/>
      <c r="W232" s="13"/>
      <c r="X232" s="19"/>
      <c r="Y232" s="19"/>
    </row>
    <row r="233" spans="1:25" x14ac:dyDescent="0.35">
      <c r="A233" s="90" t="str">
        <f t="shared" si="255"/>
        <v>Boční zásuvné prvky, sklo, pro 400 mm</v>
      </c>
      <c r="B233" s="91" t="str">
        <f t="shared" si="256"/>
        <v>ZE7S288G</v>
      </c>
      <c r="C233" s="91" t="str">
        <f t="shared" si="257"/>
        <v>KLA</v>
      </c>
      <c r="D233" s="91">
        <f t="shared" si="258"/>
        <v>0</v>
      </c>
      <c r="E233" s="92">
        <f t="shared" si="259"/>
        <v>0</v>
      </c>
      <c r="F233" s="17">
        <f t="shared" si="260"/>
        <v>660.74360999999999</v>
      </c>
      <c r="G233" s="65"/>
      <c r="H233" s="65"/>
      <c r="I233" s="169">
        <f t="shared" si="261"/>
        <v>3508415</v>
      </c>
      <c r="J233" s="169">
        <f t="shared" si="262"/>
        <v>257252</v>
      </c>
      <c r="K233" s="20"/>
      <c r="L233" s="61" t="str">
        <f>Price!A233</f>
        <v>Boční zásuvné prvky, sklo, pro 400 mm</v>
      </c>
      <c r="M233" s="15" t="str">
        <f>Price!B233</f>
        <v>ZE7S288G</v>
      </c>
      <c r="N233" s="15" t="str">
        <f>Price!C233</f>
        <v>KLA</v>
      </c>
      <c r="O233" s="525">
        <f>Price!D233</f>
        <v>0</v>
      </c>
      <c r="P233" s="16"/>
      <c r="Q233" s="17">
        <f>Price!F233</f>
        <v>660.74360999999999</v>
      </c>
      <c r="R233" s="318"/>
      <c r="S233" s="318"/>
      <c r="T233" s="12">
        <f>Price!G233</f>
        <v>3508415</v>
      </c>
      <c r="U233" s="252">
        <f>Price!H233</f>
        <v>257252</v>
      </c>
      <c r="V233" s="13"/>
      <c r="W233" s="13"/>
      <c r="X233" s="19"/>
      <c r="Y233" s="19"/>
    </row>
    <row r="234" spans="1:25" x14ac:dyDescent="0.35">
      <c r="A234" s="90" t="str">
        <f t="shared" si="255"/>
        <v>Boční zásuvné prvky, sklo, pro 450 mm</v>
      </c>
      <c r="B234" s="91" t="str">
        <f t="shared" si="256"/>
        <v>ZE7S338G</v>
      </c>
      <c r="C234" s="91" t="str">
        <f t="shared" si="257"/>
        <v>KLA</v>
      </c>
      <c r="D234" s="91">
        <f t="shared" si="258"/>
        <v>0</v>
      </c>
      <c r="E234" s="92">
        <f t="shared" si="259"/>
        <v>0</v>
      </c>
      <c r="F234" s="17">
        <f t="shared" si="260"/>
        <v>696.15254000000004</v>
      </c>
      <c r="G234" s="65"/>
      <c r="H234" s="65"/>
      <c r="I234" s="169">
        <f t="shared" si="261"/>
        <v>1507620</v>
      </c>
      <c r="J234" s="169">
        <f t="shared" si="262"/>
        <v>257253</v>
      </c>
      <c r="K234" s="20"/>
      <c r="L234" s="61" t="str">
        <f>Price!A234</f>
        <v>Boční zásuvné prvky, sklo, pro 450 mm</v>
      </c>
      <c r="M234" s="15" t="str">
        <f>Price!B234</f>
        <v>ZE7S338G</v>
      </c>
      <c r="N234" s="15" t="str">
        <f>Price!C234</f>
        <v>KLA</v>
      </c>
      <c r="O234" s="525">
        <f>Price!D234</f>
        <v>0</v>
      </c>
      <c r="P234" s="16"/>
      <c r="Q234" s="17">
        <f>Price!F234</f>
        <v>696.15254000000004</v>
      </c>
      <c r="R234" s="318"/>
      <c r="S234" s="318"/>
      <c r="T234" s="12">
        <f>Price!G234</f>
        <v>1507620</v>
      </c>
      <c r="U234" s="252">
        <f>Price!H234</f>
        <v>257253</v>
      </c>
      <c r="V234" s="13"/>
      <c r="W234" s="13"/>
      <c r="X234" s="19"/>
      <c r="Y234" s="19"/>
    </row>
    <row r="235" spans="1:25" x14ac:dyDescent="0.35">
      <c r="A235" s="90" t="str">
        <f t="shared" si="255"/>
        <v>Boční zásuvné prvky, sklo, pro 500 mm</v>
      </c>
      <c r="B235" s="91" t="str">
        <f t="shared" si="256"/>
        <v>ZE7S388G</v>
      </c>
      <c r="C235" s="91" t="str">
        <f t="shared" si="257"/>
        <v>KLA</v>
      </c>
      <c r="D235" s="91">
        <f t="shared" si="258"/>
        <v>0</v>
      </c>
      <c r="E235" s="92">
        <f t="shared" si="259"/>
        <v>0</v>
      </c>
      <c r="F235" s="17">
        <f t="shared" si="260"/>
        <v>731.56149000000005</v>
      </c>
      <c r="G235" s="65"/>
      <c r="H235" s="65"/>
      <c r="I235" s="169">
        <f t="shared" si="261"/>
        <v>3863908</v>
      </c>
      <c r="J235" s="169">
        <f t="shared" si="262"/>
        <v>257254</v>
      </c>
      <c r="K235" s="20"/>
      <c r="L235" s="61" t="str">
        <f>Price!A235</f>
        <v>Boční zásuvné prvky, sklo, pro 500 mm</v>
      </c>
      <c r="M235" s="15" t="str">
        <f>Price!B235</f>
        <v>ZE7S388G</v>
      </c>
      <c r="N235" s="15" t="str">
        <f>Price!C235</f>
        <v>KLA</v>
      </c>
      <c r="O235" s="525">
        <f>Price!D235</f>
        <v>0</v>
      </c>
      <c r="P235" s="16"/>
      <c r="Q235" s="17">
        <f>Price!F235</f>
        <v>731.56149000000005</v>
      </c>
      <c r="R235" s="318"/>
      <c r="S235" s="318"/>
      <c r="T235" s="12">
        <f>Price!G235</f>
        <v>3863908</v>
      </c>
      <c r="U235" s="252">
        <f>Price!H235</f>
        <v>257254</v>
      </c>
      <c r="V235" s="13"/>
      <c r="W235" s="13"/>
      <c r="X235" s="19"/>
      <c r="Y235" s="19"/>
    </row>
    <row r="236" spans="1:25" x14ac:dyDescent="0.35">
      <c r="A236" s="90" t="str">
        <f t="shared" si="255"/>
        <v>Boční zásuvné prvky, sklo, pro 550 mm</v>
      </c>
      <c r="B236" s="91" t="str">
        <f t="shared" si="256"/>
        <v>ZE7S438G</v>
      </c>
      <c r="C236" s="91" t="str">
        <f t="shared" si="257"/>
        <v>KLA</v>
      </c>
      <c r="D236" s="91">
        <f t="shared" si="258"/>
        <v>0</v>
      </c>
      <c r="E236" s="92">
        <f t="shared" si="259"/>
        <v>0</v>
      </c>
      <c r="F236" s="17">
        <f t="shared" si="260"/>
        <v>802.35667000000001</v>
      </c>
      <c r="G236" s="65"/>
      <c r="H236" s="65"/>
      <c r="I236" s="169">
        <f t="shared" si="261"/>
        <v>3232216</v>
      </c>
      <c r="J236" s="169">
        <f t="shared" si="262"/>
        <v>257255</v>
      </c>
      <c r="K236" s="20"/>
      <c r="L236" s="61" t="str">
        <f>Price!A236</f>
        <v>Boční zásuvné prvky, sklo, pro 550 mm</v>
      </c>
      <c r="M236" s="15" t="str">
        <f>Price!B236</f>
        <v>ZE7S438G</v>
      </c>
      <c r="N236" s="15" t="str">
        <f>Price!C236</f>
        <v>KLA</v>
      </c>
      <c r="O236" s="525">
        <f>Price!D236</f>
        <v>0</v>
      </c>
      <c r="P236" s="16"/>
      <c r="Q236" s="17">
        <f>Price!F236</f>
        <v>802.35667000000001</v>
      </c>
      <c r="R236" s="318"/>
      <c r="S236" s="318"/>
      <c r="T236" s="12">
        <f>Price!G236</f>
        <v>3232216</v>
      </c>
      <c r="U236" s="252">
        <f>Price!H236</f>
        <v>257255</v>
      </c>
      <c r="V236" s="13"/>
      <c r="W236" s="13"/>
      <c r="X236" s="19"/>
      <c r="Y236" s="19"/>
    </row>
    <row r="237" spans="1:25" x14ac:dyDescent="0.35">
      <c r="A237" s="90" t="str">
        <f t="shared" si="255"/>
        <v>Boční zásuvné prvky, sklo, pro 600 mm</v>
      </c>
      <c r="B237" s="91" t="str">
        <f t="shared" si="256"/>
        <v>ZE7S488G</v>
      </c>
      <c r="C237" s="91" t="str">
        <f t="shared" si="257"/>
        <v>KLA</v>
      </c>
      <c r="D237" s="91">
        <f t="shared" si="258"/>
        <v>0</v>
      </c>
      <c r="E237" s="92">
        <f t="shared" si="259"/>
        <v>0</v>
      </c>
      <c r="F237" s="17">
        <f t="shared" si="260"/>
        <v>873.15183000000002</v>
      </c>
      <c r="G237" s="65"/>
      <c r="H237" s="65"/>
      <c r="I237" s="169">
        <f t="shared" si="261"/>
        <v>4637982</v>
      </c>
      <c r="J237" s="169">
        <f t="shared" si="262"/>
        <v>257256</v>
      </c>
      <c r="K237" s="20"/>
      <c r="L237" s="61" t="str">
        <f>Price!A237</f>
        <v>Boční zásuvné prvky, sklo, pro 600 mm</v>
      </c>
      <c r="M237" s="15" t="str">
        <f>Price!B237</f>
        <v>ZE7S488G</v>
      </c>
      <c r="N237" s="15" t="str">
        <f>Price!C237</f>
        <v>KLA</v>
      </c>
      <c r="O237" s="525">
        <f>Price!D237</f>
        <v>0</v>
      </c>
      <c r="P237" s="16"/>
      <c r="Q237" s="17">
        <f>Price!F237</f>
        <v>873.15183000000002</v>
      </c>
      <c r="R237" s="318"/>
      <c r="S237" s="318"/>
      <c r="T237" s="12">
        <f>Price!G237</f>
        <v>4637982</v>
      </c>
      <c r="U237" s="252">
        <f>Price!H237</f>
        <v>257256</v>
      </c>
      <c r="V237" s="13"/>
      <c r="W237" s="13"/>
      <c r="X237" s="19"/>
      <c r="Y237" s="19"/>
    </row>
    <row r="238" spans="1:25" x14ac:dyDescent="0.35">
      <c r="A238" s="90" t="str">
        <f t="shared" si="255"/>
        <v>Boční zásuvné prvky, sklo, pro 650 mm</v>
      </c>
      <c r="B238" s="91" t="str">
        <f t="shared" si="256"/>
        <v>ZE7S538G</v>
      </c>
      <c r="C238" s="91" t="str">
        <f t="shared" si="257"/>
        <v>KLA</v>
      </c>
      <c r="D238" s="91">
        <f t="shared" si="258"/>
        <v>0</v>
      </c>
      <c r="E238" s="92">
        <f t="shared" si="259"/>
        <v>0</v>
      </c>
      <c r="F238" s="17">
        <f t="shared" si="260"/>
        <v>943.94700999999998</v>
      </c>
      <c r="G238" s="65"/>
      <c r="H238" s="65"/>
      <c r="I238" s="169">
        <f t="shared" si="261"/>
        <v>5250952</v>
      </c>
      <c r="J238" s="169">
        <f t="shared" si="262"/>
        <v>257258</v>
      </c>
      <c r="K238" s="20"/>
      <c r="L238" s="61" t="str">
        <f>Price!A238</f>
        <v>Boční zásuvné prvky, sklo, pro 650 mm</v>
      </c>
      <c r="M238" s="15" t="str">
        <f>Price!B238</f>
        <v>ZE7S538G</v>
      </c>
      <c r="N238" s="15" t="str">
        <f>Price!C238</f>
        <v>KLA</v>
      </c>
      <c r="O238" s="525">
        <f>Price!D238</f>
        <v>0</v>
      </c>
      <c r="P238" s="16"/>
      <c r="Q238" s="17">
        <f>Price!F238</f>
        <v>943.94700999999998</v>
      </c>
      <c r="R238" s="318"/>
      <c r="S238" s="318"/>
      <c r="T238" s="12">
        <f>Price!G238</f>
        <v>5250952</v>
      </c>
      <c r="U238" s="252">
        <f>Price!H238</f>
        <v>257258</v>
      </c>
      <c r="V238" s="13"/>
      <c r="W238" s="13"/>
      <c r="X238" s="19"/>
      <c r="Y238" s="19"/>
    </row>
    <row r="239" spans="1:25" x14ac:dyDescent="0.35">
      <c r="A239" s="81"/>
      <c r="B239" s="160"/>
      <c r="C239" s="160"/>
      <c r="D239" s="528"/>
      <c r="E239" s="78"/>
      <c r="F239" s="65"/>
      <c r="G239" s="65"/>
      <c r="H239" s="65"/>
      <c r="I239" s="65"/>
      <c r="J239" s="65"/>
      <c r="K239" s="20"/>
      <c r="L239" s="61">
        <f>Price!A239</f>
        <v>0</v>
      </c>
      <c r="M239" s="15">
        <f>Price!B239</f>
        <v>0</v>
      </c>
      <c r="N239" s="15">
        <f>Price!C239</f>
        <v>0</v>
      </c>
      <c r="O239" s="525">
        <f>Price!D239</f>
        <v>0</v>
      </c>
      <c r="P239" s="16"/>
      <c r="Q239" s="17">
        <f>Price!F239</f>
        <v>0</v>
      </c>
      <c r="R239" s="318"/>
      <c r="S239" s="318"/>
      <c r="T239" s="12">
        <f>Price!G239</f>
        <v>0</v>
      </c>
      <c r="U239" s="252">
        <f>Price!H239</f>
        <v>0</v>
      </c>
      <c r="V239" s="13"/>
      <c r="W239" s="13"/>
      <c r="X239" s="19"/>
      <c r="Y239" s="19"/>
    </row>
    <row r="240" spans="1:25" x14ac:dyDescent="0.35">
      <c r="A240" s="81"/>
      <c r="B240" s="160"/>
      <c r="C240" s="160"/>
      <c r="D240" s="528"/>
      <c r="E240" s="78"/>
      <c r="F240" s="65"/>
      <c r="G240" s="65"/>
      <c r="H240" s="65"/>
      <c r="I240" s="65"/>
      <c r="J240" s="65"/>
      <c r="K240" s="62"/>
      <c r="L240" s="61" t="str">
        <f>Price!A240</f>
        <v xml:space="preserve">   Korpusové lišty BLUMOTION S</v>
      </c>
      <c r="M240" s="15">
        <f>Price!B240</f>
        <v>0</v>
      </c>
      <c r="N240" s="15">
        <f>Price!C240</f>
        <v>0</v>
      </c>
      <c r="O240" s="525">
        <f>Price!D240</f>
        <v>0</v>
      </c>
      <c r="P240" s="16"/>
      <c r="Q240" s="17">
        <f>Price!F240</f>
        <v>0</v>
      </c>
      <c r="R240" s="318"/>
      <c r="S240" s="318"/>
      <c r="T240" s="12">
        <f>Price!G240</f>
        <v>0</v>
      </c>
      <c r="U240" s="252">
        <f>Price!H240</f>
        <v>0</v>
      </c>
      <c r="V240" s="13"/>
      <c r="X240" s="19"/>
      <c r="Y240" s="19"/>
    </row>
    <row r="241" spans="1:25" x14ac:dyDescent="0.35">
      <c r="A241" s="90" t="str">
        <f>L241</f>
        <v>Korpusové lišty BLUMOTION S, 270mm, 40kg</v>
      </c>
      <c r="B241" s="91" t="str">
        <f>M241</f>
        <v>750.2701S</v>
      </c>
      <c r="C241" s="91" t="str">
        <f>N241</f>
        <v>ZN</v>
      </c>
      <c r="D241" s="91">
        <f>O241</f>
        <v>0</v>
      </c>
      <c r="E241" s="92">
        <f>P241</f>
        <v>0</v>
      </c>
      <c r="F241" s="17">
        <f t="shared" ref="F241:F252" si="263">Q241*(100-$F$6)/100</f>
        <v>695.93676999999991</v>
      </c>
      <c r="G241" s="65"/>
      <c r="H241" s="65"/>
      <c r="I241" s="169">
        <f>T241</f>
        <v>2375622</v>
      </c>
      <c r="J241" s="169">
        <f>U241</f>
        <v>349902</v>
      </c>
      <c r="K241" s="20"/>
      <c r="L241" s="61" t="str">
        <f>Price!A241</f>
        <v>Korpusové lišty BLUMOTION S, 270mm, 40kg</v>
      </c>
      <c r="M241" s="15" t="str">
        <f>Price!B241</f>
        <v>750.2701S</v>
      </c>
      <c r="N241" s="15" t="str">
        <f>Price!C241</f>
        <v>ZN</v>
      </c>
      <c r="O241" s="525">
        <f>Price!D241</f>
        <v>0</v>
      </c>
      <c r="P241" s="16"/>
      <c r="Q241" s="17">
        <f>Price!F241</f>
        <v>695.93677000000002</v>
      </c>
      <c r="R241" s="318"/>
      <c r="S241" s="318"/>
      <c r="T241" s="12">
        <f>Price!G241</f>
        <v>2375622</v>
      </c>
      <c r="U241" s="252">
        <f>Price!H241</f>
        <v>349902</v>
      </c>
      <c r="V241" s="13"/>
      <c r="W241" s="13"/>
      <c r="X241" s="19"/>
      <c r="Y241" s="19"/>
    </row>
    <row r="242" spans="1:25" x14ac:dyDescent="0.35">
      <c r="A242" s="90" t="str">
        <f t="shared" ref="A242:A252" si="264">L242</f>
        <v>Korpusové lišty BLUMOTION S, 300mm, 40kg</v>
      </c>
      <c r="B242" s="91" t="str">
        <f t="shared" ref="B242:B252" si="265">M242</f>
        <v>750.3001S</v>
      </c>
      <c r="C242" s="91" t="str">
        <f t="shared" ref="C242:D252" si="266">N242</f>
        <v>ZN</v>
      </c>
      <c r="D242" s="91">
        <f t="shared" si="266"/>
        <v>0</v>
      </c>
      <c r="E242" s="92">
        <f t="shared" ref="E242:E252" si="267">P242</f>
        <v>0</v>
      </c>
      <c r="F242" s="17">
        <f t="shared" si="263"/>
        <v>695.93676999999991</v>
      </c>
      <c r="G242" s="65"/>
      <c r="H242" s="65"/>
      <c r="I242" s="169">
        <f t="shared" ref="I242:I252" si="268">T242</f>
        <v>3551699</v>
      </c>
      <c r="J242" s="169">
        <f t="shared" ref="J242:J252" si="269">U242</f>
        <v>349903</v>
      </c>
      <c r="K242" s="20"/>
      <c r="L242" s="61" t="str">
        <f>Price!A242</f>
        <v>Korpusové lišty BLUMOTION S, 300mm, 40kg</v>
      </c>
      <c r="M242" s="15" t="str">
        <f>Price!B242</f>
        <v>750.3001S</v>
      </c>
      <c r="N242" s="15" t="str">
        <f>Price!C242</f>
        <v>ZN</v>
      </c>
      <c r="O242" s="525">
        <f>Price!D242</f>
        <v>0</v>
      </c>
      <c r="P242" s="16"/>
      <c r="Q242" s="17">
        <f>Price!F242</f>
        <v>695.93677000000002</v>
      </c>
      <c r="R242" s="318"/>
      <c r="S242" s="318"/>
      <c r="T242" s="12">
        <f>Price!G242</f>
        <v>3551699</v>
      </c>
      <c r="U242" s="252">
        <f>Price!H242</f>
        <v>349903</v>
      </c>
      <c r="V242" s="13"/>
      <c r="W242" s="13"/>
      <c r="X242" s="19"/>
      <c r="Y242" s="19"/>
    </row>
    <row r="243" spans="1:25" x14ac:dyDescent="0.35">
      <c r="A243" s="90" t="str">
        <f t="shared" si="264"/>
        <v>Korpusové lišty BLUMOTION S, 350mm, 40kg</v>
      </c>
      <c r="B243" s="91" t="str">
        <f t="shared" si="265"/>
        <v>750.3501S</v>
      </c>
      <c r="C243" s="91" t="str">
        <f t="shared" si="266"/>
        <v>ZN</v>
      </c>
      <c r="D243" s="91">
        <f t="shared" si="266"/>
        <v>0</v>
      </c>
      <c r="E243" s="92">
        <f t="shared" si="267"/>
        <v>0</v>
      </c>
      <c r="F243" s="17">
        <f t="shared" si="263"/>
        <v>695.93676999999991</v>
      </c>
      <c r="G243" s="65"/>
      <c r="H243" s="65"/>
      <c r="I243" s="169">
        <f t="shared" si="268"/>
        <v>3572710</v>
      </c>
      <c r="J243" s="169">
        <f t="shared" si="269"/>
        <v>349904</v>
      </c>
      <c r="K243" s="20"/>
      <c r="L243" s="61" t="str">
        <f>Price!A243</f>
        <v>Korpusové lišty BLUMOTION S, 350mm, 40kg</v>
      </c>
      <c r="M243" s="15" t="str">
        <f>Price!B243</f>
        <v>750.3501S</v>
      </c>
      <c r="N243" s="15" t="str">
        <f>Price!C243</f>
        <v>ZN</v>
      </c>
      <c r="O243" s="525">
        <f>Price!D243</f>
        <v>0</v>
      </c>
      <c r="P243" s="16"/>
      <c r="Q243" s="17">
        <f>Price!F243</f>
        <v>695.93677000000002</v>
      </c>
      <c r="R243" s="318"/>
      <c r="S243" s="318"/>
      <c r="T243" s="12">
        <f>Price!G243</f>
        <v>3572710</v>
      </c>
      <c r="U243" s="252">
        <f>Price!H243</f>
        <v>349904</v>
      </c>
      <c r="V243" s="13"/>
      <c r="W243" s="13"/>
      <c r="X243" s="19"/>
      <c r="Y243" s="19"/>
    </row>
    <row r="244" spans="1:25" x14ac:dyDescent="0.35">
      <c r="A244" s="90" t="str">
        <f t="shared" si="264"/>
        <v>Korpusové lišty BLUMOTION S, 400mm, 40kg</v>
      </c>
      <c r="B244" s="91" t="str">
        <f t="shared" si="265"/>
        <v>750.4001S</v>
      </c>
      <c r="C244" s="91" t="str">
        <f t="shared" si="266"/>
        <v>ZN</v>
      </c>
      <c r="D244" s="91">
        <f t="shared" si="266"/>
        <v>0</v>
      </c>
      <c r="E244" s="92">
        <f t="shared" si="267"/>
        <v>0</v>
      </c>
      <c r="F244" s="17">
        <f t="shared" si="263"/>
        <v>704.8</v>
      </c>
      <c r="G244" s="65"/>
      <c r="H244" s="65"/>
      <c r="I244" s="169">
        <f t="shared" si="268"/>
        <v>4584771</v>
      </c>
      <c r="J244" s="169">
        <f t="shared" si="269"/>
        <v>349905</v>
      </c>
      <c r="K244" s="20"/>
      <c r="L244" s="61" t="str">
        <f>Price!A244</f>
        <v>Korpusové lišty BLUMOTION S, 400mm, 40kg</v>
      </c>
      <c r="M244" s="15" t="str">
        <f>Price!B244</f>
        <v>750.4001S</v>
      </c>
      <c r="N244" s="15" t="str">
        <f>Price!C244</f>
        <v>ZN</v>
      </c>
      <c r="O244" s="525">
        <f>Price!D244</f>
        <v>0</v>
      </c>
      <c r="P244" s="16"/>
      <c r="Q244" s="17">
        <f>Price!F244</f>
        <v>704.8</v>
      </c>
      <c r="R244" s="318"/>
      <c r="S244" s="318"/>
      <c r="T244" s="12">
        <f>Price!G244</f>
        <v>4584771</v>
      </c>
      <c r="U244" s="252">
        <f>Price!H244</f>
        <v>349905</v>
      </c>
      <c r="V244" s="13"/>
      <c r="W244" s="13"/>
      <c r="X244" s="19"/>
      <c r="Y244" s="19"/>
    </row>
    <row r="245" spans="1:25" x14ac:dyDescent="0.35">
      <c r="A245" s="90" t="str">
        <f t="shared" si="264"/>
        <v>Korpusové lišty BLUMOTION S, 450mm, 40kg</v>
      </c>
      <c r="B245" s="91" t="str">
        <f t="shared" si="265"/>
        <v>750.4501S</v>
      </c>
      <c r="C245" s="91" t="str">
        <f t="shared" si="266"/>
        <v>ZN</v>
      </c>
      <c r="D245" s="91">
        <f t="shared" si="266"/>
        <v>0</v>
      </c>
      <c r="E245" s="92">
        <f t="shared" si="267"/>
        <v>0</v>
      </c>
      <c r="F245" s="17">
        <f t="shared" si="263"/>
        <v>697.06186000000002</v>
      </c>
      <c r="G245" s="65"/>
      <c r="H245" s="65"/>
      <c r="I245" s="169">
        <f t="shared" si="268"/>
        <v>4610802</v>
      </c>
      <c r="J245" s="169">
        <f t="shared" si="269"/>
        <v>349906</v>
      </c>
      <c r="K245" s="20"/>
      <c r="L245" s="61" t="str">
        <f>Price!A245</f>
        <v>Korpusové lišty BLUMOTION S, 450mm, 40kg</v>
      </c>
      <c r="M245" s="15" t="str">
        <f>Price!B245</f>
        <v>750.4501S</v>
      </c>
      <c r="N245" s="15" t="str">
        <f>Price!C245</f>
        <v>ZN</v>
      </c>
      <c r="O245" s="525">
        <f>Price!D245</f>
        <v>0</v>
      </c>
      <c r="P245" s="16"/>
      <c r="Q245" s="17">
        <f>Price!F245</f>
        <v>697.06186000000002</v>
      </c>
      <c r="R245" s="318"/>
      <c r="S245" s="318"/>
      <c r="T245" s="12">
        <f>Price!G245</f>
        <v>4610802</v>
      </c>
      <c r="U245" s="252">
        <f>Price!H245</f>
        <v>349906</v>
      </c>
      <c r="V245" s="13"/>
      <c r="W245" s="13"/>
      <c r="X245" s="19"/>
      <c r="Y245" s="19"/>
    </row>
    <row r="246" spans="1:25" x14ac:dyDescent="0.35">
      <c r="A246" s="90" t="str">
        <f t="shared" si="264"/>
        <v>Korpusové lišty BLUMOTION S, 450mm, 70kg</v>
      </c>
      <c r="B246" s="91" t="str">
        <f t="shared" si="265"/>
        <v>753.4501S</v>
      </c>
      <c r="C246" s="91" t="str">
        <f t="shared" si="266"/>
        <v>ZN</v>
      </c>
      <c r="D246" s="91">
        <f t="shared" si="266"/>
        <v>0</v>
      </c>
      <c r="E246" s="92">
        <f t="shared" si="267"/>
        <v>0</v>
      </c>
      <c r="F246" s="17">
        <f t="shared" si="263"/>
        <v>881.76589000000013</v>
      </c>
      <c r="G246" s="65"/>
      <c r="H246" s="65"/>
      <c r="I246" s="169">
        <f t="shared" si="268"/>
        <v>1696966</v>
      </c>
      <c r="J246" s="169">
        <f t="shared" si="269"/>
        <v>349911</v>
      </c>
      <c r="K246" s="20"/>
      <c r="L246" s="61" t="str">
        <f>Price!A246</f>
        <v>Korpusové lišty BLUMOTION S, 450mm, 70kg</v>
      </c>
      <c r="M246" s="15" t="str">
        <f>Price!B246</f>
        <v>753.4501S</v>
      </c>
      <c r="N246" s="15" t="str">
        <f>Price!C246</f>
        <v>ZN</v>
      </c>
      <c r="O246" s="525">
        <f>Price!D246</f>
        <v>0</v>
      </c>
      <c r="P246" s="16"/>
      <c r="Q246" s="17">
        <f>Price!F246</f>
        <v>881.76589000000001</v>
      </c>
      <c r="R246" s="318"/>
      <c r="S246" s="318"/>
      <c r="T246" s="12">
        <f>Price!G246</f>
        <v>1696966</v>
      </c>
      <c r="U246" s="252">
        <f>Price!H246</f>
        <v>349911</v>
      </c>
      <c r="V246" s="13"/>
      <c r="W246" s="13"/>
      <c r="X246" s="19"/>
      <c r="Y246" s="19"/>
    </row>
    <row r="247" spans="1:25" x14ac:dyDescent="0.35">
      <c r="A247" s="90" t="str">
        <f t="shared" si="264"/>
        <v>Korpusové lišty BLUMOTION S, 500mm, 40kg</v>
      </c>
      <c r="B247" s="91" t="str">
        <f t="shared" si="265"/>
        <v>750.5001S</v>
      </c>
      <c r="C247" s="91" t="str">
        <f t="shared" si="266"/>
        <v>ZN</v>
      </c>
      <c r="D247" s="91">
        <f t="shared" si="266"/>
        <v>0</v>
      </c>
      <c r="E247" s="92">
        <f t="shared" si="267"/>
        <v>0</v>
      </c>
      <c r="F247" s="17">
        <f t="shared" si="263"/>
        <v>705.71905000000004</v>
      </c>
      <c r="G247" s="65"/>
      <c r="H247" s="65"/>
      <c r="I247" s="169">
        <f t="shared" si="268"/>
        <v>5722072</v>
      </c>
      <c r="J247" s="169">
        <f t="shared" si="269"/>
        <v>349907</v>
      </c>
      <c r="K247" s="20"/>
      <c r="L247" s="61" t="str">
        <f>Price!A247</f>
        <v>Korpusové lišty BLUMOTION S, 500mm, 40kg</v>
      </c>
      <c r="M247" s="15" t="str">
        <f>Price!B247</f>
        <v>750.5001S</v>
      </c>
      <c r="N247" s="15" t="str">
        <f>Price!C247</f>
        <v>ZN</v>
      </c>
      <c r="O247" s="525">
        <f>Price!D247</f>
        <v>0</v>
      </c>
      <c r="P247" s="16"/>
      <c r="Q247" s="17">
        <f>Price!F247</f>
        <v>705.71905000000004</v>
      </c>
      <c r="R247" s="318"/>
      <c r="S247" s="318"/>
      <c r="T247" s="12">
        <f>Price!G247</f>
        <v>5722072</v>
      </c>
      <c r="U247" s="252">
        <f>Price!H247</f>
        <v>349907</v>
      </c>
      <c r="V247" s="13"/>
      <c r="W247" s="13"/>
      <c r="X247" s="19"/>
      <c r="Y247" s="19"/>
    </row>
    <row r="248" spans="1:25" x14ac:dyDescent="0.35">
      <c r="A248" s="90" t="str">
        <f t="shared" si="264"/>
        <v>Korpusové lišty BLUMOTION S, 500mm, 70kg</v>
      </c>
      <c r="B248" s="91" t="str">
        <f t="shared" si="265"/>
        <v>753.5001S</v>
      </c>
      <c r="C248" s="91" t="str">
        <f t="shared" si="266"/>
        <v>ZN</v>
      </c>
      <c r="D248" s="91">
        <f t="shared" si="266"/>
        <v>0</v>
      </c>
      <c r="E248" s="92">
        <f t="shared" si="267"/>
        <v>0</v>
      </c>
      <c r="F248" s="17">
        <f t="shared" si="263"/>
        <v>890.62918000000002</v>
      </c>
      <c r="G248" s="65"/>
      <c r="H248" s="65"/>
      <c r="I248" s="169">
        <f t="shared" si="268"/>
        <v>9209571</v>
      </c>
      <c r="J248" s="169">
        <f t="shared" si="269"/>
        <v>349912</v>
      </c>
      <c r="K248" s="20"/>
      <c r="L248" s="61" t="str">
        <f>Price!A248</f>
        <v>Korpusové lišty BLUMOTION S, 500mm, 70kg</v>
      </c>
      <c r="M248" s="15" t="str">
        <f>Price!B248</f>
        <v>753.5001S</v>
      </c>
      <c r="N248" s="15" t="str">
        <f>Price!C248</f>
        <v>ZN</v>
      </c>
      <c r="O248" s="525">
        <f>Price!D248</f>
        <v>0</v>
      </c>
      <c r="P248" s="16"/>
      <c r="Q248" s="17">
        <f>Price!F248</f>
        <v>890.62918000000002</v>
      </c>
      <c r="R248" s="318"/>
      <c r="S248" s="318"/>
      <c r="T248" s="12">
        <f>Price!G248</f>
        <v>9209571</v>
      </c>
      <c r="U248" s="252">
        <f>Price!H248</f>
        <v>349912</v>
      </c>
      <c r="V248" s="13"/>
      <c r="W248" s="13"/>
      <c r="X248" s="19"/>
      <c r="Y248" s="19"/>
    </row>
    <row r="249" spans="1:25" x14ac:dyDescent="0.35">
      <c r="A249" s="90" t="str">
        <f t="shared" si="264"/>
        <v>Korpusové lišty BLUMOTION S, 550mm, 40kg</v>
      </c>
      <c r="B249" s="91" t="str">
        <f t="shared" si="265"/>
        <v>750.5501S</v>
      </c>
      <c r="C249" s="91" t="str">
        <f t="shared" si="266"/>
        <v>ZN</v>
      </c>
      <c r="D249" s="91">
        <f t="shared" si="266"/>
        <v>0</v>
      </c>
      <c r="E249" s="92">
        <f t="shared" si="267"/>
        <v>0</v>
      </c>
      <c r="F249" s="17">
        <f t="shared" si="263"/>
        <v>769.83820000000003</v>
      </c>
      <c r="G249" s="65"/>
      <c r="H249" s="65"/>
      <c r="I249" s="169">
        <f t="shared" si="268"/>
        <v>5799990</v>
      </c>
      <c r="J249" s="169">
        <f t="shared" si="269"/>
        <v>349908</v>
      </c>
      <c r="K249" s="20"/>
      <c r="L249" s="61" t="str">
        <f>Price!A249</f>
        <v>Korpusové lišty BLUMOTION S, 550mm, 40kg</v>
      </c>
      <c r="M249" s="15" t="str">
        <f>Price!B249</f>
        <v>750.5501S</v>
      </c>
      <c r="N249" s="15" t="str">
        <f>Price!C249</f>
        <v>ZN</v>
      </c>
      <c r="O249" s="525">
        <f>Price!D249</f>
        <v>0</v>
      </c>
      <c r="P249" s="16"/>
      <c r="Q249" s="17">
        <f>Price!F249</f>
        <v>769.83820000000003</v>
      </c>
      <c r="R249" s="318"/>
      <c r="S249" s="318"/>
      <c r="T249" s="12">
        <f>Price!G249</f>
        <v>5799990</v>
      </c>
      <c r="U249" s="252">
        <f>Price!H249</f>
        <v>349908</v>
      </c>
      <c r="V249" s="13"/>
      <c r="W249" s="13"/>
      <c r="X249" s="19"/>
      <c r="Y249" s="19"/>
    </row>
    <row r="250" spans="1:25" x14ac:dyDescent="0.35">
      <c r="A250" s="90" t="str">
        <f t="shared" si="264"/>
        <v>Korpusové lišty BLUMOTION S, 550mm, 70kg</v>
      </c>
      <c r="B250" s="91" t="str">
        <f t="shared" si="265"/>
        <v>753.5501S</v>
      </c>
      <c r="C250" s="91" t="str">
        <f t="shared" si="266"/>
        <v>ZN</v>
      </c>
      <c r="D250" s="91">
        <f t="shared" si="266"/>
        <v>0</v>
      </c>
      <c r="E250" s="92">
        <f t="shared" si="267"/>
        <v>0</v>
      </c>
      <c r="F250" s="17">
        <f t="shared" si="263"/>
        <v>937.94550000000004</v>
      </c>
      <c r="G250" s="65"/>
      <c r="H250" s="65"/>
      <c r="I250" s="169">
        <f t="shared" si="268"/>
        <v>7396964</v>
      </c>
      <c r="J250" s="169">
        <f t="shared" si="269"/>
        <v>349913</v>
      </c>
      <c r="K250" s="20"/>
      <c r="L250" s="61" t="str">
        <f>Price!A250</f>
        <v>Korpusové lišty BLUMOTION S, 550mm, 70kg</v>
      </c>
      <c r="M250" s="15" t="str">
        <f>Price!B250</f>
        <v>753.5501S</v>
      </c>
      <c r="N250" s="15" t="str">
        <f>Price!C250</f>
        <v>ZN</v>
      </c>
      <c r="O250" s="525">
        <f>Price!D250</f>
        <v>0</v>
      </c>
      <c r="P250" s="16"/>
      <c r="Q250" s="17">
        <f>Price!F250</f>
        <v>937.94550000000004</v>
      </c>
      <c r="R250" s="318"/>
      <c r="S250" s="318"/>
      <c r="T250" s="12">
        <f>Price!G250</f>
        <v>7396964</v>
      </c>
      <c r="U250" s="252">
        <f>Price!H250</f>
        <v>349913</v>
      </c>
      <c r="V250" s="13"/>
      <c r="W250" s="13"/>
      <c r="X250" s="19"/>
      <c r="Y250" s="19"/>
    </row>
    <row r="251" spans="1:25" x14ac:dyDescent="0.35">
      <c r="A251" s="90" t="str">
        <f t="shared" si="264"/>
        <v>Korpusové lišty BLUMOTION S, 600mm, 40kg</v>
      </c>
      <c r="B251" s="91" t="str">
        <f t="shared" si="265"/>
        <v>750.6001S</v>
      </c>
      <c r="C251" s="91" t="str">
        <f t="shared" si="266"/>
        <v>ZN</v>
      </c>
      <c r="D251" s="91">
        <f t="shared" si="266"/>
        <v>0</v>
      </c>
      <c r="E251" s="92">
        <f t="shared" si="267"/>
        <v>0</v>
      </c>
      <c r="F251" s="17">
        <f t="shared" si="263"/>
        <v>865.24247000000003</v>
      </c>
      <c r="G251" s="65"/>
      <c r="H251" s="65"/>
      <c r="I251" s="169">
        <f t="shared" si="268"/>
        <v>6243953</v>
      </c>
      <c r="J251" s="169">
        <f t="shared" si="269"/>
        <v>349909</v>
      </c>
      <c r="K251" s="62"/>
      <c r="L251" s="61" t="str">
        <f>Price!A251</f>
        <v>Korpusové lišty BLUMOTION S, 600mm, 40kg</v>
      </c>
      <c r="M251" s="15" t="str">
        <f>Price!B251</f>
        <v>750.6001S</v>
      </c>
      <c r="N251" s="15" t="str">
        <f>Price!C251</f>
        <v>ZN</v>
      </c>
      <c r="O251" s="525">
        <f>Price!D251</f>
        <v>0</v>
      </c>
      <c r="P251" s="16"/>
      <c r="Q251" s="17">
        <f>Price!F251</f>
        <v>865.24247000000003</v>
      </c>
      <c r="R251" s="318"/>
      <c r="S251" s="318"/>
      <c r="T251" s="12">
        <f>Price!G251</f>
        <v>6243953</v>
      </c>
      <c r="U251" s="252">
        <f>Price!H251</f>
        <v>349909</v>
      </c>
      <c r="V251" s="13"/>
      <c r="W251" s="13"/>
      <c r="X251" s="19"/>
      <c r="Y251" s="19"/>
    </row>
    <row r="252" spans="1:25" x14ac:dyDescent="0.35">
      <c r="A252" s="90" t="str">
        <f t="shared" si="264"/>
        <v>Korpusové lišty BLUMOTION S, 600mm, 70kg</v>
      </c>
      <c r="B252" s="91" t="str">
        <f t="shared" si="265"/>
        <v>753.6001S</v>
      </c>
      <c r="C252" s="91" t="str">
        <f t="shared" si="266"/>
        <v>ZN</v>
      </c>
      <c r="D252" s="91">
        <f t="shared" si="266"/>
        <v>0</v>
      </c>
      <c r="E252" s="92">
        <f t="shared" si="267"/>
        <v>0</v>
      </c>
      <c r="F252" s="17">
        <f t="shared" si="263"/>
        <v>1033.34979</v>
      </c>
      <c r="G252" s="65"/>
      <c r="H252" s="65"/>
      <c r="I252" s="169">
        <f t="shared" si="268"/>
        <v>2232968</v>
      </c>
      <c r="J252" s="169">
        <f t="shared" si="269"/>
        <v>349914</v>
      </c>
      <c r="K252" s="20"/>
      <c r="L252" s="61" t="str">
        <f>Price!A252</f>
        <v>Korpusové lišty BLUMOTION S, 600mm, 70kg</v>
      </c>
      <c r="M252" s="15" t="str">
        <f>Price!B252</f>
        <v>753.6001S</v>
      </c>
      <c r="N252" s="15" t="str">
        <f>Price!C252</f>
        <v>ZN</v>
      </c>
      <c r="O252" s="525">
        <f>Price!D252</f>
        <v>0</v>
      </c>
      <c r="P252" s="16"/>
      <c r="Q252" s="17">
        <f>Price!F252</f>
        <v>1033.34979</v>
      </c>
      <c r="R252" s="318"/>
      <c r="S252" s="318"/>
      <c r="T252" s="12">
        <f>Price!G252</f>
        <v>2232968</v>
      </c>
      <c r="U252" s="252">
        <f>Price!H252</f>
        <v>349914</v>
      </c>
      <c r="V252" s="13"/>
      <c r="W252" s="13"/>
      <c r="X252" s="19"/>
      <c r="Y252" s="19"/>
    </row>
    <row r="253" spans="1:25" x14ac:dyDescent="0.35">
      <c r="A253" s="90" t="str">
        <f>L253</f>
        <v>Korpusové lišty BLUMOTION S, 650mm, 70kg</v>
      </c>
      <c r="B253" s="91" t="str">
        <f>M253</f>
        <v>753.6501S</v>
      </c>
      <c r="C253" s="91" t="str">
        <f>N253</f>
        <v>ZN</v>
      </c>
      <c r="D253" s="91">
        <f>O253</f>
        <v>0</v>
      </c>
      <c r="E253" s="92">
        <f>P253</f>
        <v>0</v>
      </c>
      <c r="F253" s="17">
        <f>Q253*(100-$F$6)/100</f>
        <v>1080.66551</v>
      </c>
      <c r="G253" s="65"/>
      <c r="H253" s="65"/>
      <c r="I253" s="169">
        <f>T253</f>
        <v>7016496</v>
      </c>
      <c r="J253" s="169">
        <f>U253</f>
        <v>349915</v>
      </c>
      <c r="K253" s="20"/>
      <c r="L253" s="61" t="str">
        <f>Price!A253</f>
        <v>Korpusové lišty BLUMOTION S, 650mm, 70kg</v>
      </c>
      <c r="M253" s="15" t="str">
        <f>Price!B253</f>
        <v>753.6501S</v>
      </c>
      <c r="N253" s="15" t="str">
        <f>Price!C253</f>
        <v>ZN</v>
      </c>
      <c r="O253" s="525">
        <f>Price!D253</f>
        <v>0</v>
      </c>
      <c r="P253" s="16"/>
      <c r="Q253" s="17">
        <f>Price!F253</f>
        <v>1080.66551</v>
      </c>
      <c r="R253" s="318"/>
      <c r="S253" s="318"/>
      <c r="T253" s="12">
        <f>Price!G253</f>
        <v>7016496</v>
      </c>
      <c r="U253" s="252">
        <f>Price!H253</f>
        <v>349915</v>
      </c>
      <c r="V253" s="13"/>
      <c r="W253" s="13"/>
      <c r="X253" s="19"/>
      <c r="Y253" s="19"/>
    </row>
    <row r="254" spans="1:25" x14ac:dyDescent="0.35">
      <c r="A254" s="90"/>
      <c r="B254" s="91"/>
      <c r="C254" s="91"/>
      <c r="D254" s="531"/>
      <c r="E254" s="92"/>
      <c r="F254" s="17"/>
      <c r="G254" s="65"/>
      <c r="H254" s="65"/>
      <c r="I254" s="169"/>
      <c r="J254" s="169"/>
      <c r="K254" s="62"/>
      <c r="L254" s="61">
        <f>Price!A254</f>
        <v>0</v>
      </c>
      <c r="M254" s="15">
        <f>Price!B254</f>
        <v>0</v>
      </c>
      <c r="N254" s="15">
        <f>Price!C254</f>
        <v>0</v>
      </c>
      <c r="O254" s="525">
        <f>Price!D254</f>
        <v>0</v>
      </c>
      <c r="P254" s="16"/>
      <c r="Q254" s="17">
        <f>Price!F254</f>
        <v>0</v>
      </c>
      <c r="R254" s="318"/>
      <c r="S254" s="318"/>
      <c r="T254" s="12">
        <f>Price!G254</f>
        <v>0</v>
      </c>
      <c r="U254" s="252">
        <f>Price!H254</f>
        <v>0</v>
      </c>
      <c r="V254" s="13"/>
      <c r="W254" s="13"/>
      <c r="X254" s="19"/>
      <c r="Y254" s="19"/>
    </row>
    <row r="255" spans="1:25" x14ac:dyDescent="0.35">
      <c r="A255" s="90"/>
      <c r="B255" s="91"/>
      <c r="C255" s="91"/>
      <c r="D255" s="531"/>
      <c r="E255" s="92"/>
      <c r="F255" s="17"/>
      <c r="G255" s="65"/>
      <c r="H255" s="65"/>
      <c r="I255" s="169"/>
      <c r="J255" s="169"/>
      <c r="K255" s="63"/>
      <c r="L255" s="61">
        <f>Price!A255</f>
        <v>0</v>
      </c>
      <c r="M255" s="15">
        <f>Price!B255</f>
        <v>0</v>
      </c>
      <c r="N255" s="15">
        <f>Price!C255</f>
        <v>0</v>
      </c>
      <c r="O255" s="525">
        <f>Price!D255</f>
        <v>0</v>
      </c>
      <c r="P255" s="16"/>
      <c r="Q255" s="17">
        <f>Price!F255</f>
        <v>0</v>
      </c>
      <c r="R255" s="318"/>
      <c r="S255" s="318"/>
      <c r="T255" s="12">
        <f>Price!G255</f>
        <v>0</v>
      </c>
      <c r="U255" s="252">
        <f>Price!H255</f>
        <v>0</v>
      </c>
      <c r="V255" s="13"/>
      <c r="W255" s="13"/>
      <c r="X255" s="19"/>
      <c r="Y255" s="19"/>
    </row>
    <row r="256" spans="1:25" x14ac:dyDescent="0.35">
      <c r="A256" s="90"/>
      <c r="B256" s="91"/>
      <c r="C256" s="91"/>
      <c r="D256" s="531"/>
      <c r="E256" s="92"/>
      <c r="F256" s="17"/>
      <c r="G256" s="65"/>
      <c r="H256" s="65"/>
      <c r="I256" s="169"/>
      <c r="J256" s="169"/>
      <c r="K256" s="63"/>
      <c r="L256" s="61" t="str">
        <f>Price!A256</f>
        <v xml:space="preserve">   Korpusové lišty TIP-ON</v>
      </c>
      <c r="M256" s="15">
        <f>Price!B256</f>
        <v>0</v>
      </c>
      <c r="N256" s="15">
        <f>Price!C256</f>
        <v>0</v>
      </c>
      <c r="O256" s="525">
        <f>Price!D256</f>
        <v>0</v>
      </c>
      <c r="P256" s="16"/>
      <c r="Q256" s="17">
        <f>Price!F256</f>
        <v>0</v>
      </c>
      <c r="R256" s="318"/>
      <c r="S256" s="318"/>
      <c r="T256" s="12">
        <f>Price!G256</f>
        <v>0</v>
      </c>
      <c r="U256" s="252">
        <f>Price!H256</f>
        <v>0</v>
      </c>
      <c r="V256" s="13"/>
      <c r="W256" s="13"/>
      <c r="X256" s="19"/>
      <c r="Y256" s="19"/>
    </row>
    <row r="257" spans="1:25" x14ac:dyDescent="0.35">
      <c r="A257" s="90" t="str">
        <f t="shared" ref="A257:A269" si="270">L257</f>
        <v>Korpusové lišty TIP-ON, 270mm, 40kg</v>
      </c>
      <c r="B257" s="91" t="str">
        <f t="shared" ref="B257:B269" si="271">M257</f>
        <v>750.2701T</v>
      </c>
      <c r="C257" s="91" t="str">
        <f t="shared" ref="C257:C269" si="272">N257</f>
        <v>ZN</v>
      </c>
      <c r="D257" s="91">
        <f t="shared" ref="D257:D269" si="273">O257</f>
        <v>0</v>
      </c>
      <c r="E257" s="92">
        <f t="shared" ref="E257:E269" si="274">P257</f>
        <v>0</v>
      </c>
      <c r="F257" s="17">
        <f t="shared" ref="F257:F268" si="275">Q257*(100-$F$6)/100</f>
        <v>963.84325999999999</v>
      </c>
      <c r="G257" s="65"/>
      <c r="H257" s="65"/>
      <c r="I257" s="169">
        <f t="shared" ref="I257:I269" si="276">T257</f>
        <v>3790819</v>
      </c>
      <c r="J257" s="169">
        <f t="shared" ref="J257:J269" si="277">U257</f>
        <v>227420</v>
      </c>
      <c r="K257" s="63"/>
      <c r="L257" s="61" t="str">
        <f>Price!A257</f>
        <v>Korpusové lišty TIP-ON, 270mm, 40kg</v>
      </c>
      <c r="M257" s="15" t="str">
        <f>Price!B257</f>
        <v>750.2701T</v>
      </c>
      <c r="N257" s="15" t="str">
        <f>Price!C257</f>
        <v>ZN</v>
      </c>
      <c r="O257" s="525">
        <f>Price!D257</f>
        <v>0</v>
      </c>
      <c r="P257" s="16"/>
      <c r="Q257" s="17">
        <f>Price!F257</f>
        <v>963.84325999999999</v>
      </c>
      <c r="R257" s="318"/>
      <c r="S257" s="318"/>
      <c r="T257" s="12">
        <f>Price!G257</f>
        <v>3790819</v>
      </c>
      <c r="U257" s="252">
        <f>Price!H257</f>
        <v>227420</v>
      </c>
      <c r="V257" s="13"/>
      <c r="W257" s="13"/>
      <c r="X257" s="19"/>
      <c r="Y257" s="19"/>
    </row>
    <row r="258" spans="1:25" x14ac:dyDescent="0.35">
      <c r="A258" s="90" t="str">
        <f t="shared" si="270"/>
        <v>Korpusové lišty TIP-ON, 300mm, 40kg</v>
      </c>
      <c r="B258" s="91" t="str">
        <f t="shared" si="271"/>
        <v>750.3001T</v>
      </c>
      <c r="C258" s="91" t="str">
        <f t="shared" si="272"/>
        <v>ZN</v>
      </c>
      <c r="D258" s="91">
        <f t="shared" si="273"/>
        <v>0</v>
      </c>
      <c r="E258" s="92">
        <f t="shared" si="274"/>
        <v>0</v>
      </c>
      <c r="F258" s="17">
        <f t="shared" si="275"/>
        <v>963.84325999999999</v>
      </c>
      <c r="G258" s="65"/>
      <c r="H258" s="65"/>
      <c r="I258" s="169">
        <f t="shared" si="276"/>
        <v>3867722</v>
      </c>
      <c r="J258" s="169">
        <f t="shared" si="277"/>
        <v>227421</v>
      </c>
      <c r="K258" s="20"/>
      <c r="L258" s="61" t="str">
        <f>Price!A258</f>
        <v>Korpusové lišty TIP-ON, 300mm, 40kg</v>
      </c>
      <c r="M258" s="15" t="str">
        <f>Price!B258</f>
        <v>750.3001T</v>
      </c>
      <c r="N258" s="15" t="str">
        <f>Price!C258</f>
        <v>ZN</v>
      </c>
      <c r="O258" s="525">
        <f>Price!D258</f>
        <v>0</v>
      </c>
      <c r="P258" s="16"/>
      <c r="Q258" s="17">
        <f>Price!F258</f>
        <v>963.84325999999999</v>
      </c>
      <c r="R258" s="318"/>
      <c r="S258" s="318"/>
      <c r="T258" s="12">
        <f>Price!G258</f>
        <v>3867722</v>
      </c>
      <c r="U258" s="252">
        <f>Price!H258</f>
        <v>227421</v>
      </c>
      <c r="V258" s="13"/>
      <c r="W258" s="13"/>
      <c r="X258" s="19"/>
      <c r="Y258" s="19"/>
    </row>
    <row r="259" spans="1:25" x14ac:dyDescent="0.35">
      <c r="A259" s="90" t="str">
        <f t="shared" si="270"/>
        <v>Korpusové lišty TIP-ON, 350mm, 40kg</v>
      </c>
      <c r="B259" s="91" t="str">
        <f t="shared" si="271"/>
        <v>750.3501T</v>
      </c>
      <c r="C259" s="91" t="str">
        <f t="shared" si="272"/>
        <v>ZN</v>
      </c>
      <c r="D259" s="91">
        <f t="shared" si="273"/>
        <v>0</v>
      </c>
      <c r="E259" s="92">
        <f t="shared" si="274"/>
        <v>0</v>
      </c>
      <c r="F259" s="17">
        <f t="shared" si="275"/>
        <v>963.84325999999999</v>
      </c>
      <c r="G259" s="65"/>
      <c r="H259" s="65"/>
      <c r="I259" s="169">
        <f t="shared" si="276"/>
        <v>5075795</v>
      </c>
      <c r="J259" s="169">
        <f t="shared" si="277"/>
        <v>227422</v>
      </c>
      <c r="K259" s="20"/>
      <c r="L259" s="61" t="str">
        <f>Price!A259</f>
        <v>Korpusové lišty TIP-ON, 350mm, 40kg</v>
      </c>
      <c r="M259" s="15" t="str">
        <f>Price!B259</f>
        <v>750.3501T</v>
      </c>
      <c r="N259" s="15" t="str">
        <f>Price!C259</f>
        <v>ZN</v>
      </c>
      <c r="O259" s="525">
        <f>Price!D259</f>
        <v>0</v>
      </c>
      <c r="P259" s="16"/>
      <c r="Q259" s="17">
        <f>Price!F259</f>
        <v>963.84325999999999</v>
      </c>
      <c r="R259" s="318"/>
      <c r="S259" s="318"/>
      <c r="T259" s="12">
        <f>Price!G259</f>
        <v>5075795</v>
      </c>
      <c r="U259" s="252">
        <f>Price!H259</f>
        <v>227422</v>
      </c>
      <c r="V259" s="13"/>
      <c r="X259" s="19"/>
      <c r="Y259" s="19"/>
    </row>
    <row r="260" spans="1:25" x14ac:dyDescent="0.35">
      <c r="A260" s="90" t="str">
        <f t="shared" si="270"/>
        <v>Korpusové lišty TIP-ON, 400mm, 40kg</v>
      </c>
      <c r="B260" s="91" t="str">
        <f t="shared" si="271"/>
        <v>750.4001T</v>
      </c>
      <c r="C260" s="91" t="str">
        <f t="shared" si="272"/>
        <v>ZN</v>
      </c>
      <c r="D260" s="91">
        <f t="shared" si="273"/>
        <v>0</v>
      </c>
      <c r="E260" s="92">
        <f t="shared" si="274"/>
        <v>0</v>
      </c>
      <c r="F260" s="17">
        <f t="shared" si="275"/>
        <v>972.70714999999996</v>
      </c>
      <c r="G260" s="65"/>
      <c r="H260" s="65"/>
      <c r="I260" s="169">
        <f t="shared" si="276"/>
        <v>5085127</v>
      </c>
      <c r="J260" s="169">
        <f t="shared" si="277"/>
        <v>227423</v>
      </c>
      <c r="K260" s="62"/>
      <c r="L260" s="61" t="str">
        <f>Price!A260</f>
        <v>Korpusové lišty TIP-ON, 400mm, 40kg</v>
      </c>
      <c r="M260" s="15" t="str">
        <f>Price!B260</f>
        <v>750.4001T</v>
      </c>
      <c r="N260" s="15" t="str">
        <f>Price!C260</f>
        <v>ZN</v>
      </c>
      <c r="O260" s="525">
        <f>Price!D260</f>
        <v>0</v>
      </c>
      <c r="P260" s="16"/>
      <c r="Q260" s="17">
        <f>Price!F260</f>
        <v>972.70714999999996</v>
      </c>
      <c r="R260" s="318"/>
      <c r="S260" s="318"/>
      <c r="T260" s="12">
        <f>Price!G260</f>
        <v>5085127</v>
      </c>
      <c r="U260" s="252">
        <f>Price!H260</f>
        <v>227423</v>
      </c>
      <c r="V260" s="13"/>
      <c r="X260" s="19"/>
      <c r="Y260" s="19"/>
    </row>
    <row r="261" spans="1:25" x14ac:dyDescent="0.35">
      <c r="A261" s="90" t="str">
        <f t="shared" si="270"/>
        <v>Korpusové lišty TIP-ON, 450mm, 40kg</v>
      </c>
      <c r="B261" s="91" t="str">
        <f t="shared" si="271"/>
        <v>750.4501T</v>
      </c>
      <c r="C261" s="91" t="str">
        <f t="shared" si="272"/>
        <v>ZN</v>
      </c>
      <c r="D261" s="91">
        <f t="shared" si="273"/>
        <v>0</v>
      </c>
      <c r="E261" s="92">
        <f t="shared" si="274"/>
        <v>0</v>
      </c>
      <c r="F261" s="17">
        <f t="shared" si="275"/>
        <v>958.74321999999995</v>
      </c>
      <c r="G261" s="65"/>
      <c r="H261" s="65"/>
      <c r="I261" s="169">
        <f t="shared" si="276"/>
        <v>5257996</v>
      </c>
      <c r="J261" s="169">
        <f t="shared" si="277"/>
        <v>227424</v>
      </c>
      <c r="K261" s="63"/>
      <c r="L261" s="61" t="str">
        <f>Price!A261</f>
        <v>Korpusové lišty TIP-ON, 450mm, 40kg</v>
      </c>
      <c r="M261" s="15" t="str">
        <f>Price!B261</f>
        <v>750.4501T</v>
      </c>
      <c r="N261" s="15" t="str">
        <f>Price!C261</f>
        <v>ZN</v>
      </c>
      <c r="O261" s="525">
        <f>Price!D261</f>
        <v>0</v>
      </c>
      <c r="P261" s="16"/>
      <c r="Q261" s="17">
        <f>Price!F261</f>
        <v>958.74321999999995</v>
      </c>
      <c r="R261" s="318"/>
      <c r="S261" s="318"/>
      <c r="T261" s="12">
        <f>Price!G261</f>
        <v>5257996</v>
      </c>
      <c r="U261" s="252">
        <f>Price!H261</f>
        <v>227424</v>
      </c>
      <c r="V261" s="13"/>
      <c r="X261" s="19"/>
      <c r="Y261" s="19"/>
    </row>
    <row r="262" spans="1:25" x14ac:dyDescent="0.35">
      <c r="A262" s="90" t="str">
        <f t="shared" si="270"/>
        <v>Korpusové lišty TIP-ON, 450mm, 70kg</v>
      </c>
      <c r="B262" s="91" t="str">
        <f t="shared" si="271"/>
        <v>753.4501T</v>
      </c>
      <c r="C262" s="91" t="str">
        <f t="shared" si="272"/>
        <v>ZN</v>
      </c>
      <c r="D262" s="91">
        <f t="shared" si="273"/>
        <v>0</v>
      </c>
      <c r="E262" s="92">
        <f t="shared" si="274"/>
        <v>0</v>
      </c>
      <c r="F262" s="17">
        <f t="shared" si="275"/>
        <v>1142.8525999999999</v>
      </c>
      <c r="G262" s="65"/>
      <c r="H262" s="65"/>
      <c r="I262" s="169">
        <f t="shared" si="276"/>
        <v>5767239</v>
      </c>
      <c r="J262" s="169">
        <f t="shared" si="277"/>
        <v>227428</v>
      </c>
      <c r="K262" s="63"/>
      <c r="L262" s="61" t="str">
        <f>Price!A262</f>
        <v>Korpusové lišty TIP-ON, 450mm, 70kg</v>
      </c>
      <c r="M262" s="15" t="str">
        <f>Price!B262</f>
        <v>753.4501T</v>
      </c>
      <c r="N262" s="15" t="str">
        <f>Price!C262</f>
        <v>ZN</v>
      </c>
      <c r="O262" s="525">
        <f>Price!D262</f>
        <v>0</v>
      </c>
      <c r="P262" s="16"/>
      <c r="Q262" s="17">
        <f>Price!F262</f>
        <v>1142.8525999999999</v>
      </c>
      <c r="R262" s="318"/>
      <c r="S262" s="318"/>
      <c r="T262" s="12">
        <f>Price!G262</f>
        <v>5767239</v>
      </c>
      <c r="U262" s="252">
        <f>Price!H262</f>
        <v>227428</v>
      </c>
      <c r="V262" s="13"/>
      <c r="X262" s="19"/>
      <c r="Y262" s="19"/>
    </row>
    <row r="263" spans="1:25" x14ac:dyDescent="0.35">
      <c r="A263" s="90" t="str">
        <f t="shared" si="270"/>
        <v>Korpusové lišty TIP-ON, 500mm, 40kg</v>
      </c>
      <c r="B263" s="91" t="str">
        <f t="shared" si="271"/>
        <v>750.5001T</v>
      </c>
      <c r="C263" s="91" t="str">
        <f t="shared" si="272"/>
        <v>ZN</v>
      </c>
      <c r="D263" s="91">
        <f t="shared" si="273"/>
        <v>0</v>
      </c>
      <c r="E263" s="92">
        <f t="shared" si="274"/>
        <v>0</v>
      </c>
      <c r="F263" s="17">
        <f t="shared" si="275"/>
        <v>967.39513999999997</v>
      </c>
      <c r="G263" s="65"/>
      <c r="H263" s="65"/>
      <c r="I263" s="169">
        <f t="shared" si="276"/>
        <v>5372007</v>
      </c>
      <c r="J263" s="169">
        <f t="shared" si="277"/>
        <v>227425</v>
      </c>
      <c r="K263" s="63"/>
      <c r="L263" s="61" t="str">
        <f>Price!A263</f>
        <v>Korpusové lišty TIP-ON, 500mm, 40kg</v>
      </c>
      <c r="M263" s="15" t="str">
        <f>Price!B263</f>
        <v>750.5001T</v>
      </c>
      <c r="N263" s="15" t="str">
        <f>Price!C263</f>
        <v>ZN</v>
      </c>
      <c r="O263" s="525">
        <f>Price!D263</f>
        <v>0</v>
      </c>
      <c r="P263" s="16"/>
      <c r="Q263" s="17">
        <f>Price!F263</f>
        <v>967.39513999999997</v>
      </c>
      <c r="R263" s="318"/>
      <c r="S263" s="318"/>
      <c r="T263" s="12">
        <f>Price!G263</f>
        <v>5372007</v>
      </c>
      <c r="U263" s="252">
        <f>Price!H263</f>
        <v>227425</v>
      </c>
      <c r="V263" s="13"/>
      <c r="X263" s="19"/>
      <c r="Y263" s="19"/>
    </row>
    <row r="264" spans="1:25" x14ac:dyDescent="0.35">
      <c r="A264" s="90" t="str">
        <f t="shared" si="270"/>
        <v>Korpusové lišty TIP-ON, 500mm, 70kg</v>
      </c>
      <c r="B264" s="91" t="str">
        <f t="shared" si="271"/>
        <v>753.5001T</v>
      </c>
      <c r="C264" s="91" t="str">
        <f t="shared" si="272"/>
        <v>ZN</v>
      </c>
      <c r="D264" s="91">
        <f t="shared" si="273"/>
        <v>0</v>
      </c>
      <c r="E264" s="92">
        <f t="shared" si="274"/>
        <v>0</v>
      </c>
      <c r="F264" s="17">
        <f t="shared" si="275"/>
        <v>1151.7105200000001</v>
      </c>
      <c r="G264" s="65"/>
      <c r="H264" s="65"/>
      <c r="I264" s="169">
        <f t="shared" si="276"/>
        <v>5817679</v>
      </c>
      <c r="J264" s="169">
        <f t="shared" si="277"/>
        <v>227429</v>
      </c>
      <c r="K264" s="63"/>
      <c r="L264" s="61" t="str">
        <f>Price!A264</f>
        <v>Korpusové lišty TIP-ON, 500mm, 70kg</v>
      </c>
      <c r="M264" s="15" t="str">
        <f>Price!B264</f>
        <v>753.5001T</v>
      </c>
      <c r="N264" s="15" t="str">
        <f>Price!C264</f>
        <v>ZN</v>
      </c>
      <c r="O264" s="525">
        <f>Price!D264</f>
        <v>0</v>
      </c>
      <c r="P264" s="16"/>
      <c r="Q264" s="17">
        <f>Price!F264</f>
        <v>1151.7105200000001</v>
      </c>
      <c r="R264" s="318"/>
      <c r="S264" s="318"/>
      <c r="T264" s="12">
        <f>Price!G264</f>
        <v>5817679</v>
      </c>
      <c r="U264" s="252">
        <f>Price!H264</f>
        <v>227429</v>
      </c>
      <c r="V264" s="13"/>
      <c r="W264" s="13"/>
      <c r="X264" s="19"/>
      <c r="Y264" s="19"/>
    </row>
    <row r="265" spans="1:25" x14ac:dyDescent="0.35">
      <c r="A265" s="90" t="str">
        <f t="shared" si="270"/>
        <v>Korpusové lišty TIP-ON, 550mm, 40kg</v>
      </c>
      <c r="B265" s="91" t="str">
        <f t="shared" si="271"/>
        <v>750.5501T</v>
      </c>
      <c r="C265" s="91" t="str">
        <f t="shared" si="272"/>
        <v>ZN</v>
      </c>
      <c r="D265" s="91">
        <f t="shared" si="273"/>
        <v>0</v>
      </c>
      <c r="E265" s="92">
        <f t="shared" si="274"/>
        <v>0</v>
      </c>
      <c r="F265" s="17">
        <f t="shared" si="275"/>
        <v>1037.74467</v>
      </c>
      <c r="G265" s="65"/>
      <c r="H265" s="65"/>
      <c r="I265" s="169">
        <f t="shared" si="276"/>
        <v>5385115</v>
      </c>
      <c r="J265" s="169">
        <f t="shared" si="277"/>
        <v>227426</v>
      </c>
      <c r="K265" s="20"/>
      <c r="L265" s="61" t="str">
        <f>Price!A265</f>
        <v>Korpusové lišty TIP-ON, 550mm, 40kg</v>
      </c>
      <c r="M265" s="15" t="str">
        <f>Price!B265</f>
        <v>750.5501T</v>
      </c>
      <c r="N265" s="15" t="str">
        <f>Price!C265</f>
        <v>ZN</v>
      </c>
      <c r="O265" s="525">
        <f>Price!D265</f>
        <v>0</v>
      </c>
      <c r="P265" s="16"/>
      <c r="Q265" s="17">
        <f>Price!F265</f>
        <v>1037.74467</v>
      </c>
      <c r="R265" s="318"/>
      <c r="S265" s="318"/>
      <c r="T265" s="12">
        <f>Price!G265</f>
        <v>5385115</v>
      </c>
      <c r="U265" s="252">
        <f>Price!H265</f>
        <v>227426</v>
      </c>
      <c r="V265" s="13"/>
      <c r="W265" s="13"/>
      <c r="X265" s="19"/>
      <c r="Y265" s="19"/>
    </row>
    <row r="266" spans="1:25" x14ac:dyDescent="0.35">
      <c r="A266" s="90" t="str">
        <f t="shared" si="270"/>
        <v>Korpusové lišty TIP-ON, 550mm, 70kg</v>
      </c>
      <c r="B266" s="91" t="str">
        <f t="shared" si="271"/>
        <v>753.5501T</v>
      </c>
      <c r="C266" s="91" t="str">
        <f t="shared" si="272"/>
        <v>ZN</v>
      </c>
      <c r="D266" s="91">
        <f t="shared" si="273"/>
        <v>0</v>
      </c>
      <c r="E266" s="92">
        <f t="shared" si="274"/>
        <v>0</v>
      </c>
      <c r="F266" s="17">
        <f t="shared" si="275"/>
        <v>1199.02684</v>
      </c>
      <c r="G266" s="65"/>
      <c r="H266" s="65"/>
      <c r="I266" s="169">
        <f t="shared" si="276"/>
        <v>6134281</v>
      </c>
      <c r="J266" s="169">
        <f t="shared" si="277"/>
        <v>227430</v>
      </c>
      <c r="K266" s="20"/>
      <c r="L266" s="61" t="str">
        <f>Price!A266</f>
        <v>Korpusové lišty TIP-ON, 550mm, 70kg</v>
      </c>
      <c r="M266" s="15" t="str">
        <f>Price!B266</f>
        <v>753.5501T</v>
      </c>
      <c r="N266" s="15" t="str">
        <f>Price!C266</f>
        <v>ZN</v>
      </c>
      <c r="O266" s="525">
        <f>Price!D266</f>
        <v>0</v>
      </c>
      <c r="P266" s="16"/>
      <c r="Q266" s="17">
        <f>Price!F266</f>
        <v>1199.02684</v>
      </c>
      <c r="R266" s="318"/>
      <c r="S266" s="318"/>
      <c r="T266" s="12">
        <f>Price!G266</f>
        <v>6134281</v>
      </c>
      <c r="U266" s="252">
        <f>Price!H266</f>
        <v>227430</v>
      </c>
      <c r="V266" s="13"/>
      <c r="W266" s="13"/>
      <c r="X266" s="19"/>
      <c r="Y266" s="19"/>
    </row>
    <row r="267" spans="1:25" x14ac:dyDescent="0.35">
      <c r="A267" s="90" t="str">
        <f t="shared" si="270"/>
        <v>Korpusové lišty TIP-ON, 600mm, 40kg</v>
      </c>
      <c r="B267" s="91" t="str">
        <f t="shared" si="271"/>
        <v>750.6001T</v>
      </c>
      <c r="C267" s="91" t="str">
        <f t="shared" si="272"/>
        <v>ZN</v>
      </c>
      <c r="D267" s="91">
        <f t="shared" si="273"/>
        <v>0</v>
      </c>
      <c r="E267" s="92">
        <f t="shared" si="274"/>
        <v>0</v>
      </c>
      <c r="F267" s="17">
        <f t="shared" si="275"/>
        <v>1133.14894</v>
      </c>
      <c r="G267" s="65"/>
      <c r="H267" s="65"/>
      <c r="I267" s="169">
        <f t="shared" si="276"/>
        <v>5743471</v>
      </c>
      <c r="J267" s="169">
        <f t="shared" si="277"/>
        <v>227427</v>
      </c>
      <c r="K267" s="62"/>
      <c r="L267" s="61" t="str">
        <f>Price!A267</f>
        <v>Korpusové lišty TIP-ON, 600mm, 40kg</v>
      </c>
      <c r="M267" s="15" t="str">
        <f>Price!B267</f>
        <v>750.6001T</v>
      </c>
      <c r="N267" s="15" t="str">
        <f>Price!C267</f>
        <v>ZN</v>
      </c>
      <c r="O267" s="525">
        <f>Price!D267</f>
        <v>0</v>
      </c>
      <c r="P267" s="16"/>
      <c r="Q267" s="17">
        <f>Price!F267</f>
        <v>1133.14894</v>
      </c>
      <c r="R267" s="318"/>
      <c r="S267" s="318"/>
      <c r="T267" s="12">
        <f>Price!G267</f>
        <v>5743471</v>
      </c>
      <c r="U267" s="252">
        <f>Price!H267</f>
        <v>227427</v>
      </c>
      <c r="V267" s="13"/>
      <c r="W267" s="13"/>
      <c r="X267" s="19"/>
      <c r="Y267" s="19"/>
    </row>
    <row r="268" spans="1:25" x14ac:dyDescent="0.35">
      <c r="A268" s="90" t="str">
        <f t="shared" si="270"/>
        <v>Korpusové lišty TIP-ON, 600mm, 70kg</v>
      </c>
      <c r="B268" s="91" t="str">
        <f t="shared" si="271"/>
        <v>753.6001T</v>
      </c>
      <c r="C268" s="91" t="str">
        <f t="shared" si="272"/>
        <v>ZN</v>
      </c>
      <c r="D268" s="91">
        <f t="shared" si="273"/>
        <v>0</v>
      </c>
      <c r="E268" s="92">
        <f t="shared" si="274"/>
        <v>0</v>
      </c>
      <c r="F268" s="17">
        <f t="shared" si="275"/>
        <v>1294.4311299999999</v>
      </c>
      <c r="G268" s="65"/>
      <c r="H268" s="65"/>
      <c r="I268" s="169">
        <f t="shared" si="276"/>
        <v>6459880</v>
      </c>
      <c r="J268" s="169">
        <f t="shared" si="277"/>
        <v>227431</v>
      </c>
      <c r="K268" s="20"/>
      <c r="L268" s="61" t="str">
        <f>Price!A268</f>
        <v>Korpusové lišty TIP-ON, 600mm, 70kg</v>
      </c>
      <c r="M268" s="15" t="str">
        <f>Price!B268</f>
        <v>753.6001T</v>
      </c>
      <c r="N268" s="15" t="str">
        <f>Price!C268</f>
        <v>ZN</v>
      </c>
      <c r="O268" s="525">
        <f>Price!D268</f>
        <v>0</v>
      </c>
      <c r="P268" s="16"/>
      <c r="Q268" s="17">
        <f>Price!F268</f>
        <v>1294.4311299999999</v>
      </c>
      <c r="R268" s="318"/>
      <c r="S268" s="318"/>
      <c r="T268" s="12">
        <f>Price!G268</f>
        <v>6459880</v>
      </c>
      <c r="U268" s="252">
        <f>Price!H268</f>
        <v>227431</v>
      </c>
      <c r="V268" s="13"/>
      <c r="W268" s="13"/>
      <c r="X268" s="19"/>
      <c r="Y268" s="19"/>
    </row>
    <row r="269" spans="1:25" x14ac:dyDescent="0.35">
      <c r="A269" s="90" t="str">
        <f t="shared" si="270"/>
        <v>Korpusové lišty TIP-ON, 650mm, 70kg</v>
      </c>
      <c r="B269" s="91" t="str">
        <f t="shared" si="271"/>
        <v>753.6501T</v>
      </c>
      <c r="C269" s="91" t="str">
        <f t="shared" si="272"/>
        <v>ZN</v>
      </c>
      <c r="D269" s="91">
        <f t="shared" si="273"/>
        <v>0</v>
      </c>
      <c r="E269" s="92">
        <f t="shared" si="274"/>
        <v>0</v>
      </c>
      <c r="F269" s="17">
        <f>Q269*(100-$F$6)/100</f>
        <v>1341.74685</v>
      </c>
      <c r="G269" s="65"/>
      <c r="H269" s="65"/>
      <c r="I269" s="169">
        <f t="shared" si="276"/>
        <v>1661174</v>
      </c>
      <c r="J269" s="169">
        <f t="shared" si="277"/>
        <v>253717</v>
      </c>
      <c r="K269" s="20"/>
      <c r="L269" s="61" t="str">
        <f>Price!A269</f>
        <v>Korpusové lišty TIP-ON, 650mm, 70kg</v>
      </c>
      <c r="M269" s="15" t="str">
        <f>Price!B269</f>
        <v>753.6501T</v>
      </c>
      <c r="N269" s="15" t="str">
        <f>Price!C269</f>
        <v>ZN</v>
      </c>
      <c r="O269" s="525">
        <f>Price!D269</f>
        <v>0</v>
      </c>
      <c r="P269" s="16"/>
      <c r="Q269" s="17">
        <f>Price!F269</f>
        <v>1341.74685</v>
      </c>
      <c r="R269" s="318"/>
      <c r="S269" s="318"/>
      <c r="T269" s="12">
        <f>Price!G269</f>
        <v>1661174</v>
      </c>
      <c r="U269" s="252">
        <f>Price!H269</f>
        <v>253717</v>
      </c>
      <c r="V269" s="13"/>
      <c r="W269" s="13"/>
      <c r="X269" s="19"/>
      <c r="Y269" s="19"/>
    </row>
    <row r="270" spans="1:25" x14ac:dyDescent="0.35">
      <c r="A270" s="90"/>
      <c r="B270" s="91"/>
      <c r="C270" s="91"/>
      <c r="D270" s="531"/>
      <c r="E270" s="92"/>
      <c r="F270" s="17"/>
      <c r="G270" s="65"/>
      <c r="H270" s="65"/>
      <c r="I270" s="169"/>
      <c r="J270" s="169"/>
      <c r="K270" s="20"/>
      <c r="L270" s="61">
        <f>Price!A270</f>
        <v>0</v>
      </c>
      <c r="M270" s="15">
        <f>Price!B270</f>
        <v>0</v>
      </c>
      <c r="N270" s="15">
        <f>Price!C270</f>
        <v>0</v>
      </c>
      <c r="O270" s="525">
        <f>Price!D270</f>
        <v>0</v>
      </c>
      <c r="P270" s="16"/>
      <c r="Q270" s="17">
        <f>Price!F270</f>
        <v>0</v>
      </c>
      <c r="R270" s="318"/>
      <c r="S270" s="318"/>
      <c r="T270" s="12">
        <f>Price!G270</f>
        <v>0</v>
      </c>
      <c r="U270" s="252">
        <f>Price!H270</f>
        <v>0</v>
      </c>
      <c r="V270" s="13"/>
      <c r="W270" s="13"/>
      <c r="X270" s="19"/>
      <c r="Y270" s="19"/>
    </row>
    <row r="271" spans="1:25" x14ac:dyDescent="0.35">
      <c r="A271" s="90"/>
      <c r="B271" s="91"/>
      <c r="C271" s="91"/>
      <c r="D271" s="531"/>
      <c r="E271" s="92"/>
      <c r="F271" s="17"/>
      <c r="G271" s="65"/>
      <c r="H271" s="65"/>
      <c r="I271" s="169"/>
      <c r="J271" s="169"/>
      <c r="K271" s="20"/>
      <c r="L271" s="61">
        <f>Price!A271</f>
        <v>0</v>
      </c>
      <c r="M271" s="15">
        <f>Price!B271</f>
        <v>0</v>
      </c>
      <c r="N271" s="15">
        <f>Price!C271</f>
        <v>0</v>
      </c>
      <c r="O271" s="525">
        <f>Price!D271</f>
        <v>0</v>
      </c>
      <c r="P271" s="16"/>
      <c r="Q271" s="17">
        <f>Price!F271</f>
        <v>0</v>
      </c>
      <c r="R271" s="318"/>
      <c r="S271" s="318"/>
      <c r="T271" s="12">
        <f>Price!G271</f>
        <v>0</v>
      </c>
      <c r="U271" s="252">
        <f>Price!H271</f>
        <v>0</v>
      </c>
      <c r="V271" s="13"/>
      <c r="W271" s="13"/>
      <c r="X271" s="19"/>
      <c r="Y271" s="19"/>
    </row>
    <row r="272" spans="1:25" x14ac:dyDescent="0.35">
      <c r="A272" s="90"/>
      <c r="B272" s="91"/>
      <c r="C272" s="91"/>
      <c r="D272" s="531"/>
      <c r="E272" s="92"/>
      <c r="F272" s="17"/>
      <c r="G272" s="65"/>
      <c r="H272" s="65"/>
      <c r="I272" s="169"/>
      <c r="J272" s="169"/>
      <c r="K272" s="20"/>
      <c r="L272" s="61" t="str">
        <f>Price!A272</f>
        <v xml:space="preserve">   Korpusové lišty TIP-ON BLUMOTION</v>
      </c>
      <c r="M272" s="15">
        <f>Price!B272</f>
        <v>0</v>
      </c>
      <c r="N272" s="15">
        <f>Price!C272</f>
        <v>0</v>
      </c>
      <c r="O272" s="525">
        <f>Price!D272</f>
        <v>0</v>
      </c>
      <c r="P272" s="16"/>
      <c r="Q272" s="17">
        <f>Price!F272</f>
        <v>0</v>
      </c>
      <c r="R272" s="318"/>
      <c r="S272" s="318"/>
      <c r="T272" s="12">
        <f>Price!G272</f>
        <v>0</v>
      </c>
      <c r="U272" s="252">
        <f>Price!H272</f>
        <v>0</v>
      </c>
      <c r="V272" s="13"/>
      <c r="W272" s="13"/>
      <c r="X272" s="19"/>
      <c r="Y272" s="19"/>
    </row>
    <row r="273" spans="1:25" x14ac:dyDescent="0.35">
      <c r="A273" s="90" t="str">
        <f>L273</f>
        <v>Korpusové lišty TIP-ON BLUMOTION, 270mm, 40kg</v>
      </c>
      <c r="B273" s="91" t="str">
        <f>M273</f>
        <v>750.2700M</v>
      </c>
      <c r="C273" s="91" t="str">
        <f>N273</f>
        <v>ZN</v>
      </c>
      <c r="D273" s="91">
        <f>O273</f>
        <v>0</v>
      </c>
      <c r="E273" s="92">
        <f>P273</f>
        <v>0</v>
      </c>
      <c r="F273" s="17">
        <f>Q273*(100-$F$6)/100</f>
        <v>0</v>
      </c>
      <c r="G273" s="65"/>
      <c r="H273" s="65"/>
      <c r="I273" s="169">
        <f>T273</f>
        <v>8589412</v>
      </c>
      <c r="J273" s="169">
        <f>U273</f>
        <v>275330</v>
      </c>
      <c r="K273" s="20"/>
      <c r="L273" s="61" t="str">
        <f>Price!A273</f>
        <v>Korpusové lišty TIP-ON BLUMOTION, 270mm, 40kg</v>
      </c>
      <c r="M273" s="15" t="str">
        <f>Price!B273</f>
        <v>750.2700M</v>
      </c>
      <c r="N273" s="15" t="str">
        <f>Price!C273</f>
        <v>ZN</v>
      </c>
      <c r="O273" s="525">
        <f>Price!D273</f>
        <v>0</v>
      </c>
      <c r="P273" s="16"/>
      <c r="Q273" s="17">
        <f>Price!F273</f>
        <v>0</v>
      </c>
      <c r="R273" s="318"/>
      <c r="S273" s="318"/>
      <c r="T273" s="12">
        <f>Price!G273</f>
        <v>8589412</v>
      </c>
      <c r="U273" s="252">
        <f>Price!H273</f>
        <v>275330</v>
      </c>
      <c r="V273" s="13"/>
      <c r="W273" s="13"/>
      <c r="X273" s="19"/>
      <c r="Y273" s="19"/>
    </row>
    <row r="274" spans="1:25" x14ac:dyDescent="0.35">
      <c r="A274" s="90" t="str">
        <f t="shared" ref="A274:A291" si="278">L274</f>
        <v>Korpusové lišty TIP-ON BLUMOTION, 300mm, 40kg</v>
      </c>
      <c r="B274" s="91" t="str">
        <f t="shared" ref="B274:B291" si="279">M274</f>
        <v>750.3001M</v>
      </c>
      <c r="C274" s="91" t="str">
        <f t="shared" ref="C274:C291" si="280">N274</f>
        <v>ZN</v>
      </c>
      <c r="D274" s="91">
        <f t="shared" ref="D274:D291" si="281">O274</f>
        <v>0</v>
      </c>
      <c r="E274" s="92">
        <f t="shared" ref="E274:E291" si="282">P274</f>
        <v>0</v>
      </c>
      <c r="F274" s="17">
        <f t="shared" ref="F274:F291" si="283">Q274*(100-$F$6)/100</f>
        <v>695.93676999999991</v>
      </c>
      <c r="G274" s="65"/>
      <c r="H274" s="65"/>
      <c r="I274" s="169">
        <f t="shared" ref="I274:I291" si="284">T274</f>
        <v>5663406</v>
      </c>
      <c r="J274" s="169">
        <f t="shared" ref="J274:J291" si="285">U274</f>
        <v>275331</v>
      </c>
      <c r="K274" s="20"/>
      <c r="L274" s="61" t="str">
        <f>Price!A274</f>
        <v>Korpusové lišty TIP-ON BLUMOTION, 300mm, 40kg</v>
      </c>
      <c r="M274" s="15" t="str">
        <f>Price!B274</f>
        <v>750.3001M</v>
      </c>
      <c r="N274" s="15" t="str">
        <f>Price!C274</f>
        <v>ZN</v>
      </c>
      <c r="O274" s="525">
        <f>Price!D274</f>
        <v>0</v>
      </c>
      <c r="P274" s="16"/>
      <c r="Q274" s="17">
        <f>Price!F274</f>
        <v>695.93677000000002</v>
      </c>
      <c r="R274" s="318"/>
      <c r="S274" s="318"/>
      <c r="T274" s="12">
        <f>Price!G274</f>
        <v>5663406</v>
      </c>
      <c r="U274" s="252">
        <f>Price!H274</f>
        <v>275331</v>
      </c>
      <c r="V274" s="13"/>
      <c r="W274" s="13"/>
      <c r="X274" s="19"/>
      <c r="Y274" s="19"/>
    </row>
    <row r="275" spans="1:25" x14ac:dyDescent="0.35">
      <c r="A275" s="90" t="str">
        <f t="shared" si="278"/>
        <v>Korpusové lišty TIP-ON BLUMOTION, 350mm, 40kg</v>
      </c>
      <c r="B275" s="91" t="str">
        <f t="shared" si="279"/>
        <v>750.3501M</v>
      </c>
      <c r="C275" s="91" t="str">
        <f t="shared" si="280"/>
        <v>ZN</v>
      </c>
      <c r="D275" s="91">
        <f t="shared" si="281"/>
        <v>0</v>
      </c>
      <c r="E275" s="92">
        <f t="shared" si="282"/>
        <v>0</v>
      </c>
      <c r="F275" s="17">
        <f t="shared" si="283"/>
        <v>695.93676999999991</v>
      </c>
      <c r="G275" s="65"/>
      <c r="H275" s="65"/>
      <c r="I275" s="169">
        <f t="shared" si="284"/>
        <v>4538135</v>
      </c>
      <c r="J275" s="169">
        <f t="shared" si="285"/>
        <v>275332</v>
      </c>
      <c r="K275" s="20"/>
      <c r="L275" s="61" t="str">
        <f>Price!A275</f>
        <v>Korpusové lišty TIP-ON BLUMOTION, 350mm, 40kg</v>
      </c>
      <c r="M275" s="15" t="str">
        <f>Price!B275</f>
        <v>750.3501M</v>
      </c>
      <c r="N275" s="15" t="str">
        <f>Price!C275</f>
        <v>ZN</v>
      </c>
      <c r="O275" s="525">
        <f>Price!D275</f>
        <v>0</v>
      </c>
      <c r="P275" s="16"/>
      <c r="Q275" s="17">
        <f>Price!F275</f>
        <v>695.93677000000002</v>
      </c>
      <c r="R275" s="318"/>
      <c r="S275" s="318"/>
      <c r="T275" s="12">
        <f>Price!G275</f>
        <v>4538135</v>
      </c>
      <c r="U275" s="252">
        <f>Price!H275</f>
        <v>275332</v>
      </c>
      <c r="V275" s="13"/>
      <c r="W275" s="13"/>
      <c r="X275" s="19"/>
      <c r="Y275" s="19"/>
    </row>
    <row r="276" spans="1:25" x14ac:dyDescent="0.35">
      <c r="A276" s="90" t="str">
        <f t="shared" si="278"/>
        <v>Korpusové lišty TIP-ON BLUMOTION, 400mm, 40kg</v>
      </c>
      <c r="B276" s="91" t="str">
        <f t="shared" si="279"/>
        <v>750.4001M</v>
      </c>
      <c r="C276" s="91" t="str">
        <f t="shared" si="280"/>
        <v>ZN</v>
      </c>
      <c r="D276" s="91">
        <f t="shared" si="281"/>
        <v>0</v>
      </c>
      <c r="E276" s="92">
        <f t="shared" si="282"/>
        <v>0</v>
      </c>
      <c r="F276" s="17">
        <f t="shared" si="283"/>
        <v>0</v>
      </c>
      <c r="G276" s="65"/>
      <c r="H276" s="65"/>
      <c r="I276" s="169">
        <f t="shared" si="284"/>
        <v>2346429</v>
      </c>
      <c r="J276" s="169">
        <f t="shared" si="285"/>
        <v>275333</v>
      </c>
      <c r="K276" s="20"/>
      <c r="L276" s="61" t="str">
        <f>Price!A276</f>
        <v>Korpusové lišty TIP-ON BLUMOTION, 400mm, 40kg</v>
      </c>
      <c r="M276" s="15" t="str">
        <f>Price!B276</f>
        <v>750.4001M</v>
      </c>
      <c r="N276" s="15" t="str">
        <f>Price!C276</f>
        <v>ZN</v>
      </c>
      <c r="O276" s="525">
        <f>Price!D276</f>
        <v>0</v>
      </c>
      <c r="P276" s="16"/>
      <c r="Q276" s="17">
        <f>Price!F276</f>
        <v>0</v>
      </c>
      <c r="R276" s="318"/>
      <c r="S276" s="318"/>
      <c r="T276" s="12">
        <f>Price!G276</f>
        <v>2346429</v>
      </c>
      <c r="U276" s="252">
        <f>Price!H276</f>
        <v>275333</v>
      </c>
      <c r="V276" s="13"/>
      <c r="W276" s="13"/>
      <c r="X276" s="19"/>
      <c r="Y276" s="19"/>
    </row>
    <row r="277" spans="1:25" x14ac:dyDescent="0.35">
      <c r="A277" s="90" t="str">
        <f t="shared" si="278"/>
        <v>Korpusové lišty TIP-ON BLUMOTION, 450mm, 40kg</v>
      </c>
      <c r="B277" s="91" t="str">
        <f t="shared" si="279"/>
        <v>750.4501M</v>
      </c>
      <c r="C277" s="91" t="str">
        <f t="shared" si="280"/>
        <v>ZN</v>
      </c>
      <c r="D277" s="91">
        <f t="shared" si="281"/>
        <v>0</v>
      </c>
      <c r="E277" s="92">
        <f t="shared" si="282"/>
        <v>0</v>
      </c>
      <c r="F277" s="17">
        <f t="shared" si="283"/>
        <v>697.06186000000002</v>
      </c>
      <c r="G277" s="65"/>
      <c r="H277" s="65"/>
      <c r="I277" s="169">
        <f t="shared" si="284"/>
        <v>2508131</v>
      </c>
      <c r="J277" s="169">
        <f t="shared" si="285"/>
        <v>275334</v>
      </c>
      <c r="K277" s="20"/>
      <c r="L277" s="61" t="str">
        <f>Price!A277</f>
        <v>Korpusové lišty TIP-ON BLUMOTION, 450mm, 40kg</v>
      </c>
      <c r="M277" s="15" t="str">
        <f>Price!B277</f>
        <v>750.4501M</v>
      </c>
      <c r="N277" s="15" t="str">
        <f>Price!C277</f>
        <v>ZN</v>
      </c>
      <c r="O277" s="525">
        <f>Price!D277</f>
        <v>0</v>
      </c>
      <c r="P277" s="16"/>
      <c r="Q277" s="17">
        <f>Price!F277</f>
        <v>697.06186000000002</v>
      </c>
      <c r="R277" s="318"/>
      <c r="S277" s="318"/>
      <c r="T277" s="12">
        <f>Price!G277</f>
        <v>2508131</v>
      </c>
      <c r="U277" s="252">
        <f>Price!H277</f>
        <v>275334</v>
      </c>
      <c r="V277" s="13"/>
      <c r="W277" s="13"/>
      <c r="X277" s="19"/>
      <c r="Y277" s="19"/>
    </row>
    <row r="278" spans="1:25" x14ac:dyDescent="0.35">
      <c r="A278" s="90" t="str">
        <f t="shared" si="278"/>
        <v>Korpusové lišty TIP-ON BLUMOTION, 450mm, 70kg</v>
      </c>
      <c r="B278" s="91" t="str">
        <f t="shared" si="279"/>
        <v>753.4501M</v>
      </c>
      <c r="C278" s="91" t="str">
        <f t="shared" si="280"/>
        <v>ZN</v>
      </c>
      <c r="D278" s="91">
        <f t="shared" si="281"/>
        <v>0</v>
      </c>
      <c r="E278" s="92">
        <f t="shared" si="282"/>
        <v>0</v>
      </c>
      <c r="F278" s="17">
        <f t="shared" si="283"/>
        <v>881.76589000000013</v>
      </c>
      <c r="G278" s="65"/>
      <c r="H278" s="65"/>
      <c r="I278" s="169">
        <f t="shared" si="284"/>
        <v>4419145</v>
      </c>
      <c r="J278" s="169">
        <f t="shared" si="285"/>
        <v>275338</v>
      </c>
      <c r="K278" s="20"/>
      <c r="L278" s="61" t="str">
        <f>Price!A278</f>
        <v>Korpusové lišty TIP-ON BLUMOTION, 450mm, 70kg</v>
      </c>
      <c r="M278" s="15" t="str">
        <f>Price!B278</f>
        <v>753.4501M</v>
      </c>
      <c r="N278" s="15" t="str">
        <f>Price!C278</f>
        <v>ZN</v>
      </c>
      <c r="O278" s="525">
        <f>Price!D278</f>
        <v>0</v>
      </c>
      <c r="P278" s="16"/>
      <c r="Q278" s="17">
        <f>Price!F278</f>
        <v>881.76589000000001</v>
      </c>
      <c r="R278" s="318"/>
      <c r="S278" s="318"/>
      <c r="T278" s="12">
        <f>Price!G278</f>
        <v>4419145</v>
      </c>
      <c r="U278" s="252">
        <f>Price!H278</f>
        <v>275338</v>
      </c>
      <c r="V278" s="13"/>
      <c r="W278" s="13"/>
      <c r="X278" s="19"/>
      <c r="Y278" s="19"/>
    </row>
    <row r="279" spans="1:25" x14ac:dyDescent="0.35">
      <c r="A279" s="90" t="str">
        <f t="shared" si="278"/>
        <v>Korpusové lišty TIP-ON BLUMOTION, 500mm, 40kg</v>
      </c>
      <c r="B279" s="91" t="str">
        <f t="shared" si="279"/>
        <v>750.5001M</v>
      </c>
      <c r="C279" s="91" t="str">
        <f t="shared" si="280"/>
        <v>ZN</v>
      </c>
      <c r="D279" s="91">
        <f t="shared" si="281"/>
        <v>0</v>
      </c>
      <c r="E279" s="92">
        <f t="shared" si="282"/>
        <v>0</v>
      </c>
      <c r="F279" s="17">
        <f t="shared" si="283"/>
        <v>705.71905000000004</v>
      </c>
      <c r="G279" s="65"/>
      <c r="H279" s="65"/>
      <c r="I279" s="169">
        <f t="shared" si="284"/>
        <v>9554467</v>
      </c>
      <c r="J279" s="169">
        <f t="shared" si="285"/>
        <v>275335</v>
      </c>
      <c r="K279" s="20"/>
      <c r="L279" s="61" t="str">
        <f>Price!A279</f>
        <v>Korpusové lišty TIP-ON BLUMOTION, 500mm, 40kg</v>
      </c>
      <c r="M279" s="15" t="str">
        <f>Price!B279</f>
        <v>750.5001M</v>
      </c>
      <c r="N279" s="15" t="str">
        <f>Price!C279</f>
        <v>ZN</v>
      </c>
      <c r="O279" s="525">
        <f>Price!D279</f>
        <v>0</v>
      </c>
      <c r="P279" s="16"/>
      <c r="Q279" s="17">
        <f>Price!F279</f>
        <v>705.71905000000004</v>
      </c>
      <c r="R279" s="318"/>
      <c r="S279" s="318"/>
      <c r="T279" s="12">
        <f>Price!G279</f>
        <v>9554467</v>
      </c>
      <c r="U279" s="252">
        <f>Price!H279</f>
        <v>275335</v>
      </c>
      <c r="V279" s="13"/>
      <c r="W279" s="13"/>
      <c r="X279" s="19"/>
      <c r="Y279" s="19"/>
    </row>
    <row r="280" spans="1:25" x14ac:dyDescent="0.35">
      <c r="A280" s="90" t="str">
        <f t="shared" si="278"/>
        <v>Korpusové lišty TIP-ON BLUMOTION, 500mm, 70kg</v>
      </c>
      <c r="B280" s="91" t="str">
        <f t="shared" si="279"/>
        <v>753.5001M</v>
      </c>
      <c r="C280" s="91" t="str">
        <f t="shared" si="280"/>
        <v>ZN</v>
      </c>
      <c r="D280" s="91">
        <f t="shared" si="281"/>
        <v>0</v>
      </c>
      <c r="E280" s="92">
        <f t="shared" si="282"/>
        <v>0</v>
      </c>
      <c r="F280" s="17">
        <f t="shared" si="283"/>
        <v>890.62918000000002</v>
      </c>
      <c r="G280" s="65"/>
      <c r="H280" s="65"/>
      <c r="I280" s="169">
        <f t="shared" si="284"/>
        <v>5699464</v>
      </c>
      <c r="J280" s="169">
        <f t="shared" si="285"/>
        <v>275339</v>
      </c>
      <c r="K280" s="20"/>
      <c r="L280" s="61" t="str">
        <f>Price!A280</f>
        <v>Korpusové lišty TIP-ON BLUMOTION, 500mm, 70kg</v>
      </c>
      <c r="M280" s="15" t="str">
        <f>Price!B280</f>
        <v>753.5001M</v>
      </c>
      <c r="N280" s="15" t="str">
        <f>Price!C280</f>
        <v>ZN</v>
      </c>
      <c r="O280" s="525">
        <f>Price!D280</f>
        <v>0</v>
      </c>
      <c r="P280" s="16"/>
      <c r="Q280" s="17">
        <f>Price!F280</f>
        <v>890.62918000000002</v>
      </c>
      <c r="R280" s="318"/>
      <c r="S280" s="318"/>
      <c r="T280" s="12">
        <f>Price!G280</f>
        <v>5699464</v>
      </c>
      <c r="U280" s="252">
        <f>Price!H280</f>
        <v>275339</v>
      </c>
      <c r="V280" s="13"/>
      <c r="W280" s="13"/>
      <c r="X280" s="19"/>
      <c r="Y280" s="19"/>
    </row>
    <row r="281" spans="1:25" x14ac:dyDescent="0.35">
      <c r="A281" s="90" t="str">
        <f t="shared" si="278"/>
        <v>Korpusové lišty TIP-ON BLUMOTION, 550mm, 40kg</v>
      </c>
      <c r="B281" s="91" t="str">
        <f t="shared" si="279"/>
        <v>750.5501M</v>
      </c>
      <c r="C281" s="91" t="str">
        <f t="shared" si="280"/>
        <v>ZN</v>
      </c>
      <c r="D281" s="91">
        <f t="shared" si="281"/>
        <v>0</v>
      </c>
      <c r="E281" s="92">
        <f t="shared" si="282"/>
        <v>0</v>
      </c>
      <c r="F281" s="17">
        <f t="shared" si="283"/>
        <v>0</v>
      </c>
      <c r="G281" s="65"/>
      <c r="H281" s="65"/>
      <c r="I281" s="169">
        <f t="shared" si="284"/>
        <v>1309911</v>
      </c>
      <c r="J281" s="169">
        <f t="shared" si="285"/>
        <v>275336</v>
      </c>
      <c r="K281" s="20"/>
      <c r="L281" s="61" t="str">
        <f>Price!A281</f>
        <v>Korpusové lišty TIP-ON BLUMOTION, 550mm, 40kg</v>
      </c>
      <c r="M281" s="15" t="str">
        <f>Price!B281</f>
        <v>750.5501M</v>
      </c>
      <c r="N281" s="15" t="str">
        <f>Price!C281</f>
        <v>ZN</v>
      </c>
      <c r="O281" s="525">
        <f>Price!D281</f>
        <v>0</v>
      </c>
      <c r="P281" s="16"/>
      <c r="Q281" s="17">
        <f>Price!F281</f>
        <v>0</v>
      </c>
      <c r="R281" s="318"/>
      <c r="S281" s="318"/>
      <c r="T281" s="12">
        <f>Price!G281</f>
        <v>1309911</v>
      </c>
      <c r="U281" s="252">
        <f>Price!H281</f>
        <v>275336</v>
      </c>
      <c r="V281" s="13"/>
      <c r="W281" s="13"/>
      <c r="X281" s="19"/>
      <c r="Y281" s="19"/>
    </row>
    <row r="282" spans="1:25" x14ac:dyDescent="0.35">
      <c r="A282" s="90" t="str">
        <f t="shared" si="278"/>
        <v>Korpusové lišty TIP-ON BLUMOTION, 550mm, 70kg</v>
      </c>
      <c r="B282" s="91" t="str">
        <f t="shared" si="279"/>
        <v>753.5501M</v>
      </c>
      <c r="C282" s="91" t="str">
        <f t="shared" si="280"/>
        <v>ZN</v>
      </c>
      <c r="D282" s="91">
        <f t="shared" si="281"/>
        <v>0</v>
      </c>
      <c r="E282" s="92">
        <f t="shared" si="282"/>
        <v>0</v>
      </c>
      <c r="F282" s="17">
        <f t="shared" si="283"/>
        <v>0</v>
      </c>
      <c r="G282" s="65"/>
      <c r="H282" s="65"/>
      <c r="I282" s="169">
        <f t="shared" si="284"/>
        <v>6306480</v>
      </c>
      <c r="J282" s="169">
        <f t="shared" si="285"/>
        <v>275340</v>
      </c>
      <c r="K282" s="20"/>
      <c r="L282" s="61" t="str">
        <f>Price!A282</f>
        <v>Korpusové lišty TIP-ON BLUMOTION, 550mm, 70kg</v>
      </c>
      <c r="M282" s="15" t="str">
        <f>Price!B282</f>
        <v>753.5501M</v>
      </c>
      <c r="N282" s="15" t="str">
        <f>Price!C282</f>
        <v>ZN</v>
      </c>
      <c r="O282" s="525">
        <f>Price!D282</f>
        <v>0</v>
      </c>
      <c r="P282" s="16"/>
      <c r="Q282" s="17">
        <f>Price!F282</f>
        <v>0</v>
      </c>
      <c r="R282" s="318"/>
      <c r="S282" s="318"/>
      <c r="T282" s="12">
        <f>Price!G282</f>
        <v>6306480</v>
      </c>
      <c r="U282" s="252">
        <f>Price!H282</f>
        <v>275340</v>
      </c>
      <c r="V282" s="13"/>
      <c r="W282" s="13"/>
      <c r="X282" s="19"/>
      <c r="Y282" s="19"/>
    </row>
    <row r="283" spans="1:25" x14ac:dyDescent="0.35">
      <c r="A283" s="90" t="str">
        <f t="shared" si="278"/>
        <v>Korpusové lišty TIP-ON BLUMOTION, 600mm, 40kg</v>
      </c>
      <c r="B283" s="91" t="str">
        <f t="shared" si="279"/>
        <v>750.6001M</v>
      </c>
      <c r="C283" s="91" t="str">
        <f t="shared" si="280"/>
        <v>ZN</v>
      </c>
      <c r="D283" s="91">
        <f t="shared" si="281"/>
        <v>0</v>
      </c>
      <c r="E283" s="92">
        <f t="shared" si="282"/>
        <v>0</v>
      </c>
      <c r="F283" s="17">
        <f t="shared" si="283"/>
        <v>865.24247000000003</v>
      </c>
      <c r="G283" s="65"/>
      <c r="H283" s="65"/>
      <c r="I283" s="169">
        <f t="shared" si="284"/>
        <v>9677262</v>
      </c>
      <c r="J283" s="169">
        <f t="shared" si="285"/>
        <v>275337</v>
      </c>
      <c r="K283" s="20"/>
      <c r="L283" s="61" t="str">
        <f>Price!A283</f>
        <v>Korpusové lišty TIP-ON BLUMOTION, 600mm, 40kg</v>
      </c>
      <c r="M283" s="15" t="str">
        <f>Price!B283</f>
        <v>750.6001M</v>
      </c>
      <c r="N283" s="15" t="str">
        <f>Price!C283</f>
        <v>ZN</v>
      </c>
      <c r="O283" s="525">
        <f>Price!D283</f>
        <v>0</v>
      </c>
      <c r="P283" s="16"/>
      <c r="Q283" s="17">
        <f>Price!F283</f>
        <v>865.24247000000003</v>
      </c>
      <c r="R283" s="318"/>
      <c r="S283" s="318"/>
      <c r="T283" s="12">
        <f>Price!G283</f>
        <v>9677262</v>
      </c>
      <c r="U283" s="252">
        <f>Price!H283</f>
        <v>275337</v>
      </c>
      <c r="V283" s="13"/>
      <c r="W283" s="13"/>
      <c r="X283" s="19"/>
      <c r="Y283" s="19"/>
    </row>
    <row r="284" spans="1:25" x14ac:dyDescent="0.35">
      <c r="A284" s="90" t="str">
        <f t="shared" si="278"/>
        <v>Korpusové lišty TIP-ON BLUMOTION, 600mm, 70kg</v>
      </c>
      <c r="B284" s="91" t="str">
        <f t="shared" si="279"/>
        <v>753.6001M</v>
      </c>
      <c r="C284" s="91" t="str">
        <f t="shared" si="280"/>
        <v>ZN</v>
      </c>
      <c r="D284" s="91">
        <f t="shared" si="281"/>
        <v>0</v>
      </c>
      <c r="E284" s="92">
        <f t="shared" si="282"/>
        <v>0</v>
      </c>
      <c r="F284" s="17">
        <f t="shared" si="283"/>
        <v>0</v>
      </c>
      <c r="G284" s="65"/>
      <c r="H284" s="65"/>
      <c r="I284" s="169">
        <f t="shared" si="284"/>
        <v>8301756</v>
      </c>
      <c r="J284" s="169">
        <f t="shared" si="285"/>
        <v>275341</v>
      </c>
      <c r="K284" s="20"/>
      <c r="L284" s="61" t="str">
        <f>Price!A284</f>
        <v>Korpusové lišty TIP-ON BLUMOTION, 600mm, 70kg</v>
      </c>
      <c r="M284" s="15" t="str">
        <f>Price!B284</f>
        <v>753.6001M</v>
      </c>
      <c r="N284" s="15" t="str">
        <f>Price!C284</f>
        <v>ZN</v>
      </c>
      <c r="O284" s="525">
        <f>Price!D284</f>
        <v>0</v>
      </c>
      <c r="P284" s="16"/>
      <c r="Q284" s="17">
        <f>Price!F284</f>
        <v>0</v>
      </c>
      <c r="R284" s="318"/>
      <c r="S284" s="318"/>
      <c r="T284" s="12">
        <f>Price!G284</f>
        <v>8301756</v>
      </c>
      <c r="U284" s="252">
        <f>Price!H284</f>
        <v>275341</v>
      </c>
      <c r="V284" s="13"/>
      <c r="W284" s="13"/>
      <c r="X284" s="19"/>
      <c r="Y284" s="19"/>
    </row>
    <row r="285" spans="1:25" x14ac:dyDescent="0.35">
      <c r="A285" s="90" t="str">
        <f t="shared" si="278"/>
        <v>Korpusové lišty TIP-ON BLUMOTION, 650mm, 70kg</v>
      </c>
      <c r="B285" s="91" t="str">
        <f t="shared" si="279"/>
        <v>753.6501M</v>
      </c>
      <c r="C285" s="91" t="str">
        <f t="shared" si="280"/>
        <v>ZN</v>
      </c>
      <c r="D285" s="91">
        <f t="shared" si="281"/>
        <v>0</v>
      </c>
      <c r="E285" s="92">
        <f t="shared" si="282"/>
        <v>0</v>
      </c>
      <c r="F285" s="17">
        <f t="shared" si="283"/>
        <v>1080.66551</v>
      </c>
      <c r="G285" s="65"/>
      <c r="H285" s="65"/>
      <c r="I285" s="169">
        <f t="shared" si="284"/>
        <v>9722794</v>
      </c>
      <c r="J285" s="169">
        <f t="shared" si="285"/>
        <v>275342</v>
      </c>
      <c r="K285" s="20"/>
      <c r="L285" s="61" t="str">
        <f>Price!A285</f>
        <v>Korpusové lišty TIP-ON BLUMOTION, 650mm, 70kg</v>
      </c>
      <c r="M285" s="15" t="str">
        <f>Price!B285</f>
        <v>753.6501M</v>
      </c>
      <c r="N285" s="15" t="str">
        <f>Price!C285</f>
        <v>ZN</v>
      </c>
      <c r="O285" s="525">
        <f>Price!D285</f>
        <v>0</v>
      </c>
      <c r="P285" s="16"/>
      <c r="Q285" s="17">
        <f>Price!F285</f>
        <v>1080.66551</v>
      </c>
      <c r="R285" s="318"/>
      <c r="S285" s="318"/>
      <c r="T285" s="12">
        <f>Price!G285</f>
        <v>9722794</v>
      </c>
      <c r="U285" s="252">
        <f>Price!H285</f>
        <v>275342</v>
      </c>
      <c r="V285" s="13"/>
      <c r="W285" s="13"/>
      <c r="X285" s="19"/>
      <c r="Y285" s="19"/>
    </row>
    <row r="286" spans="1:25" x14ac:dyDescent="0.35">
      <c r="A286" s="90"/>
      <c r="B286" s="91"/>
      <c r="C286" s="91"/>
      <c r="D286" s="91"/>
      <c r="E286" s="92"/>
      <c r="F286" s="17"/>
      <c r="G286" s="65"/>
      <c r="H286" s="65"/>
      <c r="I286" s="169"/>
      <c r="J286" s="169"/>
      <c r="K286" s="20"/>
      <c r="L286" s="61">
        <f>Price!A286</f>
        <v>0</v>
      </c>
      <c r="M286" s="15">
        <f>Price!B286</f>
        <v>0</v>
      </c>
      <c r="N286" s="15">
        <f>Price!C286</f>
        <v>0</v>
      </c>
      <c r="O286" s="525">
        <f>Price!D286</f>
        <v>0</v>
      </c>
      <c r="P286" s="16"/>
      <c r="Q286" s="17">
        <f>Price!F286</f>
        <v>0</v>
      </c>
      <c r="R286" s="318"/>
      <c r="S286" s="318"/>
      <c r="T286" s="12">
        <f>Price!G286</f>
        <v>0</v>
      </c>
      <c r="U286" s="252">
        <f>Price!H286</f>
        <v>0</v>
      </c>
      <c r="V286" s="13"/>
      <c r="W286" s="13"/>
      <c r="X286" s="19"/>
      <c r="Y286" s="19"/>
    </row>
    <row r="287" spans="1:25" x14ac:dyDescent="0.35">
      <c r="A287" s="90" t="str">
        <f t="shared" si="278"/>
        <v>Sada jednotek TIP-ON BLUMOTION, S0</v>
      </c>
      <c r="B287" s="91" t="str">
        <f t="shared" ref="B287" si="286">M287</f>
        <v>T60L7040</v>
      </c>
      <c r="C287" s="91" t="str">
        <f t="shared" ref="C287" si="287">N287</f>
        <v>ZN</v>
      </c>
      <c r="D287" s="91">
        <f t="shared" ref="D287" si="288">O287</f>
        <v>0</v>
      </c>
      <c r="E287" s="92">
        <f t="shared" ref="E287" si="289">P287</f>
        <v>0</v>
      </c>
      <c r="F287" s="17">
        <f t="shared" ref="F287" si="290">Q287*(100-$F$6)/100</f>
        <v>478.94060000000007</v>
      </c>
      <c r="G287" s="65"/>
      <c r="H287" s="65"/>
      <c r="I287" s="169">
        <f t="shared" ref="I287" si="291">T287</f>
        <v>8675028</v>
      </c>
      <c r="J287" s="169">
        <f t="shared" ref="J287" si="292">U287</f>
        <v>284456</v>
      </c>
      <c r="K287" s="20"/>
      <c r="L287" s="61" t="str">
        <f>Price!A287</f>
        <v>Sada jednotek TIP-ON BLUMOTION, S0</v>
      </c>
      <c r="M287" s="15" t="str">
        <f>Price!B287</f>
        <v>T60L7040</v>
      </c>
      <c r="N287" s="15" t="str">
        <f>Price!C287</f>
        <v>ZN</v>
      </c>
      <c r="O287" s="525">
        <f>Price!D287</f>
        <v>0</v>
      </c>
      <c r="P287" s="16"/>
      <c r="Q287" s="17">
        <f>Price!F287</f>
        <v>478.94060000000002</v>
      </c>
      <c r="R287" s="318"/>
      <c r="S287" s="318"/>
      <c r="T287" s="12">
        <f>Price!G287</f>
        <v>8675028</v>
      </c>
      <c r="U287" s="252">
        <f>Price!H287</f>
        <v>284456</v>
      </c>
      <c r="V287" s="13"/>
      <c r="W287" s="13"/>
      <c r="X287" s="19"/>
      <c r="Y287" s="19"/>
    </row>
    <row r="288" spans="1:25" x14ac:dyDescent="0.35">
      <c r="A288" s="90" t="str">
        <f t="shared" si="278"/>
        <v>Sada jednotek TIP-ON BLUMOTION, S1</v>
      </c>
      <c r="B288" s="91" t="str">
        <f t="shared" si="279"/>
        <v>T60L7140</v>
      </c>
      <c r="C288" s="91" t="str">
        <f t="shared" si="280"/>
        <v>ZN</v>
      </c>
      <c r="D288" s="91">
        <f t="shared" si="281"/>
        <v>0</v>
      </c>
      <c r="E288" s="92">
        <f t="shared" si="282"/>
        <v>0</v>
      </c>
      <c r="F288" s="17">
        <f t="shared" si="283"/>
        <v>478.94060000000007</v>
      </c>
      <c r="G288" s="65"/>
      <c r="H288" s="65"/>
      <c r="I288" s="169">
        <f t="shared" si="284"/>
        <v>8743540</v>
      </c>
      <c r="J288" s="169">
        <f t="shared" si="285"/>
        <v>275343</v>
      </c>
      <c r="K288" s="20"/>
      <c r="L288" s="61" t="str">
        <f>Price!A288</f>
        <v>Sada jednotek TIP-ON BLUMOTION, S1</v>
      </c>
      <c r="M288" s="15" t="str">
        <f>Price!B288</f>
        <v>T60L7140</v>
      </c>
      <c r="N288" s="15" t="str">
        <f>Price!C288</f>
        <v>ZN</v>
      </c>
      <c r="O288" s="525">
        <f>Price!D288</f>
        <v>0</v>
      </c>
      <c r="P288" s="16"/>
      <c r="Q288" s="17">
        <f>Price!F288</f>
        <v>478.94060000000002</v>
      </c>
      <c r="R288" s="318"/>
      <c r="S288" s="318"/>
      <c r="T288" s="12">
        <f>Price!G288</f>
        <v>8743540</v>
      </c>
      <c r="U288" s="252">
        <f>Price!H288</f>
        <v>275343</v>
      </c>
      <c r="V288" s="13"/>
      <c r="W288" s="13"/>
      <c r="X288" s="19"/>
      <c r="Y288" s="19"/>
    </row>
    <row r="289" spans="1:25" x14ac:dyDescent="0.35">
      <c r="A289" s="90" t="str">
        <f t="shared" si="278"/>
        <v>Sada jednotek TIP-ON BLUMOTION, L1</v>
      </c>
      <c r="B289" s="91" t="str">
        <f t="shared" si="279"/>
        <v>T60L7340</v>
      </c>
      <c r="C289" s="91" t="str">
        <f t="shared" si="280"/>
        <v>ZN</v>
      </c>
      <c r="D289" s="91">
        <f t="shared" si="281"/>
        <v>0</v>
      </c>
      <c r="E289" s="92">
        <f t="shared" si="282"/>
        <v>0</v>
      </c>
      <c r="F289" s="17">
        <f t="shared" si="283"/>
        <v>467.80245000000002</v>
      </c>
      <c r="G289" s="65"/>
      <c r="H289" s="65"/>
      <c r="I289" s="169">
        <f t="shared" si="284"/>
        <v>2368890</v>
      </c>
      <c r="J289" s="169">
        <f t="shared" si="285"/>
        <v>275344</v>
      </c>
      <c r="K289" s="20"/>
      <c r="L289" s="61" t="str">
        <f>Price!A289</f>
        <v>Sada jednotek TIP-ON BLUMOTION, L1</v>
      </c>
      <c r="M289" s="15" t="str">
        <f>Price!B289</f>
        <v>T60L7340</v>
      </c>
      <c r="N289" s="15" t="str">
        <f>Price!C289</f>
        <v>ZN</v>
      </c>
      <c r="O289" s="525">
        <f>Price!D289</f>
        <v>0</v>
      </c>
      <c r="P289" s="16"/>
      <c r="Q289" s="17">
        <f>Price!F289</f>
        <v>467.80245000000002</v>
      </c>
      <c r="R289" s="318"/>
      <c r="S289" s="318"/>
      <c r="T289" s="12">
        <f>Price!G289</f>
        <v>2368890</v>
      </c>
      <c r="U289" s="252">
        <f>Price!H289</f>
        <v>275344</v>
      </c>
      <c r="V289" s="13"/>
      <c r="W289" s="13"/>
      <c r="X289" s="19"/>
      <c r="Y289" s="19"/>
    </row>
    <row r="290" spans="1:25" x14ac:dyDescent="0.35">
      <c r="A290" s="90" t="str">
        <f t="shared" si="278"/>
        <v>Sada jednotek TIP-ON BLUMOTION, L3</v>
      </c>
      <c r="B290" s="91" t="str">
        <f t="shared" si="279"/>
        <v>T60L7540</v>
      </c>
      <c r="C290" s="91" t="str">
        <f t="shared" si="280"/>
        <v>ZN</v>
      </c>
      <c r="D290" s="91">
        <f t="shared" si="281"/>
        <v>0</v>
      </c>
      <c r="E290" s="92">
        <f t="shared" si="282"/>
        <v>0</v>
      </c>
      <c r="F290" s="17">
        <f t="shared" si="283"/>
        <v>467.80245000000002</v>
      </c>
      <c r="G290" s="65"/>
      <c r="H290" s="65"/>
      <c r="I290" s="169">
        <f t="shared" si="284"/>
        <v>1286932</v>
      </c>
      <c r="J290" s="169">
        <f t="shared" si="285"/>
        <v>275345</v>
      </c>
      <c r="K290" s="20"/>
      <c r="L290" s="61" t="str">
        <f>Price!A290</f>
        <v>Sada jednotek TIP-ON BLUMOTION, L3</v>
      </c>
      <c r="M290" s="15" t="str">
        <f>Price!B290</f>
        <v>T60L7540</v>
      </c>
      <c r="N290" s="15" t="str">
        <f>Price!C290</f>
        <v>ZN</v>
      </c>
      <c r="O290" s="525">
        <f>Price!D290</f>
        <v>0</v>
      </c>
      <c r="P290" s="16"/>
      <c r="Q290" s="17">
        <f>Price!F290</f>
        <v>467.80245000000002</v>
      </c>
      <c r="R290" s="318"/>
      <c r="S290" s="318"/>
      <c r="T290" s="12">
        <f>Price!G290</f>
        <v>1286932</v>
      </c>
      <c r="U290" s="252">
        <f>Price!H290</f>
        <v>275345</v>
      </c>
      <c r="V290" s="13"/>
      <c r="W290" s="13"/>
      <c r="X290" s="19"/>
      <c r="Y290" s="19"/>
    </row>
    <row r="291" spans="1:25" x14ac:dyDescent="0.35">
      <c r="A291" s="90" t="str">
        <f t="shared" si="278"/>
        <v>Sada jednotek TIP-ON BLUMOTION, L5</v>
      </c>
      <c r="B291" s="91" t="str">
        <f t="shared" si="279"/>
        <v>T60L7570</v>
      </c>
      <c r="C291" s="91" t="str">
        <f t="shared" si="280"/>
        <v>ZN</v>
      </c>
      <c r="D291" s="91">
        <f t="shared" si="281"/>
        <v>0</v>
      </c>
      <c r="E291" s="92">
        <f t="shared" si="282"/>
        <v>0</v>
      </c>
      <c r="F291" s="17">
        <f t="shared" si="283"/>
        <v>467.80245000000002</v>
      </c>
      <c r="G291" s="65"/>
      <c r="H291" s="65"/>
      <c r="I291" s="169">
        <f t="shared" si="284"/>
        <v>6335560</v>
      </c>
      <c r="J291" s="169">
        <f t="shared" si="285"/>
        <v>275347</v>
      </c>
      <c r="K291" s="20"/>
      <c r="L291" s="61" t="str">
        <f>Price!A291</f>
        <v>Sada jednotek TIP-ON BLUMOTION, L5</v>
      </c>
      <c r="M291" s="15" t="str">
        <f>Price!B291</f>
        <v>T60L7570</v>
      </c>
      <c r="N291" s="15" t="str">
        <f>Price!C291</f>
        <v>ZN</v>
      </c>
      <c r="O291" s="525">
        <f>Price!D291</f>
        <v>0</v>
      </c>
      <c r="P291" s="16"/>
      <c r="Q291" s="17">
        <f>Price!F291</f>
        <v>467.80245000000002</v>
      </c>
      <c r="R291" s="318"/>
      <c r="S291" s="318"/>
      <c r="T291" s="12">
        <f>Price!G291</f>
        <v>6335560</v>
      </c>
      <c r="U291" s="252">
        <f>Price!H291</f>
        <v>275347</v>
      </c>
      <c r="V291" s="13"/>
      <c r="W291" s="13"/>
      <c r="X291" s="19"/>
      <c r="Y291" s="19"/>
    </row>
    <row r="292" spans="1:25" s="762" customFormat="1" x14ac:dyDescent="0.35">
      <c r="A292" s="90" t="str">
        <f t="shared" ref="A292:A293" si="293">L292</f>
        <v>Sada jednotek TOB, dřezový výsuv, L1</v>
      </c>
      <c r="B292" s="91" t="str">
        <f t="shared" ref="B292:B293" si="294">M292</f>
        <v>T60L9340 </v>
      </c>
      <c r="C292" s="91" t="str">
        <f t="shared" ref="C292:C293" si="295">N292</f>
        <v>ZN</v>
      </c>
      <c r="D292" s="91">
        <f t="shared" ref="D292:D293" si="296">O292</f>
        <v>0</v>
      </c>
      <c r="E292" s="92">
        <f t="shared" ref="E292:E293" si="297">P292</f>
        <v>0</v>
      </c>
      <c r="F292" s="17">
        <f t="shared" ref="F292:F293" si="298">Q292*(100-$F$6)/100</f>
        <v>786.64774</v>
      </c>
      <c r="G292" s="65"/>
      <c r="H292" s="65"/>
      <c r="I292" s="169">
        <f t="shared" ref="I292:I293" si="299">T292</f>
        <v>1752547</v>
      </c>
      <c r="J292" s="169">
        <f t="shared" ref="J292:J293" si="300">U292</f>
        <v>360754</v>
      </c>
      <c r="K292" s="20"/>
      <c r="L292" s="61" t="str">
        <f>Price!A292</f>
        <v>Sada jednotek TOB, dřezový výsuv, L1</v>
      </c>
      <c r="M292" s="15" t="str">
        <f>Price!B292</f>
        <v>T60L9340 </v>
      </c>
      <c r="N292" s="15" t="str">
        <f>Price!C292</f>
        <v>ZN</v>
      </c>
      <c r="O292" s="525">
        <f>Price!D292</f>
        <v>0</v>
      </c>
      <c r="P292" s="16"/>
      <c r="Q292" s="17">
        <f>Price!F292</f>
        <v>786.64774</v>
      </c>
      <c r="R292" s="318"/>
      <c r="S292" s="318"/>
      <c r="T292" s="12">
        <f>Price!G292</f>
        <v>1752547</v>
      </c>
      <c r="U292" s="252">
        <f>Price!H292</f>
        <v>360754</v>
      </c>
      <c r="V292" s="13"/>
      <c r="W292" s="13"/>
      <c r="X292" s="19"/>
      <c r="Y292" s="19"/>
    </row>
    <row r="293" spans="1:25" s="762" customFormat="1" x14ac:dyDescent="0.35">
      <c r="A293" s="90" t="str">
        <f t="shared" si="293"/>
        <v>Sada jednotek TOB, dřezový výsuv, L3</v>
      </c>
      <c r="B293" s="91" t="str">
        <f t="shared" si="294"/>
        <v>T60L9540</v>
      </c>
      <c r="C293" s="91" t="str">
        <f t="shared" si="295"/>
        <v>ZN</v>
      </c>
      <c r="D293" s="91">
        <f t="shared" si="296"/>
        <v>0</v>
      </c>
      <c r="E293" s="92">
        <f t="shared" si="297"/>
        <v>0</v>
      </c>
      <c r="F293" s="17">
        <f t="shared" si="298"/>
        <v>786.64774</v>
      </c>
      <c r="G293" s="65"/>
      <c r="H293" s="65"/>
      <c r="I293" s="169">
        <f t="shared" si="299"/>
        <v>2783745</v>
      </c>
      <c r="J293" s="169">
        <f t="shared" si="300"/>
        <v>360755</v>
      </c>
      <c r="K293" s="20"/>
      <c r="L293" s="61" t="str">
        <f>Price!A293</f>
        <v>Sada jednotek TOB, dřezový výsuv, L3</v>
      </c>
      <c r="M293" s="15" t="str">
        <f>Price!B293</f>
        <v>T60L9540</v>
      </c>
      <c r="N293" s="15" t="str">
        <f>Price!C293</f>
        <v>ZN</v>
      </c>
      <c r="O293" s="525">
        <f>Price!D293</f>
        <v>0</v>
      </c>
      <c r="P293" s="16"/>
      <c r="Q293" s="17">
        <f>Price!F293</f>
        <v>786.64774</v>
      </c>
      <c r="R293" s="318"/>
      <c r="S293" s="318"/>
      <c r="T293" s="12">
        <f>Price!G293</f>
        <v>2783745</v>
      </c>
      <c r="U293" s="252">
        <f>Price!H293</f>
        <v>360755</v>
      </c>
      <c r="V293" s="13"/>
      <c r="W293" s="13"/>
      <c r="X293" s="19"/>
      <c r="Y293" s="19"/>
    </row>
    <row r="294" spans="1:25" x14ac:dyDescent="0.35">
      <c r="A294" s="90"/>
      <c r="B294" s="91"/>
      <c r="C294" s="91"/>
      <c r="D294" s="531"/>
      <c r="E294" s="92"/>
      <c r="F294" s="17"/>
      <c r="G294" s="65"/>
      <c r="H294" s="65"/>
      <c r="I294" s="169"/>
      <c r="J294" s="169"/>
      <c r="K294" s="20"/>
      <c r="L294" s="61">
        <f>Price!A294</f>
        <v>0</v>
      </c>
      <c r="M294" s="15">
        <f>Price!B294</f>
        <v>0</v>
      </c>
      <c r="N294" s="15">
        <f>Price!C294</f>
        <v>0</v>
      </c>
      <c r="O294" s="525">
        <f>Price!D294</f>
        <v>0</v>
      </c>
      <c r="P294" s="16"/>
      <c r="Q294" s="17">
        <f>Price!F294</f>
        <v>0</v>
      </c>
      <c r="R294" s="318"/>
      <c r="S294" s="318"/>
      <c r="T294" s="12">
        <f>Price!G294</f>
        <v>0</v>
      </c>
      <c r="U294" s="252">
        <f>Price!H294</f>
        <v>0</v>
      </c>
      <c r="V294" s="13"/>
      <c r="W294" s="13"/>
      <c r="X294" s="19"/>
      <c r="Y294" s="19"/>
    </row>
    <row r="295" spans="1:25" x14ac:dyDescent="0.35">
      <c r="A295" s="90"/>
      <c r="B295" s="91"/>
      <c r="C295" s="91"/>
      <c r="D295" s="531"/>
      <c r="E295" s="92"/>
      <c r="F295" s="17"/>
      <c r="G295" s="65"/>
      <c r="H295" s="65"/>
      <c r="I295" s="169"/>
      <c r="J295" s="169"/>
      <c r="K295" s="20"/>
      <c r="L295" s="61">
        <f>Price!A295</f>
        <v>0</v>
      </c>
      <c r="M295" s="15">
        <f>Price!B295</f>
        <v>0</v>
      </c>
      <c r="N295" s="15">
        <f>Price!C295</f>
        <v>0</v>
      </c>
      <c r="O295" s="525">
        <f>Price!D295</f>
        <v>0</v>
      </c>
      <c r="P295" s="16"/>
      <c r="Q295" s="17">
        <f>Price!F295</f>
        <v>0</v>
      </c>
      <c r="R295" s="318"/>
      <c r="S295" s="318"/>
      <c r="T295" s="12">
        <f>Price!G295</f>
        <v>0</v>
      </c>
      <c r="U295" s="252">
        <f>Price!H295</f>
        <v>0</v>
      </c>
      <c r="V295" s="13"/>
      <c r="W295" s="13"/>
      <c r="X295" s="19"/>
      <c r="Y295" s="19"/>
    </row>
    <row r="296" spans="1:25" x14ac:dyDescent="0.35">
      <c r="A296" s="90"/>
      <c r="B296" s="91"/>
      <c r="C296" s="91"/>
      <c r="D296" s="531"/>
      <c r="E296" s="92"/>
      <c r="F296" s="17"/>
      <c r="G296" s="65"/>
      <c r="H296" s="65"/>
      <c r="I296" s="169"/>
      <c r="J296" s="169"/>
      <c r="K296" s="62"/>
      <c r="L296" s="61" t="str">
        <f>Price!A296</f>
        <v xml:space="preserve">   Synchronizace TIP-ON</v>
      </c>
      <c r="M296" s="15">
        <f>Price!B296</f>
        <v>0</v>
      </c>
      <c r="N296" s="15">
        <f>Price!C296</f>
        <v>0</v>
      </c>
      <c r="O296" s="525">
        <f>Price!D296</f>
        <v>0</v>
      </c>
      <c r="P296" s="16"/>
      <c r="Q296" s="17">
        <f>Price!F296</f>
        <v>0</v>
      </c>
      <c r="R296" s="318"/>
      <c r="S296" s="318"/>
      <c r="T296" s="12">
        <f>Price!G296</f>
        <v>0</v>
      </c>
      <c r="U296" s="252">
        <f>Price!H296</f>
        <v>0</v>
      </c>
      <c r="V296" s="13"/>
      <c r="W296" s="13"/>
      <c r="X296" s="19"/>
      <c r="Y296" s="19"/>
    </row>
    <row r="297" spans="1:25" x14ac:dyDescent="0.35">
      <c r="A297" s="90" t="str">
        <f t="shared" ref="A297:E298" si="301">L297</f>
        <v>TIP-ON synchronizace, sada pastorků</v>
      </c>
      <c r="B297" s="91" t="str">
        <f t="shared" si="301"/>
        <v>T57.7400.01</v>
      </c>
      <c r="C297" s="91" t="str">
        <f t="shared" si="301"/>
        <v>R737</v>
      </c>
      <c r="D297" s="91">
        <f t="shared" si="301"/>
        <v>0</v>
      </c>
      <c r="E297" s="92">
        <f t="shared" si="301"/>
        <v>0</v>
      </c>
      <c r="F297" s="17">
        <f>Q297*(100-$F$6)/100</f>
        <v>194.59</v>
      </c>
      <c r="G297" s="65"/>
      <c r="H297" s="65"/>
      <c r="I297" s="169">
        <f>T297</f>
        <v>1605111</v>
      </c>
      <c r="J297" s="169">
        <f>U297</f>
        <v>227606</v>
      </c>
      <c r="K297" s="63"/>
      <c r="L297" s="61" t="str">
        <f>Price!A297</f>
        <v>TIP-ON synchronizace, sada pastorků</v>
      </c>
      <c r="M297" s="15" t="str">
        <f>Price!B297</f>
        <v>T57.7400.01</v>
      </c>
      <c r="N297" s="15" t="str">
        <f>Price!C297</f>
        <v>R737</v>
      </c>
      <c r="O297" s="525">
        <f>Price!D297</f>
        <v>0</v>
      </c>
      <c r="P297" s="16"/>
      <c r="Q297" s="17">
        <f>Price!F297</f>
        <v>194.59</v>
      </c>
      <c r="R297" s="318"/>
      <c r="S297" s="318"/>
      <c r="T297" s="12">
        <f>Price!G297</f>
        <v>1605111</v>
      </c>
      <c r="U297" s="252">
        <f>Price!H297</f>
        <v>227606</v>
      </c>
      <c r="V297" s="13"/>
      <c r="W297" s="13"/>
      <c r="X297" s="19"/>
      <c r="Y297" s="19"/>
    </row>
    <row r="298" spans="1:25" x14ac:dyDescent="0.35">
      <c r="A298" s="90" t="str">
        <f t="shared" si="301"/>
        <v>TIP-ON synchronizace, tyč ke zkrácení</v>
      </c>
      <c r="B298" s="91" t="str">
        <f t="shared" si="301"/>
        <v>ZST.1160W</v>
      </c>
      <c r="C298" s="91" t="str">
        <f t="shared" si="301"/>
        <v>ROH</v>
      </c>
      <c r="D298" s="91">
        <f t="shared" si="301"/>
        <v>0</v>
      </c>
      <c r="E298" s="92">
        <f t="shared" si="301"/>
        <v>0</v>
      </c>
      <c r="F298" s="17">
        <f>Q298*(100-$F$6)/100</f>
        <v>107.28</v>
      </c>
      <c r="G298" s="65"/>
      <c r="H298" s="65"/>
      <c r="I298" s="169">
        <f>T298</f>
        <v>5075934</v>
      </c>
      <c r="J298" s="169">
        <f>U298</f>
        <v>227607</v>
      </c>
      <c r="K298" s="63"/>
      <c r="L298" s="61" t="str">
        <f>Price!A298</f>
        <v>TIP-ON synchronizace, tyč ke zkrácení</v>
      </c>
      <c r="M298" s="15" t="str">
        <f>Price!B298</f>
        <v>ZST.1160W</v>
      </c>
      <c r="N298" s="15" t="str">
        <f>Price!C298</f>
        <v>ROH</v>
      </c>
      <c r="O298" s="525">
        <f>Price!D298</f>
        <v>0</v>
      </c>
      <c r="P298" s="16"/>
      <c r="Q298" s="17">
        <f>Price!F298</f>
        <v>107.28</v>
      </c>
      <c r="R298" s="318"/>
      <c r="S298" s="318"/>
      <c r="T298" s="12">
        <f>Price!G298</f>
        <v>5075934</v>
      </c>
      <c r="U298" s="252">
        <f>Price!H298</f>
        <v>227607</v>
      </c>
      <c r="V298" s="13"/>
      <c r="W298" s="13"/>
      <c r="X298" s="19"/>
      <c r="Y298" s="19"/>
    </row>
    <row r="299" spans="1:25" x14ac:dyDescent="0.35">
      <c r="A299" s="90"/>
      <c r="B299" s="91"/>
      <c r="C299" s="91"/>
      <c r="D299" s="531"/>
      <c r="E299" s="92"/>
      <c r="F299" s="17"/>
      <c r="G299" s="65"/>
      <c r="H299" s="65"/>
      <c r="I299" s="169"/>
      <c r="J299" s="169"/>
      <c r="K299" s="63"/>
      <c r="L299" s="61">
        <f>Price!A299</f>
        <v>0</v>
      </c>
      <c r="M299" s="15">
        <f>Price!B299</f>
        <v>0</v>
      </c>
      <c r="N299" s="15">
        <f>Price!C299</f>
        <v>0</v>
      </c>
      <c r="O299" s="525">
        <f>Price!D299</f>
        <v>0</v>
      </c>
      <c r="P299" s="16"/>
      <c r="Q299" s="17">
        <f>Price!F299</f>
        <v>0</v>
      </c>
      <c r="R299" s="318"/>
      <c r="S299" s="318"/>
      <c r="T299" s="12">
        <f>Price!G299</f>
        <v>0</v>
      </c>
      <c r="U299" s="252">
        <f>Price!H299</f>
        <v>0</v>
      </c>
      <c r="V299" s="13"/>
      <c r="W299" s="13"/>
      <c r="X299" s="19"/>
      <c r="Y299" s="19"/>
    </row>
    <row r="300" spans="1:25" x14ac:dyDescent="0.35">
      <c r="A300" s="90"/>
      <c r="B300" s="91"/>
      <c r="C300" s="91"/>
      <c r="D300" s="531"/>
      <c r="E300" s="92"/>
      <c r="F300" s="17"/>
      <c r="G300" s="65"/>
      <c r="H300" s="65"/>
      <c r="I300" s="169"/>
      <c r="J300" s="169"/>
      <c r="K300" s="63"/>
      <c r="L300" s="61" t="str">
        <f>Price!A300</f>
        <v xml:space="preserve">   Boční stabilizace</v>
      </c>
      <c r="M300" s="15">
        <f>Price!B300</f>
        <v>0</v>
      </c>
      <c r="N300" s="15">
        <f>Price!C300</f>
        <v>0</v>
      </c>
      <c r="O300" s="525">
        <f>Price!D300</f>
        <v>0</v>
      </c>
      <c r="P300" s="16"/>
      <c r="Q300" s="17">
        <f>Price!F300</f>
        <v>0</v>
      </c>
      <c r="R300" s="318"/>
      <c r="S300" s="318"/>
      <c r="T300" s="12">
        <f>Price!G300</f>
        <v>0</v>
      </c>
      <c r="U300" s="252">
        <f>Price!H300</f>
        <v>0</v>
      </c>
      <c r="V300" s="13"/>
      <c r="W300" s="13"/>
      <c r="X300" s="19"/>
      <c r="Y300" s="19"/>
    </row>
    <row r="301" spans="1:25" x14ac:dyDescent="0.35">
      <c r="A301" s="90" t="str">
        <f t="shared" ref="A301:D302" si="302">L301</f>
        <v>Boční stabilizace, sada NL 250-400mm</v>
      </c>
      <c r="B301" s="91" t="str">
        <f t="shared" si="302"/>
        <v>ZS7M400LU</v>
      </c>
      <c r="C301" s="91" t="str">
        <f t="shared" si="302"/>
        <v>R737</v>
      </c>
      <c r="D301" s="91">
        <f t="shared" si="302"/>
        <v>0</v>
      </c>
      <c r="E301" s="92">
        <f>P301</f>
        <v>0</v>
      </c>
      <c r="F301" s="17">
        <f>Q301*(100-$F$6)/100</f>
        <v>620.08266000000003</v>
      </c>
      <c r="G301" s="65"/>
      <c r="H301" s="65"/>
      <c r="I301" s="169">
        <f>T301</f>
        <v>7487083</v>
      </c>
      <c r="J301" s="169">
        <f>U301</f>
        <v>227609</v>
      </c>
      <c r="K301" s="20"/>
      <c r="L301" s="61" t="str">
        <f>Price!A301</f>
        <v>Boční stabilizace, sada NL 250-400mm</v>
      </c>
      <c r="M301" s="15" t="str">
        <f>Price!B301</f>
        <v>ZS7M400LU</v>
      </c>
      <c r="N301" s="15" t="str">
        <f>Price!C301</f>
        <v>R737</v>
      </c>
      <c r="O301" s="525">
        <f>Price!D301</f>
        <v>0</v>
      </c>
      <c r="P301" s="16"/>
      <c r="Q301" s="17">
        <f>Price!F301</f>
        <v>620.08266000000003</v>
      </c>
      <c r="R301" s="318"/>
      <c r="S301" s="318"/>
      <c r="T301" s="12">
        <f>Price!G301</f>
        <v>7487083</v>
      </c>
      <c r="U301" s="252">
        <f>Price!H301</f>
        <v>227609</v>
      </c>
      <c r="V301" s="13"/>
      <c r="W301" s="13"/>
      <c r="X301" s="19"/>
      <c r="Y301" s="19"/>
    </row>
    <row r="302" spans="1:25" x14ac:dyDescent="0.35">
      <c r="A302" s="90" t="str">
        <f t="shared" si="302"/>
        <v>Boční stabilizace, sada NL 450-600mm</v>
      </c>
      <c r="B302" s="91" t="str">
        <f t="shared" si="302"/>
        <v>ZS7M650LU</v>
      </c>
      <c r="C302" s="91" t="str">
        <f t="shared" si="302"/>
        <v>R737</v>
      </c>
      <c r="D302" s="91">
        <f t="shared" si="302"/>
        <v>0</v>
      </c>
      <c r="E302" s="92">
        <f>P302</f>
        <v>0</v>
      </c>
      <c r="F302" s="17">
        <f>Q302*(100-$F$6)/100</f>
        <v>620.08266000000003</v>
      </c>
      <c r="G302" s="65"/>
      <c r="H302" s="65"/>
      <c r="I302" s="169">
        <f>T302</f>
        <v>8142713</v>
      </c>
      <c r="J302" s="169">
        <f>U302</f>
        <v>227611</v>
      </c>
      <c r="K302" s="20"/>
      <c r="L302" s="61" t="str">
        <f>Price!A302</f>
        <v>Boční stabilizace, sada NL 450-600mm</v>
      </c>
      <c r="M302" s="15" t="str">
        <f>Price!B302</f>
        <v>ZS7M650LU</v>
      </c>
      <c r="N302" s="15" t="str">
        <f>Price!C302</f>
        <v>R737</v>
      </c>
      <c r="O302" s="525">
        <f>Price!D302</f>
        <v>0</v>
      </c>
      <c r="P302" s="16"/>
      <c r="Q302" s="17">
        <f>Price!F302</f>
        <v>620.08266000000003</v>
      </c>
      <c r="R302" s="318"/>
      <c r="S302" s="318"/>
      <c r="T302" s="12">
        <f>Price!G302</f>
        <v>8142713</v>
      </c>
      <c r="U302" s="252">
        <f>Price!H302</f>
        <v>227611</v>
      </c>
      <c r="V302" s="13"/>
      <c r="W302" s="13"/>
      <c r="X302" s="19"/>
      <c r="Y302" s="19"/>
    </row>
    <row r="303" spans="1:25" x14ac:dyDescent="0.35">
      <c r="A303" s="58"/>
      <c r="B303" s="160"/>
      <c r="C303" s="160"/>
      <c r="D303" s="528"/>
      <c r="E303" s="78"/>
      <c r="F303" s="65"/>
      <c r="G303" s="65"/>
      <c r="H303" s="65"/>
      <c r="I303" s="65"/>
      <c r="J303" s="65"/>
      <c r="K303" s="62"/>
      <c r="L303" s="61">
        <f>Price!A303</f>
        <v>0</v>
      </c>
      <c r="M303" s="15">
        <f>Price!B303</f>
        <v>0</v>
      </c>
      <c r="N303" s="15">
        <f>Price!C303</f>
        <v>0</v>
      </c>
      <c r="O303" s="525">
        <f>Price!D303</f>
        <v>0</v>
      </c>
      <c r="P303" s="16"/>
      <c r="Q303" s="17">
        <f>Price!F303</f>
        <v>0</v>
      </c>
      <c r="R303" s="318"/>
      <c r="S303" s="318"/>
      <c r="T303" s="12">
        <f>Price!G303</f>
        <v>0</v>
      </c>
      <c r="U303" s="252">
        <f>Price!H303</f>
        <v>0</v>
      </c>
      <c r="V303" s="13"/>
      <c r="W303" s="13"/>
      <c r="X303" s="19"/>
      <c r="Y303" s="19"/>
    </row>
    <row r="304" spans="1:25" x14ac:dyDescent="0.35">
      <c r="A304" s="58"/>
      <c r="B304" s="160"/>
      <c r="C304" s="160"/>
      <c r="D304" s="528"/>
      <c r="E304" s="78"/>
      <c r="F304" s="65"/>
      <c r="G304" s="65"/>
      <c r="H304" s="65"/>
      <c r="I304" s="65"/>
      <c r="J304" s="65"/>
      <c r="K304" s="20"/>
      <c r="L304" s="61">
        <f>Price!A304</f>
        <v>0</v>
      </c>
      <c r="M304" s="15">
        <f>Price!B304</f>
        <v>0</v>
      </c>
      <c r="N304" s="15">
        <f>Price!C304</f>
        <v>0</v>
      </c>
      <c r="O304" s="525">
        <f>Price!D304</f>
        <v>0</v>
      </c>
      <c r="P304" s="16"/>
      <c r="Q304" s="17">
        <f>Price!F304</f>
        <v>0</v>
      </c>
      <c r="R304" s="318"/>
      <c r="S304" s="318"/>
      <c r="T304" s="12">
        <f>Price!G304</f>
        <v>0</v>
      </c>
      <c r="U304" s="252">
        <f>Price!H304</f>
        <v>0</v>
      </c>
      <c r="V304" s="13"/>
      <c r="W304" s="13"/>
      <c r="X304" s="19"/>
      <c r="Y304" s="19"/>
    </row>
    <row r="305" spans="1:25" x14ac:dyDescent="0.35">
      <c r="A305" s="58"/>
      <c r="B305" s="160"/>
      <c r="C305" s="160"/>
      <c r="D305" s="528"/>
      <c r="E305" s="78"/>
      <c r="F305" s="65"/>
      <c r="G305" s="65"/>
      <c r="H305" s="65"/>
      <c r="I305" s="65"/>
      <c r="J305" s="65"/>
      <c r="K305" s="20"/>
      <c r="L305" s="61" t="str">
        <f>Price!A305</f>
        <v xml:space="preserve">   Synchronizace TIP-ON BLUMOTION</v>
      </c>
      <c r="M305" s="15">
        <f>Price!B305</f>
        <v>0</v>
      </c>
      <c r="N305" s="15">
        <f>Price!C305</f>
        <v>0</v>
      </c>
      <c r="O305" s="525">
        <f>Price!D305</f>
        <v>0</v>
      </c>
      <c r="P305" s="16"/>
      <c r="Q305" s="17">
        <f>Price!F305</f>
        <v>0</v>
      </c>
      <c r="R305" s="318"/>
      <c r="S305" s="318"/>
      <c r="T305" s="12">
        <f>Price!G305</f>
        <v>0</v>
      </c>
      <c r="U305" s="252">
        <f>Price!H305</f>
        <v>0</v>
      </c>
      <c r="V305" s="13"/>
      <c r="W305" s="13"/>
      <c r="X305" s="19"/>
      <c r="Y305" s="19"/>
    </row>
    <row r="306" spans="1:25" x14ac:dyDescent="0.35">
      <c r="A306" s="90" t="str">
        <f t="shared" ref="A306:E307" si="303">L306</f>
        <v>TIP-ON BLM synchronizační adaptér</v>
      </c>
      <c r="B306" s="91" t="str">
        <f t="shared" si="303"/>
        <v>T60.000D</v>
      </c>
      <c r="C306" s="91" t="str">
        <f t="shared" si="303"/>
        <v>R736</v>
      </c>
      <c r="D306" s="91">
        <f t="shared" si="303"/>
        <v>0</v>
      </c>
      <c r="E306" s="92">
        <f t="shared" si="303"/>
        <v>0</v>
      </c>
      <c r="F306" s="17">
        <f>Q306*(100-$F$6)/100</f>
        <v>6.7107799999999997</v>
      </c>
      <c r="G306" s="65"/>
      <c r="H306" s="65"/>
      <c r="I306" s="169">
        <f t="shared" ref="I306:J308" si="304">T306</f>
        <v>1512005</v>
      </c>
      <c r="J306" s="169">
        <f t="shared" si="304"/>
        <v>275348</v>
      </c>
      <c r="K306" s="62"/>
      <c r="L306" s="61" t="str">
        <f>Price!A306</f>
        <v>TIP-ON BLM synchronizační adaptér</v>
      </c>
      <c r="M306" s="15" t="str">
        <f>Price!B306</f>
        <v>T60.000D</v>
      </c>
      <c r="N306" s="15" t="str">
        <f>Price!C306</f>
        <v>R736</v>
      </c>
      <c r="O306" s="525">
        <f>Price!D306</f>
        <v>0</v>
      </c>
      <c r="P306" s="16"/>
      <c r="Q306" s="17">
        <f>Price!F306</f>
        <v>6.7107799999999997</v>
      </c>
      <c r="R306" s="318"/>
      <c r="S306" s="318"/>
      <c r="T306" s="12">
        <f>Price!G306</f>
        <v>1512005</v>
      </c>
      <c r="U306" s="252">
        <f>Price!H306</f>
        <v>275348</v>
      </c>
      <c r="V306" s="13"/>
      <c r="W306" s="13"/>
      <c r="X306" s="19"/>
      <c r="Y306" s="19"/>
    </row>
    <row r="307" spans="1:25" x14ac:dyDescent="0.35">
      <c r="A307" s="90" t="str">
        <f t="shared" si="303"/>
        <v>TIP-ON BLM hřídel synchronizace, ke zkrácení</v>
      </c>
      <c r="B307" s="91" t="str">
        <f t="shared" si="303"/>
        <v>T60L1125W</v>
      </c>
      <c r="C307" s="91" t="str">
        <f t="shared" si="303"/>
        <v>S</v>
      </c>
      <c r="D307" s="91">
        <f t="shared" si="303"/>
        <v>0</v>
      </c>
      <c r="E307" s="92">
        <f t="shared" si="303"/>
        <v>0</v>
      </c>
      <c r="F307" s="17">
        <f>Q307*(100-$F$6)/100</f>
        <v>110.51743999999999</v>
      </c>
      <c r="G307" s="65"/>
      <c r="H307" s="65"/>
      <c r="I307" s="169">
        <f t="shared" si="304"/>
        <v>2101757</v>
      </c>
      <c r="J307" s="169">
        <f t="shared" si="304"/>
        <v>282277</v>
      </c>
      <c r="K307" s="20"/>
      <c r="L307" s="61" t="str">
        <f>Price!A307</f>
        <v>TIP-ON BLM hřídel synchronizace, ke zkrácení</v>
      </c>
      <c r="M307" s="15" t="str">
        <f>Price!B307</f>
        <v>T60L1125W</v>
      </c>
      <c r="N307" s="15" t="str">
        <f>Price!C307</f>
        <v>S</v>
      </c>
      <c r="O307" s="525">
        <f>Price!D307</f>
        <v>0</v>
      </c>
      <c r="P307" s="16"/>
      <c r="Q307" s="17">
        <f>Price!F307</f>
        <v>110.51743999999999</v>
      </c>
      <c r="R307" s="318"/>
      <c r="S307" s="318"/>
      <c r="T307" s="12">
        <f>Price!G307</f>
        <v>2101757</v>
      </c>
      <c r="U307" s="252">
        <f>Price!H307</f>
        <v>282277</v>
      </c>
      <c r="V307" s="13"/>
      <c r="W307" s="13"/>
      <c r="X307" s="19"/>
      <c r="Y307" s="19"/>
    </row>
    <row r="308" spans="1:25" x14ac:dyDescent="0.35">
      <c r="A308" s="90" t="str">
        <f t="shared" ref="A308" si="305">L308</f>
        <v>TIP-ON BLM jednodílná synchronizace, ke zkrácení</v>
      </c>
      <c r="B308" s="91" t="str">
        <f t="shared" ref="B308" si="306">M308</f>
        <v>T60.300D</v>
      </c>
      <c r="C308" s="91" t="str">
        <f t="shared" ref="C308" si="307">N308</f>
        <v>R735</v>
      </c>
      <c r="D308" s="91">
        <f t="shared" ref="D308" si="308">O308</f>
        <v>0</v>
      </c>
      <c r="E308" s="92">
        <f t="shared" ref="E308" si="309">P308</f>
        <v>0</v>
      </c>
      <c r="F308" s="17">
        <f>Q308*(100-$F$6)/100</f>
        <v>27.348769999999998</v>
      </c>
      <c r="G308" s="65"/>
      <c r="H308" s="65"/>
      <c r="I308" s="169">
        <f t="shared" si="304"/>
        <v>8133273</v>
      </c>
      <c r="J308" s="169">
        <f t="shared" si="304"/>
        <v>293824</v>
      </c>
      <c r="K308" s="20"/>
      <c r="L308" s="61" t="str">
        <f>Price!A308</f>
        <v>TIP-ON BLM jednodílná synchronizace, ke zkrácení</v>
      </c>
      <c r="M308" s="15" t="str">
        <f>Price!B308</f>
        <v>T60.300D</v>
      </c>
      <c r="N308" s="15" t="str">
        <f>Price!C308</f>
        <v>R735</v>
      </c>
      <c r="O308" s="525">
        <f>Price!D308</f>
        <v>0</v>
      </c>
      <c r="P308" s="16"/>
      <c r="Q308" s="17">
        <f>Price!F308</f>
        <v>27.348769999999998</v>
      </c>
      <c r="R308" s="318"/>
      <c r="S308" s="318"/>
      <c r="T308" s="12">
        <f>Price!G308</f>
        <v>8133273</v>
      </c>
      <c r="U308" s="252">
        <f>Price!H308</f>
        <v>293824</v>
      </c>
      <c r="V308" s="13"/>
      <c r="W308" s="13"/>
      <c r="X308" s="19"/>
      <c r="Y308" s="19"/>
    </row>
    <row r="309" spans="1:25" x14ac:dyDescent="0.35">
      <c r="A309" s="58"/>
      <c r="B309" s="160"/>
      <c r="C309" s="160"/>
      <c r="D309" s="528"/>
      <c r="E309" s="78"/>
      <c r="F309" s="65"/>
      <c r="G309" s="65"/>
      <c r="H309" s="65"/>
      <c r="I309" s="65"/>
      <c r="J309" s="65"/>
      <c r="K309" s="62"/>
      <c r="L309" s="61">
        <f>Price!A309</f>
        <v>0</v>
      </c>
      <c r="M309" s="15">
        <f>Price!B309</f>
        <v>0</v>
      </c>
      <c r="N309" s="15">
        <f>Price!C309</f>
        <v>0</v>
      </c>
      <c r="O309" s="525">
        <f>Price!D309</f>
        <v>0</v>
      </c>
      <c r="P309" s="16"/>
      <c r="Q309" s="17">
        <f>Price!F309</f>
        <v>0</v>
      </c>
      <c r="R309" s="318"/>
      <c r="S309" s="318"/>
      <c r="T309" s="12">
        <f>Price!G309</f>
        <v>0</v>
      </c>
      <c r="U309" s="252">
        <f>Price!H309</f>
        <v>0</v>
      </c>
      <c r="V309" s="13"/>
      <c r="W309" s="13"/>
      <c r="X309" s="19"/>
      <c r="Y309" s="19"/>
    </row>
    <row r="310" spans="1:25" x14ac:dyDescent="0.35">
      <c r="A310" s="58"/>
      <c r="B310" s="160"/>
      <c r="C310" s="160"/>
      <c r="D310" s="528"/>
      <c r="E310" s="78"/>
      <c r="F310" s="65"/>
      <c r="G310" s="65"/>
      <c r="H310" s="65"/>
      <c r="I310" s="65"/>
      <c r="J310" s="65"/>
      <c r="K310" s="20"/>
      <c r="L310" s="61">
        <f>Price!A310</f>
        <v>0</v>
      </c>
      <c r="M310" s="15">
        <f>Price!B310</f>
        <v>0</v>
      </c>
      <c r="N310" s="15">
        <f>Price!C310</f>
        <v>0</v>
      </c>
      <c r="O310" s="525">
        <f>Price!D310</f>
        <v>0</v>
      </c>
      <c r="P310" s="16"/>
      <c r="Q310" s="17">
        <f>Price!F310</f>
        <v>0</v>
      </c>
      <c r="R310" s="318"/>
      <c r="S310" s="318"/>
      <c r="T310" s="12">
        <f>Price!G310</f>
        <v>0</v>
      </c>
      <c r="U310" s="252">
        <f>Price!H310</f>
        <v>0</v>
      </c>
      <c r="V310" s="13"/>
      <c r="W310" s="13"/>
      <c r="X310" s="19"/>
      <c r="Y310" s="19"/>
    </row>
    <row r="311" spans="1:25" x14ac:dyDescent="0.35">
      <c r="A311" s="58"/>
      <c r="B311" s="160"/>
      <c r="C311" s="160"/>
      <c r="D311" s="528"/>
      <c r="E311" s="78"/>
      <c r="F311" s="65"/>
      <c r="G311" s="65"/>
      <c r="H311" s="65"/>
      <c r="I311" s="65"/>
      <c r="J311" s="65"/>
      <c r="K311" s="20"/>
      <c r="L311" s="61">
        <f>Price!A311</f>
        <v>0</v>
      </c>
      <c r="M311" s="15">
        <f>Price!B311</f>
        <v>0</v>
      </c>
      <c r="N311" s="15">
        <f>Price!C311</f>
        <v>0</v>
      </c>
      <c r="O311" s="525">
        <f>Price!D311</f>
        <v>0</v>
      </c>
      <c r="P311" s="16"/>
      <c r="Q311" s="17">
        <f>Price!F311</f>
        <v>0</v>
      </c>
      <c r="R311" s="318"/>
      <c r="S311" s="318"/>
      <c r="T311" s="12">
        <f>Price!G311</f>
        <v>0</v>
      </c>
      <c r="U311" s="252">
        <f>Price!H311</f>
        <v>0</v>
      </c>
      <c r="V311" s="13"/>
      <c r="W311" s="13"/>
      <c r="X311" s="19"/>
      <c r="Y311" s="19"/>
    </row>
    <row r="312" spans="1:25" x14ac:dyDescent="0.35">
      <c r="A312" s="58"/>
      <c r="B312" s="160"/>
      <c r="C312" s="160"/>
      <c r="D312" s="528"/>
      <c r="E312" s="78"/>
      <c r="F312" s="65"/>
      <c r="G312" s="65"/>
      <c r="H312" s="65"/>
      <c r="I312" s="65"/>
      <c r="J312" s="65"/>
      <c r="K312" s="20"/>
      <c r="L312" s="61">
        <f>Price!A312</f>
        <v>0</v>
      </c>
      <c r="M312" s="15">
        <f>Price!B312</f>
        <v>0</v>
      </c>
      <c r="N312" s="15">
        <f>Price!C312</f>
        <v>0</v>
      </c>
      <c r="O312" s="525">
        <f>Price!D312</f>
        <v>0</v>
      </c>
      <c r="P312" s="16"/>
      <c r="Q312" s="17">
        <f>Price!F312</f>
        <v>0</v>
      </c>
      <c r="R312" s="318"/>
      <c r="S312" s="318"/>
      <c r="T312" s="12">
        <f>Price!G312</f>
        <v>0</v>
      </c>
      <c r="U312" s="252">
        <f>Price!H312</f>
        <v>0</v>
      </c>
      <c r="V312" s="13"/>
      <c r="W312" s="13"/>
      <c r="X312" s="19"/>
      <c r="Y312" s="19"/>
    </row>
    <row r="313" spans="1:25" x14ac:dyDescent="0.35">
      <c r="A313" s="58"/>
      <c r="B313" s="160"/>
      <c r="C313" s="160"/>
      <c r="D313" s="528"/>
      <c r="E313" s="78"/>
      <c r="F313" s="65"/>
      <c r="G313" s="65"/>
      <c r="H313" s="65"/>
      <c r="I313" s="65"/>
      <c r="J313" s="65"/>
      <c r="K313" s="20"/>
      <c r="L313" s="61" t="str">
        <f>Price!A313</f>
        <v xml:space="preserve">   Držáky zadní stěny</v>
      </c>
      <c r="M313" s="15">
        <f>Price!B313</f>
        <v>0</v>
      </c>
      <c r="N313" s="15">
        <f>Price!C313</f>
        <v>0</v>
      </c>
      <c r="O313" s="525">
        <f>Price!D313</f>
        <v>0</v>
      </c>
      <c r="P313" s="16"/>
      <c r="Q313" s="17">
        <f>Price!F313</f>
        <v>0</v>
      </c>
      <c r="R313" s="318"/>
      <c r="S313" s="318"/>
      <c r="T313" s="12">
        <f>Price!G313</f>
        <v>0</v>
      </c>
      <c r="U313" s="252">
        <f>Price!H313</f>
        <v>0</v>
      </c>
      <c r="V313" s="13"/>
      <c r="W313" s="13"/>
      <c r="X313" s="19"/>
      <c r="Y313" s="19"/>
    </row>
    <row r="314" spans="1:25" ht="15" thickBot="1" x14ac:dyDescent="0.4">
      <c r="A314" s="86" t="str">
        <f>IF($C$2=1,L314,IF($C$2=2,L315,IF($C$2=3,L316,IF($C$2=4,L317, IF($C$2=5, L318, "  chyba")))))</f>
        <v>Držáky zadní stěny N, Orion šedá</v>
      </c>
      <c r="B314" s="87" t="str">
        <f>IF($C$2=1,M314,IF($C$2=2,M315,IF($C$2=3,M316,IF($C$2=4,M317, IF($C$2=5, M318, "  chyba")))))</f>
        <v>ZB7N000S</v>
      </c>
      <c r="C314" s="87" t="str">
        <f>IF($C$2=1,N314,IF($C$2=2,N315,IF($C$2=3,N316,IF($C$2=4,N317, IF($C$2=5, N318, "  chyba")))))</f>
        <v>OG-M</v>
      </c>
      <c r="D314" s="527">
        <f>IF($C$2=1,O314,IF($C$2=2,O315,IF($C$2=3,O316,IF($C$2=4,O317, IF($C$2=5, O318, "  chyba")))))</f>
        <v>0</v>
      </c>
      <c r="E314" s="88"/>
      <c r="F314" s="89">
        <f>IF($C$2=1,Q314,IF($C$2=2,Q315,IF($C$2=3,Q316,IF($C$2=4,Q317, IF($C$2=5, Q318, "  chyba")))))</f>
        <v>36.187139999999999</v>
      </c>
      <c r="G314" s="65"/>
      <c r="H314" s="65"/>
      <c r="I314" s="168">
        <f>IF($C$2=1,T314,IF($C$2=2,T315,IF($C$2=3,T316,IF($C$2=4,T317, IF($C$2=5, T318, "  chyba")))))</f>
        <v>2948763</v>
      </c>
      <c r="J314" s="168">
        <f>IF($C$2=1,U314,IF($C$2=2,U315,IF($C$2=3,U316,IF($C$2=4,U317, IF($C$2=5, U318, "  chyba")))))</f>
        <v>227550</v>
      </c>
      <c r="K314" s="62"/>
      <c r="L314" s="61" t="str">
        <f>Price!A314</f>
        <v>Držáky zadní stěny N, Orion šedá</v>
      </c>
      <c r="M314" s="15" t="str">
        <f>Price!B314</f>
        <v>ZB7N000S</v>
      </c>
      <c r="N314" s="15" t="str">
        <f>Price!C314</f>
        <v>OG-M</v>
      </c>
      <c r="O314" s="525">
        <f>Price!D314</f>
        <v>0</v>
      </c>
      <c r="P314" s="16"/>
      <c r="Q314" s="17">
        <f>Price!F314</f>
        <v>36.187139999999999</v>
      </c>
      <c r="R314" s="318"/>
      <c r="S314" s="318"/>
      <c r="T314" s="12">
        <f>Price!G314</f>
        <v>2948763</v>
      </c>
      <c r="U314" s="252">
        <f>Price!H314</f>
        <v>227550</v>
      </c>
      <c r="V314" s="13"/>
      <c r="W314" s="13"/>
      <c r="X314" s="19"/>
      <c r="Y314" s="19"/>
    </row>
    <row r="315" spans="1:25" x14ac:dyDescent="0.35">
      <c r="A315" s="81"/>
      <c r="B315" s="160"/>
      <c r="C315" s="160"/>
      <c r="D315" s="528"/>
      <c r="E315" s="83"/>
      <c r="F315" s="65"/>
      <c r="G315" s="65"/>
      <c r="H315" s="65"/>
      <c r="I315" s="160"/>
      <c r="J315" s="160"/>
      <c r="K315" s="63"/>
      <c r="L315" s="61" t="str">
        <f>Price!A315</f>
        <v>Držáky zadní stěny N, hedvábně bílá</v>
      </c>
      <c r="M315" s="15" t="str">
        <f>Price!B315</f>
        <v>ZB7N000S</v>
      </c>
      <c r="N315" s="15" t="str">
        <f>Price!C315</f>
        <v>SW-M</v>
      </c>
      <c r="O315" s="525">
        <f>Price!D315</f>
        <v>0</v>
      </c>
      <c r="P315" s="16"/>
      <c r="Q315" s="17">
        <f>Price!F315</f>
        <v>36.187139999999999</v>
      </c>
      <c r="R315" s="318"/>
      <c r="S315" s="318"/>
      <c r="T315" s="12">
        <f>Price!G315</f>
        <v>2454505</v>
      </c>
      <c r="U315" s="252">
        <f>Price!H315</f>
        <v>227549</v>
      </c>
      <c r="V315" s="13"/>
      <c r="W315" s="13"/>
      <c r="X315" s="19"/>
      <c r="Y315" s="19"/>
    </row>
    <row r="316" spans="1:25" x14ac:dyDescent="0.35">
      <c r="A316" s="58"/>
      <c r="B316" s="160"/>
      <c r="C316" s="160"/>
      <c r="D316" s="528"/>
      <c r="E316" s="83"/>
      <c r="F316" s="65"/>
      <c r="G316" s="65"/>
      <c r="H316" s="65"/>
      <c r="I316" s="160"/>
      <c r="J316" s="160"/>
      <c r="K316" s="63"/>
      <c r="L316" s="61" t="str">
        <f>Price!A316</f>
        <v>Držáky zadní stěny N, Terra černá</v>
      </c>
      <c r="M316" s="15" t="str">
        <f>Price!B316</f>
        <v>ZB7N000S</v>
      </c>
      <c r="N316" s="15" t="str">
        <f>Price!C316</f>
        <v>TS-M</v>
      </c>
      <c r="O316" s="525">
        <f>Price!D316</f>
        <v>0</v>
      </c>
      <c r="P316" s="16"/>
      <c r="Q316" s="17">
        <f>Price!F316</f>
        <v>36.187139999999999</v>
      </c>
      <c r="R316" s="318"/>
      <c r="S316" s="318"/>
      <c r="T316" s="12">
        <f>Price!G316</f>
        <v>1308438</v>
      </c>
      <c r="U316" s="252">
        <f>Price!H316</f>
        <v>227551</v>
      </c>
      <c r="V316" s="13"/>
      <c r="W316" s="13"/>
      <c r="X316" s="19"/>
      <c r="Y316" s="19"/>
    </row>
    <row r="317" spans="1:25" x14ac:dyDescent="0.35">
      <c r="A317" s="58"/>
      <c r="B317" s="160"/>
      <c r="C317" s="160"/>
      <c r="D317" s="528"/>
      <c r="E317" s="83"/>
      <c r="F317" s="65"/>
      <c r="G317" s="65"/>
      <c r="H317" s="65"/>
      <c r="I317" s="160"/>
      <c r="J317" s="160"/>
      <c r="K317" s="63"/>
      <c r="L317" s="61" t="str">
        <f>Price!A317</f>
        <v>Držáky zadní stěny N, Polar stříbrná</v>
      </c>
      <c r="M317" s="15" t="str">
        <f>Price!B317</f>
        <v>ZB7N000S</v>
      </c>
      <c r="N317" s="15" t="str">
        <f>Price!C317</f>
        <v>PS-M</v>
      </c>
      <c r="O317" s="525">
        <f>Price!D317</f>
        <v>0</v>
      </c>
      <c r="P317" s="16"/>
      <c r="Q317" s="17">
        <f>Price!F317</f>
        <v>36.187139999999999</v>
      </c>
      <c r="R317" s="318"/>
      <c r="S317" s="318"/>
      <c r="T317" s="12">
        <f>Price!G317</f>
        <v>3411219</v>
      </c>
      <c r="U317" s="252">
        <f>Price!H317</f>
        <v>348964</v>
      </c>
      <c r="V317" s="13"/>
      <c r="W317" s="13"/>
      <c r="X317" s="19"/>
      <c r="Y317" s="19"/>
    </row>
    <row r="318" spans="1:25" x14ac:dyDescent="0.35">
      <c r="A318" s="58"/>
      <c r="B318" s="160"/>
      <c r="C318" s="160"/>
      <c r="D318" s="528"/>
      <c r="E318" s="83"/>
      <c r="F318" s="65"/>
      <c r="G318" s="65"/>
      <c r="H318" s="65"/>
      <c r="I318" s="160"/>
      <c r="J318" s="160"/>
      <c r="K318" s="63"/>
      <c r="L318" s="61" t="str">
        <f>Price!A318</f>
        <v>Držáky zadní stěny N, niklované</v>
      </c>
      <c r="M318" s="15" t="str">
        <f>Price!B318</f>
        <v>ZB7N000S</v>
      </c>
      <c r="N318" s="15" t="str">
        <f>Price!C318</f>
        <v>NI</v>
      </c>
      <c r="O318" s="525" t="str">
        <f>Price!D318</f>
        <v>!</v>
      </c>
      <c r="P318" s="16"/>
      <c r="Q318" s="17">
        <f>Price!F318</f>
        <v>69.438400000000001</v>
      </c>
      <c r="R318" s="318"/>
      <c r="S318" s="318"/>
      <c r="T318" s="12">
        <f>Price!G318</f>
        <v>3134862</v>
      </c>
      <c r="U318" s="252">
        <f>Price!H318</f>
        <v>227552</v>
      </c>
      <c r="V318" s="13"/>
      <c r="W318" s="13"/>
      <c r="X318" s="19"/>
      <c r="Y318" s="19"/>
    </row>
    <row r="319" spans="1:25" ht="15" thickBot="1" x14ac:dyDescent="0.4">
      <c r="A319" s="86" t="str">
        <f>IF($C$2=1,L319,IF($C$2=2,L320,IF($C$2=3,L321,IF($C$2=4,L322, IF($C$2=5, L323, "  chyba")))))</f>
        <v>Držáky zadní stěny M, Orion šedá</v>
      </c>
      <c r="B319" s="87" t="str">
        <f>IF($C$2=1,M319,IF($C$2=2,M320,IF($C$2=3,M321,IF($C$2=4,M322, IF($C$2=5, M323, "  chyba")))))</f>
        <v>ZB7M000S</v>
      </c>
      <c r="C319" s="87" t="str">
        <f>IF($C$2=1,N319,IF($C$2=2,N320,IF($C$2=3,N321,IF($C$2=4,N322, IF($C$2=5, N323, "  chyba")))))</f>
        <v>OG-M</v>
      </c>
      <c r="D319" s="527">
        <f>IF($C$2=1,O319,IF($C$2=2,O320,IF($C$2=3,O321,IF($C$2=4,O322, IF($C$2=5, O323, "  chyba")))))</f>
        <v>0</v>
      </c>
      <c r="E319" s="88"/>
      <c r="F319" s="89">
        <f>IF($C$2=1,Q319,IF($C$2=2,Q320,IF($C$2=3,Q321,IF($C$2=4,Q322, IF($C$2=5, Q323, "  chyba")))))</f>
        <v>35.345579999999998</v>
      </c>
      <c r="G319" s="65"/>
      <c r="H319" s="65"/>
      <c r="I319" s="168">
        <f>IF($C$2=1,T319,IF($C$2=2,T320,IF($C$2=3,T321,IF($C$2=4,T322, IF($C$2=5, T323, "  chyba")))))</f>
        <v>6440820</v>
      </c>
      <c r="J319" s="168">
        <f>IF($C$2=1,U319,IF($C$2=2,U320,IF($C$2=3,U321,IF($C$2=4,U322, IF($C$2=5, U323, "  chyba")))))</f>
        <v>227554</v>
      </c>
      <c r="K319" s="63"/>
      <c r="L319" s="61" t="str">
        <f>Price!A319</f>
        <v>Držáky zadní stěny M, Orion šedá</v>
      </c>
      <c r="M319" s="15" t="str">
        <f>Price!B319</f>
        <v>ZB7M000S</v>
      </c>
      <c r="N319" s="15" t="str">
        <f>Price!C319</f>
        <v>OG-M</v>
      </c>
      <c r="O319" s="525">
        <f>Price!D319</f>
        <v>0</v>
      </c>
      <c r="P319" s="16"/>
      <c r="Q319" s="17">
        <f>Price!F319</f>
        <v>35.345579999999998</v>
      </c>
      <c r="R319" s="318"/>
      <c r="S319" s="318"/>
      <c r="T319" s="12">
        <f>Price!G319</f>
        <v>6440820</v>
      </c>
      <c r="U319" s="252">
        <f>Price!H319</f>
        <v>227554</v>
      </c>
      <c r="V319" s="13"/>
      <c r="W319" s="13"/>
      <c r="X319" s="19"/>
      <c r="Y319" s="19"/>
    </row>
    <row r="320" spans="1:25" x14ac:dyDescent="0.35">
      <c r="A320" s="79"/>
      <c r="B320" s="161"/>
      <c r="C320" s="161"/>
      <c r="D320" s="529"/>
      <c r="E320" s="78"/>
      <c r="F320" s="67"/>
      <c r="G320" s="67"/>
      <c r="H320" s="67"/>
      <c r="I320" s="161"/>
      <c r="J320" s="161"/>
      <c r="K320" s="63"/>
      <c r="L320" s="61" t="str">
        <f>Price!A320</f>
        <v>Držáky zadní stěny M, hedvábně bílá</v>
      </c>
      <c r="M320" s="15" t="str">
        <f>Price!B320</f>
        <v>ZB7M000S</v>
      </c>
      <c r="N320" s="15" t="str">
        <f>Price!C320</f>
        <v>SW-M</v>
      </c>
      <c r="O320" s="525">
        <f>Price!D320</f>
        <v>0</v>
      </c>
      <c r="P320" s="16"/>
      <c r="Q320" s="17">
        <f>Price!F320</f>
        <v>35.345579999999998</v>
      </c>
      <c r="R320" s="318"/>
      <c r="S320" s="318"/>
      <c r="T320" s="12">
        <f>Price!G320</f>
        <v>5456308</v>
      </c>
      <c r="U320" s="252">
        <f>Price!H320</f>
        <v>227553</v>
      </c>
      <c r="V320" s="13"/>
      <c r="W320" s="13"/>
      <c r="X320" s="19"/>
      <c r="Y320" s="19"/>
    </row>
    <row r="321" spans="1:25" x14ac:dyDescent="0.35">
      <c r="A321" s="58"/>
      <c r="B321" s="160"/>
      <c r="C321" s="160"/>
      <c r="D321" s="528"/>
      <c r="E321" s="83"/>
      <c r="F321" s="65"/>
      <c r="G321" s="65"/>
      <c r="H321" s="65"/>
      <c r="I321" s="160"/>
      <c r="J321" s="160"/>
      <c r="K321" s="63"/>
      <c r="L321" s="61" t="str">
        <f>Price!A321</f>
        <v>Držáky zadní stěny M, Terra černá</v>
      </c>
      <c r="M321" s="15" t="str">
        <f>Price!B321</f>
        <v>ZB7M000S</v>
      </c>
      <c r="N321" s="15" t="str">
        <f>Price!C321</f>
        <v>TS-M</v>
      </c>
      <c r="O321" s="525">
        <f>Price!D321</f>
        <v>0</v>
      </c>
      <c r="P321" s="16"/>
      <c r="Q321" s="17">
        <f>Price!F321</f>
        <v>35.345579999999998</v>
      </c>
      <c r="R321" s="318"/>
      <c r="S321" s="318"/>
      <c r="T321" s="12">
        <f>Price!G321</f>
        <v>5453480</v>
      </c>
      <c r="U321" s="252">
        <f>Price!H321</f>
        <v>227555</v>
      </c>
      <c r="V321" s="13"/>
      <c r="W321" s="13"/>
      <c r="X321" s="19"/>
      <c r="Y321" s="19"/>
    </row>
    <row r="322" spans="1:25" x14ac:dyDescent="0.35">
      <c r="A322" s="58"/>
      <c r="B322" s="160"/>
      <c r="C322" s="160"/>
      <c r="D322" s="528"/>
      <c r="E322" s="83"/>
      <c r="F322" s="65"/>
      <c r="G322" s="65"/>
      <c r="H322" s="65"/>
      <c r="I322" s="160"/>
      <c r="J322" s="160"/>
      <c r="K322" s="63"/>
      <c r="L322" s="61" t="str">
        <f>Price!A322</f>
        <v>Držáky zadní stěny M, Polar stříbrná</v>
      </c>
      <c r="M322" s="15" t="str">
        <f>Price!B322</f>
        <v>ZB7M000S</v>
      </c>
      <c r="N322" s="15" t="str">
        <f>Price!C322</f>
        <v>PS-M</v>
      </c>
      <c r="O322" s="525">
        <f>Price!D322</f>
        <v>0</v>
      </c>
      <c r="P322" s="16"/>
      <c r="Q322" s="17">
        <f>Price!F322</f>
        <v>36.187139999999999</v>
      </c>
      <c r="R322" s="318"/>
      <c r="S322" s="318"/>
      <c r="T322" s="12">
        <f>Price!G322</f>
        <v>6543062</v>
      </c>
      <c r="U322" s="252">
        <f>Price!H322</f>
        <v>314835</v>
      </c>
      <c r="V322" s="13"/>
      <c r="W322" s="13"/>
      <c r="X322" s="19"/>
      <c r="Y322" s="19"/>
    </row>
    <row r="323" spans="1:25" x14ac:dyDescent="0.35">
      <c r="A323" s="58"/>
      <c r="B323" s="160"/>
      <c r="C323" s="160"/>
      <c r="D323" s="528"/>
      <c r="E323" s="83"/>
      <c r="F323" s="65"/>
      <c r="G323" s="65"/>
      <c r="H323" s="65"/>
      <c r="I323" s="160"/>
      <c r="J323" s="160"/>
      <c r="K323" s="63"/>
      <c r="L323" s="61" t="str">
        <f>Price!A323</f>
        <v>Držáky zadní stěny M, niklované</v>
      </c>
      <c r="M323" s="15" t="str">
        <f>Price!B323</f>
        <v>ZB7M000S</v>
      </c>
      <c r="N323" s="15" t="str">
        <f>Price!C323</f>
        <v>NI</v>
      </c>
      <c r="O323" s="525" t="str">
        <f>Price!D323</f>
        <v>!</v>
      </c>
      <c r="P323" s="16"/>
      <c r="Q323" s="17">
        <f>Price!F323</f>
        <v>69.438400000000001</v>
      </c>
      <c r="R323" s="318"/>
      <c r="S323" s="318"/>
      <c r="T323" s="12">
        <f>Price!G323</f>
        <v>3272102</v>
      </c>
      <c r="U323" s="252">
        <f>Price!H323</f>
        <v>227556</v>
      </c>
      <c r="V323" s="13"/>
      <c r="W323" s="13"/>
      <c r="X323" s="19"/>
      <c r="Y323" s="19"/>
    </row>
    <row r="324" spans="1:25" ht="15" thickBot="1" x14ac:dyDescent="0.4">
      <c r="A324" s="86" t="str">
        <f>IF($C$2=1,L324,IF($C$2=2,L325,IF($C$2=3,L326,IF($C$2=4,L327, IF($C$2=5, L328, "  chyba")))))</f>
        <v>Držáky zadní stěny K, Orion šedá</v>
      </c>
      <c r="B324" s="87" t="str">
        <f>IF($C$2=1,M324,IF($C$2=2,M325,IF($C$2=3,M326,IF($C$2=4,M327, IF($C$2=5, M328, "  chyba")))))</f>
        <v>ZB7K000S</v>
      </c>
      <c r="C324" s="87" t="str">
        <f>IF($C$2=1,N324,IF($C$2=2,N325,IF($C$2=3,N326,IF($C$2=4,N327, IF($C$2=5, N328, "  chyba")))))</f>
        <v>OG-M</v>
      </c>
      <c r="D324" s="527">
        <f>IF($C$2=1,O324,IF($C$2=2,O325,IF($C$2=3,O326,IF($C$2=4,O327, IF($C$2=5, O328, "  chyba")))))</f>
        <v>0</v>
      </c>
      <c r="E324" s="88"/>
      <c r="F324" s="89">
        <f>IF($C$2=1,Q324,IF($C$2=2,Q325,IF($C$2=3,Q326,IF($C$2=4,Q327, IF($C$2=5, Q328, "  chyba")))))</f>
        <v>43.05771</v>
      </c>
      <c r="G324" s="65"/>
      <c r="H324" s="65"/>
      <c r="I324" s="168">
        <f>IF($C$2=1,T324,IF($C$2=2,T325,IF($C$2=3,T326,IF($C$2=4,T327, IF($C$2=5, T328, "  chyba")))))</f>
        <v>1537116</v>
      </c>
      <c r="J324" s="168">
        <f>IF($C$2=1,U324,IF($C$2=2,U325,IF($C$2=3,U326,IF($C$2=4,U327, IF($C$2=5, U328, "  chyba")))))</f>
        <v>227558</v>
      </c>
      <c r="K324" s="63"/>
      <c r="L324" s="61" t="str">
        <f>Price!A324</f>
        <v>Držáky zadní stěny K, Orion šedá</v>
      </c>
      <c r="M324" s="15" t="str">
        <f>Price!B324</f>
        <v>ZB7K000S</v>
      </c>
      <c r="N324" s="15" t="str">
        <f>Price!C324</f>
        <v>OG-M</v>
      </c>
      <c r="O324" s="525">
        <f>Price!D324</f>
        <v>0</v>
      </c>
      <c r="P324" s="16"/>
      <c r="Q324" s="17">
        <f>Price!F324</f>
        <v>43.05771</v>
      </c>
      <c r="R324" s="318"/>
      <c r="S324" s="318"/>
      <c r="T324" s="12">
        <f>Price!G324</f>
        <v>1537116</v>
      </c>
      <c r="U324" s="252">
        <f>Price!H324</f>
        <v>227558</v>
      </c>
      <c r="V324" s="13"/>
      <c r="W324" s="13"/>
      <c r="X324" s="19"/>
      <c r="Y324" s="19"/>
    </row>
    <row r="325" spans="1:25" x14ac:dyDescent="0.35">
      <c r="A325" s="79"/>
      <c r="B325" s="161"/>
      <c r="C325" s="161"/>
      <c r="D325" s="529"/>
      <c r="E325" s="78"/>
      <c r="F325" s="67"/>
      <c r="G325" s="67"/>
      <c r="H325" s="67"/>
      <c r="I325" s="161"/>
      <c r="J325" s="161"/>
      <c r="K325" s="68"/>
      <c r="L325" s="61" t="str">
        <f>Price!A325</f>
        <v>Držáky zadní stěny K, hedvábně bílá</v>
      </c>
      <c r="M325" s="15" t="str">
        <f>Price!B325</f>
        <v>ZB7K000S</v>
      </c>
      <c r="N325" s="15" t="str">
        <f>Price!C325</f>
        <v>SW-M</v>
      </c>
      <c r="O325" s="525">
        <f>Price!D325</f>
        <v>0</v>
      </c>
      <c r="P325" s="16"/>
      <c r="Q325" s="17">
        <f>Price!F325</f>
        <v>43.05771</v>
      </c>
      <c r="R325" s="318"/>
      <c r="S325" s="318"/>
      <c r="T325" s="12">
        <f>Price!G325</f>
        <v>4507006</v>
      </c>
      <c r="U325" s="252">
        <f>Price!H325</f>
        <v>227557</v>
      </c>
      <c r="V325" s="13"/>
      <c r="W325" s="13"/>
      <c r="X325" s="19"/>
      <c r="Y325" s="19"/>
    </row>
    <row r="326" spans="1:25" x14ac:dyDescent="0.35">
      <c r="A326" s="58"/>
      <c r="B326" s="160"/>
      <c r="C326" s="160"/>
      <c r="D326" s="528"/>
      <c r="E326" s="83"/>
      <c r="F326" s="65"/>
      <c r="G326" s="65"/>
      <c r="H326" s="65"/>
      <c r="I326" s="160"/>
      <c r="J326" s="160"/>
      <c r="K326" s="68"/>
      <c r="L326" s="61" t="str">
        <f>Price!A326</f>
        <v>Držáky zadní stěny K, Terra černá</v>
      </c>
      <c r="M326" s="15" t="str">
        <f>Price!B326</f>
        <v>ZB7K000S</v>
      </c>
      <c r="N326" s="15" t="str">
        <f>Price!C326</f>
        <v>TS-M</v>
      </c>
      <c r="O326" s="525">
        <f>Price!D326</f>
        <v>0</v>
      </c>
      <c r="P326" s="16"/>
      <c r="Q326" s="17">
        <f>Price!F326</f>
        <v>43.05771</v>
      </c>
      <c r="R326" s="318"/>
      <c r="S326" s="318"/>
      <c r="T326" s="12">
        <f>Price!G326</f>
        <v>8793091</v>
      </c>
      <c r="U326" s="252">
        <f>Price!H326</f>
        <v>227559</v>
      </c>
      <c r="V326" s="13"/>
      <c r="W326" s="13"/>
      <c r="X326" s="19"/>
      <c r="Y326" s="19"/>
    </row>
    <row r="327" spans="1:25" x14ac:dyDescent="0.35">
      <c r="A327" s="58"/>
      <c r="B327" s="160"/>
      <c r="C327" s="160"/>
      <c r="D327" s="528"/>
      <c r="E327" s="83"/>
      <c r="F327" s="65"/>
      <c r="G327" s="65"/>
      <c r="H327" s="65"/>
      <c r="I327" s="160"/>
      <c r="J327" s="160"/>
      <c r="K327" s="68"/>
      <c r="L327" s="61" t="str">
        <f>Price!A327</f>
        <v>Držáky zadní stěny K, Polar stříbrná</v>
      </c>
      <c r="M327" s="15" t="str">
        <f>Price!B327</f>
        <v>ZB7K000S</v>
      </c>
      <c r="N327" s="15" t="str">
        <f>Price!C327</f>
        <v>PS-M</v>
      </c>
      <c r="O327" s="525">
        <f>Price!D327</f>
        <v>0</v>
      </c>
      <c r="P327" s="16"/>
      <c r="Q327" s="17">
        <f>Price!F327</f>
        <v>43.05771</v>
      </c>
      <c r="R327" s="318"/>
      <c r="S327" s="318"/>
      <c r="T327" s="12">
        <f>Price!G327</f>
        <v>9967873</v>
      </c>
      <c r="U327" s="252">
        <f>Price!H327</f>
        <v>348965</v>
      </c>
      <c r="V327" s="13"/>
      <c r="W327" s="13"/>
      <c r="X327" s="19"/>
      <c r="Y327" s="19"/>
    </row>
    <row r="328" spans="1:25" x14ac:dyDescent="0.35">
      <c r="A328" s="58"/>
      <c r="B328" s="160"/>
      <c r="C328" s="160"/>
      <c r="D328" s="528"/>
      <c r="E328" s="83"/>
      <c r="F328" s="65"/>
      <c r="G328" s="65"/>
      <c r="H328" s="65"/>
      <c r="I328" s="160"/>
      <c r="J328" s="160"/>
      <c r="K328" s="68"/>
      <c r="L328" s="61" t="str">
        <f>Price!A328</f>
        <v>Držáky zadní stěny K, niklované</v>
      </c>
      <c r="M328" s="15" t="str">
        <f>Price!B328</f>
        <v>ZB7K000S</v>
      </c>
      <c r="N328" s="15" t="str">
        <f>Price!C328</f>
        <v>NI</v>
      </c>
      <c r="O328" s="525" t="str">
        <f>Price!D328</f>
        <v>!</v>
      </c>
      <c r="P328" s="16"/>
      <c r="Q328" s="17">
        <f>Price!F328</f>
        <v>124.05085</v>
      </c>
      <c r="R328" s="318"/>
      <c r="S328" s="318"/>
      <c r="T328" s="12">
        <f>Price!G328</f>
        <v>4599324</v>
      </c>
      <c r="U328" s="252">
        <f>Price!H328</f>
        <v>227560</v>
      </c>
      <c r="V328" s="13"/>
      <c r="W328" s="13"/>
      <c r="X328" s="19"/>
      <c r="Y328" s="19"/>
    </row>
    <row r="329" spans="1:25" ht="15" thickBot="1" x14ac:dyDescent="0.4">
      <c r="A329" s="86" t="str">
        <f>IF($C$2=1,L329,IF($C$2=2,L330,IF($C$2=3,L331,IF($C$2=4,L332, IF($C$2=5, L333, "  chyba")))))</f>
        <v>Držáky zadní stěny C, Orion šedá</v>
      </c>
      <c r="B329" s="87" t="str">
        <f>IF($C$2=1,M329,IF($C$2=2,M330,IF($C$2=3,M331,IF($C$2=4,M332, IF($C$2=5, M333, "  chyba")))))</f>
        <v>ZB7C000S</v>
      </c>
      <c r="C329" s="87" t="str">
        <f>IF($C$2=1,N329,IF($C$2=2,N330,IF($C$2=3,N331,IF($C$2=4,N332, IF($C$2=5, N333, "  chyba")))))</f>
        <v>OG-M</v>
      </c>
      <c r="D329" s="527">
        <f>IF($C$2=1,O329,IF($C$2=2,O330,IF($C$2=3,O331,IF($C$2=4,O332, IF($C$2=5, O333, "  chyba")))))</f>
        <v>0</v>
      </c>
      <c r="E329" s="88"/>
      <c r="F329" s="89">
        <f>IF($C$2=1,Q329,IF($C$2=2,Q330,IF($C$2=3,Q331,IF($C$2=4,Q332, IF($C$2=5, Q333, "  chyba")))))</f>
        <v>47.092230000000001</v>
      </c>
      <c r="G329" s="65"/>
      <c r="H329" s="65"/>
      <c r="I329" s="168">
        <f>IF($C$2=1,T329,IF($C$2=2,T330,IF($C$2=3,T331,IF($C$2=4,T332, IF($C$2=5, T333, "  chyba")))))</f>
        <v>4160461</v>
      </c>
      <c r="J329" s="168">
        <f>IF($C$2=1,U329,IF($C$2=2,U330,IF($C$2=3,U331,IF($C$2=4,U332, IF($C$2=5, U333, "  chyba")))))</f>
        <v>227562</v>
      </c>
      <c r="K329" s="68"/>
      <c r="L329" s="61" t="str">
        <f>Price!A329</f>
        <v>Držáky zadní stěny C, Orion šedá</v>
      </c>
      <c r="M329" s="15" t="str">
        <f>Price!B329</f>
        <v>ZB7C000S</v>
      </c>
      <c r="N329" s="15" t="str">
        <f>Price!C329</f>
        <v>OG-M</v>
      </c>
      <c r="O329" s="525">
        <f>Price!D329</f>
        <v>0</v>
      </c>
      <c r="P329" s="16"/>
      <c r="Q329" s="17">
        <f>Price!F329</f>
        <v>47.092230000000001</v>
      </c>
      <c r="R329" s="318"/>
      <c r="S329" s="318"/>
      <c r="T329" s="12">
        <f>Price!G329</f>
        <v>4160461</v>
      </c>
      <c r="U329" s="252">
        <f>Price!H329</f>
        <v>227562</v>
      </c>
      <c r="V329" s="13"/>
      <c r="W329" s="13"/>
      <c r="X329" s="19"/>
      <c r="Y329" s="19"/>
    </row>
    <row r="330" spans="1:25" x14ac:dyDescent="0.35">
      <c r="A330" s="79"/>
      <c r="B330" s="161"/>
      <c r="C330" s="161"/>
      <c r="D330" s="529"/>
      <c r="E330" s="78"/>
      <c r="F330" s="67"/>
      <c r="G330" s="67"/>
      <c r="H330" s="67"/>
      <c r="I330" s="161"/>
      <c r="J330" s="161"/>
      <c r="K330" s="63"/>
      <c r="L330" s="61" t="str">
        <f>Price!A330</f>
        <v>Držáky zadní stěny C, hedvábně bílá</v>
      </c>
      <c r="M330" s="15" t="str">
        <f>Price!B330</f>
        <v>ZB7C000S</v>
      </c>
      <c r="N330" s="15" t="str">
        <f>Price!C330</f>
        <v>SW-M</v>
      </c>
      <c r="O330" s="525">
        <f>Price!D330</f>
        <v>0</v>
      </c>
      <c r="P330" s="16"/>
      <c r="Q330" s="17">
        <f>Price!F330</f>
        <v>47.092230000000001</v>
      </c>
      <c r="R330" s="318"/>
      <c r="S330" s="318"/>
      <c r="T330" s="12">
        <f>Price!G330</f>
        <v>9078516</v>
      </c>
      <c r="U330" s="252">
        <f>Price!H330</f>
        <v>227561</v>
      </c>
      <c r="V330" s="13"/>
      <c r="W330" s="13"/>
      <c r="X330" s="19"/>
      <c r="Y330" s="19"/>
    </row>
    <row r="331" spans="1:25" x14ac:dyDescent="0.35">
      <c r="A331" s="58"/>
      <c r="B331" s="160"/>
      <c r="C331" s="160"/>
      <c r="D331" s="528"/>
      <c r="E331" s="83"/>
      <c r="F331" s="65"/>
      <c r="G331" s="65"/>
      <c r="H331" s="65"/>
      <c r="I331" s="160"/>
      <c r="J331" s="160"/>
      <c r="K331" s="69"/>
      <c r="L331" s="61" t="str">
        <f>Price!A331</f>
        <v>Držáky zadní stěny C, Terra černá</v>
      </c>
      <c r="M331" s="15" t="str">
        <f>Price!B331</f>
        <v>ZB7C000S</v>
      </c>
      <c r="N331" s="15" t="str">
        <f>Price!C331</f>
        <v>TS-M</v>
      </c>
      <c r="O331" s="525">
        <f>Price!D331</f>
        <v>0</v>
      </c>
      <c r="P331" s="16"/>
      <c r="Q331" s="17">
        <f>Price!F331</f>
        <v>47.092230000000001</v>
      </c>
      <c r="R331" s="318"/>
      <c r="S331" s="318"/>
      <c r="T331" s="12">
        <f>Price!G331</f>
        <v>9976616</v>
      </c>
      <c r="U331" s="252">
        <f>Price!H331</f>
        <v>227563</v>
      </c>
      <c r="V331" s="13"/>
      <c r="W331" s="13"/>
      <c r="X331" s="19"/>
      <c r="Y331" s="19"/>
    </row>
    <row r="332" spans="1:25" x14ac:dyDescent="0.35">
      <c r="A332" s="58"/>
      <c r="B332" s="160"/>
      <c r="C332" s="160"/>
      <c r="D332" s="528"/>
      <c r="E332" s="83"/>
      <c r="F332" s="65"/>
      <c r="G332" s="65"/>
      <c r="H332" s="65"/>
      <c r="I332" s="160"/>
      <c r="J332" s="160"/>
      <c r="K332" s="69"/>
      <c r="L332" s="61" t="str">
        <f>Price!A332</f>
        <v>Držáky zadní stěny C, Polar stříbrná</v>
      </c>
      <c r="M332" s="15" t="str">
        <f>Price!B332</f>
        <v>ZB7C000S</v>
      </c>
      <c r="N332" s="15" t="str">
        <f>Price!C332</f>
        <v>PS-M</v>
      </c>
      <c r="O332" s="525">
        <f>Price!D332</f>
        <v>0</v>
      </c>
      <c r="P332" s="16"/>
      <c r="Q332" s="17">
        <f>Price!F332</f>
        <v>48.213470000000001</v>
      </c>
      <c r="R332" s="318"/>
      <c r="S332" s="318"/>
      <c r="T332" s="12">
        <f>Price!G332</f>
        <v>7362305</v>
      </c>
      <c r="U332" s="252">
        <f>Price!H332</f>
        <v>314836</v>
      </c>
      <c r="V332" s="13"/>
      <c r="W332" s="13"/>
      <c r="X332" s="19"/>
      <c r="Y332" s="19"/>
    </row>
    <row r="333" spans="1:25" x14ac:dyDescent="0.35">
      <c r="A333" s="58"/>
      <c r="B333" s="160"/>
      <c r="C333" s="160"/>
      <c r="D333" s="528"/>
      <c r="E333" s="83"/>
      <c r="F333" s="65"/>
      <c r="G333" s="65"/>
      <c r="H333" s="65"/>
      <c r="I333" s="160"/>
      <c r="J333" s="160"/>
      <c r="K333" s="69"/>
      <c r="L333" s="61" t="str">
        <f>Price!A333</f>
        <v>Držáky zadní stěny C, niklované</v>
      </c>
      <c r="M333" s="15" t="str">
        <f>Price!B333</f>
        <v>ZB7C000S</v>
      </c>
      <c r="N333" s="15" t="str">
        <f>Price!C333</f>
        <v>NI</v>
      </c>
      <c r="O333" s="525" t="str">
        <f>Price!D333</f>
        <v>!</v>
      </c>
      <c r="P333" s="16"/>
      <c r="Q333" s="17">
        <f>Price!F333</f>
        <v>140.60831999999999</v>
      </c>
      <c r="R333" s="318"/>
      <c r="S333" s="318"/>
      <c r="T333" s="12">
        <f>Price!G333</f>
        <v>1955343</v>
      </c>
      <c r="U333" s="252">
        <f>Price!H333</f>
        <v>227564</v>
      </c>
      <c r="V333" s="13"/>
      <c r="W333" s="13"/>
      <c r="X333" s="19"/>
      <c r="Y333" s="19"/>
    </row>
    <row r="334" spans="1:25" ht="15" thickBot="1" x14ac:dyDescent="0.4">
      <c r="A334" s="86" t="str">
        <f>IF($C$2=1,L334,IF($C$2=2,L335,IF($C$2=3,L336,IF($C$2=4,L337, IF($C$2=5, L338, "  chyba")))))</f>
        <v>Držáky zadní stěny F, Orion šedá</v>
      </c>
      <c r="B334" s="87" t="str">
        <f>IF($C$2=1,M334,IF($C$2=2,M335,IF($C$2=3,M336,IF($C$2=4,M337, IF($C$2=5, M338, "  chyba")))))</f>
        <v>ZB7F000S</v>
      </c>
      <c r="C334" s="87" t="str">
        <f>IF($C$2=1,N334,IF($C$2=2,N335,IF($C$2=3,N336,IF($C$2=4,N337, IF($C$2=5, N338, "  chyba")))))</f>
        <v>OG-M</v>
      </c>
      <c r="D334" s="527">
        <f>IF($C$2=1,O334,IF($C$2=2,O335,IF($C$2=3,O336,IF($C$2=4,O337, IF($C$2=5, O338, "  chyba")))))</f>
        <v>0</v>
      </c>
      <c r="E334" s="88"/>
      <c r="F334" s="89">
        <f>IF($C$2=1,Q334,IF($C$2=2,Q335,IF($C$2=3,Q336,IF($C$2=4,Q337, IF($C$2=5, Q338, "  chyba")))))</f>
        <v>100.76446</v>
      </c>
      <c r="G334" s="65"/>
      <c r="H334" s="65"/>
      <c r="I334" s="168">
        <f>IF($C$2=1,T334,IF($C$2=2,T335,IF($C$2=3,T336,IF($C$2=4,T337, IF($C$2=5, T338, "  chyba")))))</f>
        <v>7246986</v>
      </c>
      <c r="J334" s="168">
        <f>IF($C$2=1,U334,IF($C$2=2,U335,IF($C$2=3,U336,IF($C$2=4,U337, IF($C$2=5, U338, "  chyba")))))</f>
        <v>227566</v>
      </c>
      <c r="K334" s="69"/>
      <c r="L334" s="61" t="str">
        <f>Price!A334</f>
        <v>Držáky zadní stěny F, Orion šedá</v>
      </c>
      <c r="M334" s="15" t="str">
        <f>Price!B334</f>
        <v>ZB7F000S</v>
      </c>
      <c r="N334" s="15" t="str">
        <f>Price!C334</f>
        <v>OG-M</v>
      </c>
      <c r="O334" s="525">
        <f>Price!D334</f>
        <v>0</v>
      </c>
      <c r="P334" s="16"/>
      <c r="Q334" s="17">
        <f>Price!F334</f>
        <v>100.76446</v>
      </c>
      <c r="R334" s="318"/>
      <c r="S334" s="318"/>
      <c r="T334" s="12">
        <f>Price!G334</f>
        <v>7246986</v>
      </c>
      <c r="U334" s="252">
        <f>Price!H334</f>
        <v>227566</v>
      </c>
      <c r="V334" s="13"/>
      <c r="W334" s="13"/>
      <c r="X334" s="19"/>
      <c r="Y334" s="19"/>
    </row>
    <row r="335" spans="1:25" x14ac:dyDescent="0.35">
      <c r="A335" s="79"/>
      <c r="B335" s="161"/>
      <c r="C335" s="161"/>
      <c r="D335" s="529"/>
      <c r="E335" s="78"/>
      <c r="F335" s="67"/>
      <c r="G335" s="67"/>
      <c r="H335" s="67"/>
      <c r="I335" s="161"/>
      <c r="J335" s="161"/>
      <c r="K335" s="69"/>
      <c r="L335" s="61" t="str">
        <f>Price!A335</f>
        <v>Držáky zadní stěny F, hedvábně bílá</v>
      </c>
      <c r="M335" s="15" t="str">
        <f>Price!B335</f>
        <v>ZB7F000S</v>
      </c>
      <c r="N335" s="15" t="str">
        <f>Price!C335</f>
        <v>SW-M</v>
      </c>
      <c r="O335" s="525">
        <f>Price!D335</f>
        <v>0</v>
      </c>
      <c r="P335" s="16"/>
      <c r="Q335" s="17">
        <f>Price!F335</f>
        <v>100.76446</v>
      </c>
      <c r="R335" s="318"/>
      <c r="S335" s="318"/>
      <c r="T335" s="12">
        <f>Price!G335</f>
        <v>6274922</v>
      </c>
      <c r="U335" s="252">
        <f>Price!H335</f>
        <v>227565</v>
      </c>
      <c r="V335" s="13"/>
      <c r="W335" s="13"/>
      <c r="X335" s="19"/>
      <c r="Y335" s="19"/>
    </row>
    <row r="336" spans="1:25" x14ac:dyDescent="0.35">
      <c r="A336" s="58"/>
      <c r="B336" s="160"/>
      <c r="C336" s="160"/>
      <c r="D336" s="528"/>
      <c r="E336" s="83"/>
      <c r="F336" s="65"/>
      <c r="G336" s="65"/>
      <c r="H336" s="65"/>
      <c r="I336" s="160"/>
      <c r="J336" s="160"/>
      <c r="K336" s="69"/>
      <c r="L336" s="61" t="str">
        <f>Price!A336</f>
        <v>Držáky zadní stěny F, Terra černá</v>
      </c>
      <c r="M336" s="15" t="str">
        <f>Price!B336</f>
        <v>ZB7F000S</v>
      </c>
      <c r="N336" s="15" t="str">
        <f>Price!C336</f>
        <v>TS-M</v>
      </c>
      <c r="O336" s="525">
        <f>Price!D336</f>
        <v>0</v>
      </c>
      <c r="P336" s="16"/>
      <c r="Q336" s="17">
        <f>Price!F336</f>
        <v>100.76446</v>
      </c>
      <c r="R336" s="318"/>
      <c r="S336" s="318"/>
      <c r="T336" s="12">
        <f>Price!G336</f>
        <v>8016671</v>
      </c>
      <c r="U336" s="252">
        <f>Price!H336</f>
        <v>227567</v>
      </c>
      <c r="V336" s="13"/>
      <c r="W336" s="13"/>
      <c r="X336" s="19"/>
      <c r="Y336" s="19"/>
    </row>
    <row r="337" spans="1:25" x14ac:dyDescent="0.35">
      <c r="A337" s="58"/>
      <c r="B337" s="160"/>
      <c r="C337" s="160"/>
      <c r="D337" s="528"/>
      <c r="E337" s="83"/>
      <c r="F337" s="65"/>
      <c r="G337" s="65"/>
      <c r="H337" s="65"/>
      <c r="I337" s="160"/>
      <c r="J337" s="160"/>
      <c r="K337" s="69"/>
      <c r="L337" s="61" t="str">
        <f>Price!A337</f>
        <v>Držáky zadní stěny F, Polar stříbrná</v>
      </c>
      <c r="M337" s="15" t="str">
        <f>Price!B337</f>
        <v>ZB7F000S</v>
      </c>
      <c r="N337" s="15" t="str">
        <f>Price!C337</f>
        <v>PS-M</v>
      </c>
      <c r="O337" s="525">
        <f>Price!D337</f>
        <v>0</v>
      </c>
      <c r="P337" s="16"/>
      <c r="Q337" s="17">
        <f>Price!F337</f>
        <v>100.76446</v>
      </c>
      <c r="R337" s="318"/>
      <c r="S337" s="318"/>
      <c r="T337" s="12">
        <f>Price!G337</f>
        <v>6841370</v>
      </c>
      <c r="U337" s="252">
        <f>Price!H337</f>
        <v>348966</v>
      </c>
      <c r="V337" s="13"/>
      <c r="W337" s="13"/>
      <c r="X337" s="19"/>
      <c r="Y337" s="19"/>
    </row>
    <row r="338" spans="1:25" x14ac:dyDescent="0.35">
      <c r="A338" s="77"/>
      <c r="B338" s="160"/>
      <c r="C338" s="160"/>
      <c r="D338" s="528"/>
      <c r="E338" s="78"/>
      <c r="F338" s="65"/>
      <c r="G338" s="65"/>
      <c r="H338" s="65"/>
      <c r="I338" s="171"/>
      <c r="J338" s="171"/>
      <c r="K338" s="62"/>
      <c r="L338" s="61" t="str">
        <f>Price!A338</f>
        <v>Držáky zadní stěny F, niklované</v>
      </c>
      <c r="M338" s="15" t="str">
        <f>Price!B338</f>
        <v>ZB7F000S</v>
      </c>
      <c r="N338" s="15" t="str">
        <f>Price!C338</f>
        <v>NI</v>
      </c>
      <c r="O338" s="525" t="str">
        <f>Price!D338</f>
        <v>!</v>
      </c>
      <c r="P338" s="16"/>
      <c r="Q338" s="17">
        <f>Price!F338</f>
        <v>205.18024</v>
      </c>
      <c r="R338" s="318"/>
      <c r="S338" s="318"/>
      <c r="T338" s="12">
        <f>Price!G338</f>
        <v>1665209</v>
      </c>
      <c r="U338" s="252">
        <f>Price!H338</f>
        <v>227568</v>
      </c>
      <c r="V338" s="13"/>
      <c r="W338" s="13"/>
      <c r="X338" s="19"/>
      <c r="Y338" s="19"/>
    </row>
    <row r="339" spans="1:25" x14ac:dyDescent="0.35">
      <c r="A339" s="79"/>
      <c r="B339" s="161"/>
      <c r="C339" s="161"/>
      <c r="D339" s="529"/>
      <c r="E339" s="78"/>
      <c r="F339" s="67"/>
      <c r="G339" s="67"/>
      <c r="H339" s="67"/>
      <c r="I339" s="161"/>
      <c r="J339" s="161"/>
      <c r="K339" s="69"/>
      <c r="L339" s="61">
        <f>Price!A339</f>
        <v>0</v>
      </c>
      <c r="M339" s="15">
        <f>Price!B339</f>
        <v>0</v>
      </c>
      <c r="N339" s="15">
        <f>Price!C339</f>
        <v>0</v>
      </c>
      <c r="O339" s="525">
        <f>Price!D339</f>
        <v>0</v>
      </c>
      <c r="P339" s="16"/>
      <c r="Q339" s="17">
        <f>Price!F339</f>
        <v>0</v>
      </c>
      <c r="R339" s="318"/>
      <c r="S339" s="318"/>
      <c r="T339" s="12">
        <f>Price!G339</f>
        <v>0</v>
      </c>
      <c r="U339" s="252">
        <f>Price!H339</f>
        <v>0</v>
      </c>
      <c r="V339" s="13"/>
      <c r="W339" s="13"/>
      <c r="X339" s="19"/>
      <c r="Y339" s="19"/>
    </row>
    <row r="340" spans="1:25" x14ac:dyDescent="0.35">
      <c r="A340" s="58"/>
      <c r="B340" s="160"/>
      <c r="C340" s="160"/>
      <c r="D340" s="528"/>
      <c r="E340" s="83"/>
      <c r="F340" s="65"/>
      <c r="G340" s="65"/>
      <c r="H340" s="65"/>
      <c r="I340" s="160"/>
      <c r="J340" s="160"/>
      <c r="K340" s="69"/>
      <c r="L340" s="61">
        <f>Price!A340</f>
        <v>0</v>
      </c>
      <c r="M340" s="15">
        <f>Price!B340</f>
        <v>0</v>
      </c>
      <c r="N340" s="15">
        <f>Price!C340</f>
        <v>0</v>
      </c>
      <c r="O340" s="525">
        <f>Price!D340</f>
        <v>0</v>
      </c>
      <c r="P340" s="16"/>
      <c r="Q340" s="17">
        <f>Price!F340</f>
        <v>0</v>
      </c>
      <c r="R340" s="318"/>
      <c r="S340" s="318"/>
      <c r="T340" s="12">
        <f>Price!G340</f>
        <v>0</v>
      </c>
      <c r="U340" s="252">
        <f>Price!H340</f>
        <v>0</v>
      </c>
      <c r="V340" s="13"/>
      <c r="W340" s="13"/>
      <c r="X340" s="19"/>
      <c r="Y340" s="19"/>
    </row>
    <row r="341" spans="1:25" x14ac:dyDescent="0.35">
      <c r="A341" s="58"/>
      <c r="B341" s="161"/>
      <c r="C341" s="161"/>
      <c r="D341" s="529"/>
      <c r="E341" s="83"/>
      <c r="F341" s="65"/>
      <c r="G341" s="65"/>
      <c r="H341" s="65"/>
      <c r="I341" s="161"/>
      <c r="J341" s="161"/>
      <c r="K341" s="62"/>
      <c r="L341" s="61">
        <f>Price!A341</f>
        <v>0</v>
      </c>
      <c r="M341" s="15">
        <f>Price!B341</f>
        <v>0</v>
      </c>
      <c r="N341" s="15">
        <f>Price!C341</f>
        <v>0</v>
      </c>
      <c r="O341" s="525">
        <f>Price!D341</f>
        <v>0</v>
      </c>
      <c r="P341" s="16"/>
      <c r="Q341" s="17">
        <f>Price!F341</f>
        <v>0</v>
      </c>
      <c r="R341" s="318"/>
      <c r="S341" s="318"/>
      <c r="T341" s="12">
        <f>Price!G341</f>
        <v>0</v>
      </c>
      <c r="U341" s="252">
        <f>Price!H341</f>
        <v>0</v>
      </c>
      <c r="V341" s="13"/>
      <c r="W341" s="13"/>
      <c r="X341" s="19"/>
      <c r="Y341" s="19"/>
    </row>
    <row r="342" spans="1:25" x14ac:dyDescent="0.35">
      <c r="A342" s="77"/>
      <c r="B342" s="160"/>
      <c r="C342" s="160"/>
      <c r="D342" s="528"/>
      <c r="E342" s="78"/>
      <c r="F342" s="65"/>
      <c r="G342" s="65"/>
      <c r="H342" s="65"/>
      <c r="I342" s="171"/>
      <c r="J342" s="171"/>
      <c r="K342" s="20"/>
      <c r="L342" s="61">
        <f>Price!A342</f>
        <v>0</v>
      </c>
      <c r="M342" s="15">
        <f>Price!B342</f>
        <v>0</v>
      </c>
      <c r="N342" s="15">
        <f>Price!C342</f>
        <v>0</v>
      </c>
      <c r="O342" s="525">
        <f>Price!D342</f>
        <v>0</v>
      </c>
      <c r="P342" s="16"/>
      <c r="Q342" s="17">
        <f>Price!F342</f>
        <v>0</v>
      </c>
      <c r="R342" s="318"/>
      <c r="S342" s="318"/>
      <c r="T342" s="12">
        <f>Price!G342</f>
        <v>0</v>
      </c>
      <c r="U342" s="252">
        <f>Price!H342</f>
        <v>0</v>
      </c>
      <c r="V342" s="13"/>
      <c r="W342" s="13"/>
      <c r="X342" s="19"/>
      <c r="Y342" s="19"/>
    </row>
    <row r="343" spans="1:25" x14ac:dyDescent="0.35">
      <c r="A343" s="58"/>
      <c r="B343" s="161"/>
      <c r="C343" s="161"/>
      <c r="D343" s="529"/>
      <c r="E343" s="83"/>
      <c r="F343" s="65"/>
      <c r="G343" s="65"/>
      <c r="H343" s="65"/>
      <c r="I343" s="65"/>
      <c r="J343" s="65"/>
      <c r="K343" s="20"/>
      <c r="L343" s="61" t="str">
        <f>Price!A343</f>
        <v xml:space="preserve">   Čelní kování</v>
      </c>
      <c r="M343" s="15">
        <f>Price!B343</f>
        <v>0</v>
      </c>
      <c r="N343" s="15">
        <f>Price!C343</f>
        <v>0</v>
      </c>
      <c r="O343" s="525">
        <f>Price!D343</f>
        <v>0</v>
      </c>
      <c r="P343" s="16"/>
      <c r="Q343" s="17">
        <f>Price!F343</f>
        <v>0</v>
      </c>
      <c r="R343" s="318"/>
      <c r="S343" s="318"/>
      <c r="T343" s="12">
        <f>Price!G343</f>
        <v>0</v>
      </c>
      <c r="U343" s="252">
        <f>Price!H343</f>
        <v>0</v>
      </c>
      <c r="V343" s="13"/>
      <c r="X343" s="19"/>
      <c r="Y343" s="19"/>
    </row>
    <row r="344" spans="1:25" ht="15" thickBot="1" x14ac:dyDescent="0.4">
      <c r="A344" s="94" t="str">
        <f>IF(AND($C$3=1, $C$4=1), L344, IF(AND($C$3=1, $C$4=2), L345, IF($C$3=2, L346, "  chyba")))</f>
        <v>Čelní kování N, na vruty</v>
      </c>
      <c r="B344" s="94" t="str">
        <f t="shared" ref="B344:J344" si="310">IF(AND($C$3=1, $C$4=1), M344, IF(AND($C$3=1, $C$4=2), M345, IF($C$3=2, M346, "  chyba")))</f>
        <v>ZF7N7002</v>
      </c>
      <c r="C344" s="94" t="str">
        <f t="shared" si="310"/>
        <v>BL</v>
      </c>
      <c r="D344" s="94">
        <f t="shared" si="310"/>
        <v>0</v>
      </c>
      <c r="E344" s="94"/>
      <c r="F344" s="94">
        <f t="shared" si="310"/>
        <v>20.202860000000001</v>
      </c>
      <c r="G344" s="94"/>
      <c r="H344" s="94"/>
      <c r="I344" s="94">
        <f t="shared" si="310"/>
        <v>4476127</v>
      </c>
      <c r="J344" s="94">
        <f t="shared" si="310"/>
        <v>227541</v>
      </c>
      <c r="K344" s="20"/>
      <c r="L344" s="61" t="str">
        <f>Price!A344</f>
        <v>Čelní kování N, na vruty</v>
      </c>
      <c r="M344" s="15" t="str">
        <f>Price!B344</f>
        <v>ZF7N7002</v>
      </c>
      <c r="N344" s="15" t="str">
        <f>Price!C344</f>
        <v>BL</v>
      </c>
      <c r="O344" s="525">
        <f>Price!D344</f>
        <v>0</v>
      </c>
      <c r="P344" s="16"/>
      <c r="Q344" s="17">
        <f>Price!F344</f>
        <v>20.202860000000001</v>
      </c>
      <c r="R344" s="318"/>
      <c r="S344" s="318"/>
      <c r="T344" s="12">
        <f>Price!G344</f>
        <v>4476127</v>
      </c>
      <c r="U344" s="252">
        <f>Price!H344</f>
        <v>227541</v>
      </c>
      <c r="V344" s="13"/>
      <c r="W344" s="13"/>
      <c r="X344" s="19"/>
      <c r="Y344" s="19"/>
    </row>
    <row r="345" spans="1:25" x14ac:dyDescent="0.35">
      <c r="A345" s="58"/>
      <c r="B345" s="58"/>
      <c r="C345" s="58"/>
      <c r="D345" s="172"/>
      <c r="E345" s="83"/>
      <c r="F345" s="65"/>
      <c r="G345" s="65"/>
      <c r="H345" s="65"/>
      <c r="I345" s="58"/>
      <c r="J345" s="172"/>
      <c r="K345" s="62"/>
      <c r="L345" s="61" t="str">
        <f>Price!A345</f>
        <v>Čelní kování N, EXPANDO</v>
      </c>
      <c r="M345" s="15" t="str">
        <f>Price!B345</f>
        <v>ZF7N70E2</v>
      </c>
      <c r="N345" s="15" t="str">
        <f>Price!C345</f>
        <v>BL</v>
      </c>
      <c r="O345" s="525">
        <f>Price!D345</f>
        <v>0</v>
      </c>
      <c r="P345" s="16"/>
      <c r="Q345" s="17">
        <f>Price!F345</f>
        <v>22.951080000000001</v>
      </c>
      <c r="R345" s="318"/>
      <c r="S345" s="318"/>
      <c r="T345" s="12">
        <f>Price!G345</f>
        <v>4745381</v>
      </c>
      <c r="U345" s="252">
        <f>Price!H345</f>
        <v>227542</v>
      </c>
      <c r="V345" s="13"/>
      <c r="W345" s="13"/>
      <c r="X345" s="19"/>
      <c r="Y345" s="19"/>
    </row>
    <row r="346" spans="1:25" s="762" customFormat="1" x14ac:dyDescent="0.35">
      <c r="A346" s="58"/>
      <c r="B346" s="58"/>
      <c r="C346" s="58"/>
      <c r="D346" s="172"/>
      <c r="E346" s="83"/>
      <c r="F346" s="65"/>
      <c r="G346" s="65"/>
      <c r="H346" s="65"/>
      <c r="I346" s="58"/>
      <c r="J346" s="172"/>
      <c r="K346" s="62"/>
      <c r="L346" s="61" t="str">
        <f>Price!A346</f>
        <v>Čelní kování N, EXPANDO T (tenké mat.)</v>
      </c>
      <c r="M346" s="15" t="str">
        <f>Price!B346</f>
        <v>ZF7N70T2</v>
      </c>
      <c r="N346" s="15" t="str">
        <f>Price!C346</f>
        <v>BL</v>
      </c>
      <c r="O346" s="525" t="str">
        <f>Price!D346</f>
        <v>!</v>
      </c>
      <c r="P346" s="16"/>
      <c r="Q346" s="17">
        <f>Price!F346</f>
        <v>131</v>
      </c>
      <c r="R346" s="318"/>
      <c r="S346" s="318"/>
      <c r="T346" s="12">
        <f>Price!G346</f>
        <v>4636848</v>
      </c>
      <c r="U346" s="252">
        <f>Price!H346</f>
        <v>347994</v>
      </c>
      <c r="V346" s="13"/>
      <c r="W346" s="13"/>
      <c r="X346" s="19"/>
      <c r="Y346" s="19"/>
    </row>
    <row r="347" spans="1:25" ht="15" thickBot="1" x14ac:dyDescent="0.4">
      <c r="A347" s="94" t="str">
        <f>IF(AND($C$3=1, $C$4=1), L347, IF(AND($C$3=1, $C$4=2), L348, IF($C$3=2, L349, "  chyba")))</f>
        <v>Čelní kování M, na vruty</v>
      </c>
      <c r="B347" s="94" t="str">
        <f t="shared" ref="B347" si="311">IF(AND($C$3=1, $C$4=1), M347, IF(AND($C$3=1, $C$4=2), M348, IF($C$3=2, M349, "  chyba")))</f>
        <v>ZF7M7002</v>
      </c>
      <c r="C347" s="94" t="str">
        <f t="shared" ref="C347" si="312">IF(AND($C$3=1, $C$4=1), N347, IF(AND($C$3=1, $C$4=2), N348, IF($C$3=2, N349, "  chyba")))</f>
        <v>BL</v>
      </c>
      <c r="D347" s="94">
        <f t="shared" ref="D347" si="313">IF(AND($C$3=1, $C$4=1), O347, IF(AND($C$3=1, $C$4=2), O348, IF($C$3=2, O349, "  chyba")))</f>
        <v>0</v>
      </c>
      <c r="E347" s="94"/>
      <c r="F347" s="94">
        <f t="shared" ref="F347" si="314">IF(AND($C$3=1, $C$4=1), Q347, IF(AND($C$3=1, $C$4=2), Q348, IF($C$3=2, Q349, "  chyba")))</f>
        <v>7.6647100000000004</v>
      </c>
      <c r="G347" s="94"/>
      <c r="H347" s="94"/>
      <c r="I347" s="94">
        <f t="shared" ref="I347" si="315">IF(AND($C$3=1, $C$4=1), T347, IF(AND($C$3=1, $C$4=2), T348, IF($C$3=2, T349, "  chyba")))</f>
        <v>9105005</v>
      </c>
      <c r="J347" s="94">
        <f t="shared" ref="J347" si="316">IF(AND($C$3=1, $C$4=1), U347, IF(AND($C$3=1, $C$4=2), U348, IF($C$3=2, U349, "  chyba")))</f>
        <v>227543</v>
      </c>
      <c r="K347" s="20"/>
      <c r="L347" s="61" t="str">
        <f>Price!A347</f>
        <v>Čelní kování M, na vruty</v>
      </c>
      <c r="M347" s="15" t="str">
        <f>Price!B347</f>
        <v>ZF7M7002</v>
      </c>
      <c r="N347" s="15" t="str">
        <f>Price!C347</f>
        <v>BL</v>
      </c>
      <c r="O347" s="525">
        <f>Price!D347</f>
        <v>0</v>
      </c>
      <c r="P347" s="16"/>
      <c r="Q347" s="17">
        <f>Price!F347</f>
        <v>7.6647100000000004</v>
      </c>
      <c r="R347" s="318"/>
      <c r="S347" s="318"/>
      <c r="T347" s="12">
        <f>Price!G347</f>
        <v>9105005</v>
      </c>
      <c r="U347" s="252">
        <f>Price!H347</f>
        <v>227543</v>
      </c>
      <c r="V347" s="13"/>
      <c r="W347" s="13"/>
      <c r="X347" s="19"/>
      <c r="Y347" s="19"/>
    </row>
    <row r="348" spans="1:25" x14ac:dyDescent="0.35">
      <c r="A348" s="58"/>
      <c r="B348" s="161"/>
      <c r="C348" s="161"/>
      <c r="D348" s="529"/>
      <c r="E348" s="83"/>
      <c r="F348" s="65"/>
      <c r="G348" s="65"/>
      <c r="H348" s="65"/>
      <c r="I348" s="65"/>
      <c r="J348" s="65"/>
      <c r="K348" s="20"/>
      <c r="L348" s="61" t="str">
        <f>Price!A348</f>
        <v>Čelní kování M, EXPANDO</v>
      </c>
      <c r="M348" s="15" t="str">
        <f>Price!B348</f>
        <v>ZF7M70E2</v>
      </c>
      <c r="N348" s="15" t="str">
        <f>Price!C348</f>
        <v>BL</v>
      </c>
      <c r="O348" s="525">
        <f>Price!D348</f>
        <v>0</v>
      </c>
      <c r="P348" s="16"/>
      <c r="Q348" s="17">
        <f>Price!F348</f>
        <v>10.349030000000001</v>
      </c>
      <c r="R348" s="318"/>
      <c r="S348" s="318"/>
      <c r="T348" s="12">
        <f>Price!G348</f>
        <v>7054881</v>
      </c>
      <c r="U348" s="252">
        <f>Price!H348</f>
        <v>227544</v>
      </c>
      <c r="V348" s="13"/>
      <c r="W348" s="13"/>
      <c r="X348" s="19"/>
      <c r="Y348" s="19"/>
    </row>
    <row r="349" spans="1:25" s="762" customFormat="1" x14ac:dyDescent="0.35">
      <c r="A349" s="58"/>
      <c r="B349" s="161"/>
      <c r="C349" s="161"/>
      <c r="D349" s="529"/>
      <c r="E349" s="83"/>
      <c r="F349" s="65"/>
      <c r="G349" s="65"/>
      <c r="H349" s="65"/>
      <c r="I349" s="65"/>
      <c r="J349" s="65"/>
      <c r="K349" s="20"/>
      <c r="L349" s="61" t="str">
        <f>Price!A349</f>
        <v>Čelní kování M, EXPANDO T  (tenké mat.)</v>
      </c>
      <c r="M349" s="15" t="str">
        <f>Price!B349</f>
        <v>ZF7M70T2</v>
      </c>
      <c r="N349" s="15" t="str">
        <f>Price!C349</f>
        <v>BL</v>
      </c>
      <c r="O349" s="525">
        <f>Price!D349</f>
        <v>0</v>
      </c>
      <c r="P349" s="16"/>
      <c r="Q349" s="17">
        <f>Price!F349</f>
        <v>124.63539</v>
      </c>
      <c r="R349" s="318"/>
      <c r="S349" s="318"/>
      <c r="T349" s="12">
        <f>Price!G349</f>
        <v>1598535</v>
      </c>
      <c r="U349" s="252">
        <f>Price!H349</f>
        <v>347995</v>
      </c>
      <c r="V349" s="13"/>
      <c r="W349" s="13"/>
      <c r="X349" s="19"/>
      <c r="Y349" s="19"/>
    </row>
    <row r="350" spans="1:25" ht="15" thickBot="1" x14ac:dyDescent="0.4">
      <c r="A350" s="94" t="str">
        <f>IF(AND($C$3=1, $C$4=1), L350, IF(AND($C$3=1, $C$4=2), L351, IF($C$3=2, L352, "  chyba")))</f>
        <v>Čelní kování K, na vruty</v>
      </c>
      <c r="B350" s="94" t="str">
        <f t="shared" ref="B350" si="317">IF(AND($C$3=1, $C$4=1), M350, IF(AND($C$3=1, $C$4=2), M351, IF($C$3=2, M352, "  chyba")))</f>
        <v>ZF7K7002</v>
      </c>
      <c r="C350" s="94" t="str">
        <f t="shared" ref="C350" si="318">IF(AND($C$3=1, $C$4=1), N350, IF(AND($C$3=1, $C$4=2), N351, IF($C$3=2, N352, "  chyba")))</f>
        <v>BL</v>
      </c>
      <c r="D350" s="94">
        <f t="shared" ref="D350" si="319">IF(AND($C$3=1, $C$4=1), O350, IF(AND($C$3=1, $C$4=2), O351, IF($C$3=2, O352, "  chyba")))</f>
        <v>0</v>
      </c>
      <c r="E350" s="94"/>
      <c r="F350" s="94">
        <f t="shared" ref="F350" si="320">IF(AND($C$3=1, $C$4=1), Q350, IF(AND($C$3=1, $C$4=2), Q351, IF($C$3=2, Q352, "  chyba")))</f>
        <v>15.18336</v>
      </c>
      <c r="G350" s="94"/>
      <c r="H350" s="94"/>
      <c r="I350" s="94">
        <f t="shared" ref="I350" si="321">IF(AND($C$3=1, $C$4=1), T350, IF(AND($C$3=1, $C$4=2), T351, IF($C$3=2, T352, "  chyba")))</f>
        <v>3949406</v>
      </c>
      <c r="J350" s="94">
        <f t="shared" ref="J350" si="322">IF(AND($C$3=1, $C$4=1), U350, IF(AND($C$3=1, $C$4=2), U351, IF($C$3=2, U352, "  chyba")))</f>
        <v>227545</v>
      </c>
      <c r="K350" s="20"/>
      <c r="L350" s="61" t="str">
        <f>Price!A350</f>
        <v>Čelní kování K, na vruty</v>
      </c>
      <c r="M350" s="15" t="str">
        <f>Price!B350</f>
        <v>ZF7K7002</v>
      </c>
      <c r="N350" s="15" t="str">
        <f>Price!C350</f>
        <v>BL</v>
      </c>
      <c r="O350" s="525">
        <f>Price!D350</f>
        <v>0</v>
      </c>
      <c r="P350" s="16"/>
      <c r="Q350" s="17">
        <f>Price!F350</f>
        <v>15.18336</v>
      </c>
      <c r="R350" s="318"/>
      <c r="S350" s="318"/>
      <c r="T350" s="12">
        <f>Price!G350</f>
        <v>3949406</v>
      </c>
      <c r="U350" s="252">
        <f>Price!H350</f>
        <v>227545</v>
      </c>
      <c r="V350" s="13"/>
      <c r="W350" s="13"/>
      <c r="X350" s="19"/>
      <c r="Y350" s="19"/>
    </row>
    <row r="351" spans="1:25" x14ac:dyDescent="0.35">
      <c r="A351" s="58"/>
      <c r="B351" s="161"/>
      <c r="C351" s="161"/>
      <c r="D351" s="529"/>
      <c r="E351" s="83"/>
      <c r="F351" s="65"/>
      <c r="G351" s="65"/>
      <c r="H351" s="65"/>
      <c r="I351" s="65"/>
      <c r="J351" s="65"/>
      <c r="K351" s="20"/>
      <c r="L351" s="61" t="str">
        <f>Price!A351</f>
        <v xml:space="preserve">Čelní kování K, EXPANDO </v>
      </c>
      <c r="M351" s="15" t="str">
        <f>Price!B351</f>
        <v>ZF7K70E2</v>
      </c>
      <c r="N351" s="15" t="str">
        <f>Price!C351</f>
        <v>BL</v>
      </c>
      <c r="O351" s="525">
        <f>Price!D351</f>
        <v>0</v>
      </c>
      <c r="P351" s="16"/>
      <c r="Q351" s="17">
        <f>Price!F351</f>
        <v>17.9316</v>
      </c>
      <c r="R351" s="318"/>
      <c r="S351" s="318"/>
      <c r="T351" s="12">
        <f>Price!G351</f>
        <v>4314617</v>
      </c>
      <c r="U351" s="252">
        <f>Price!H351</f>
        <v>227546</v>
      </c>
      <c r="V351" s="13"/>
      <c r="X351" s="19"/>
      <c r="Y351" s="19"/>
    </row>
    <row r="352" spans="1:25" s="762" customFormat="1" x14ac:dyDescent="0.35">
      <c r="A352" s="58"/>
      <c r="B352" s="161"/>
      <c r="C352" s="161"/>
      <c r="D352" s="529"/>
      <c r="E352" s="83"/>
      <c r="F352" s="65"/>
      <c r="G352" s="65"/>
      <c r="H352" s="65"/>
      <c r="I352" s="65"/>
      <c r="J352" s="65"/>
      <c r="K352" s="20"/>
      <c r="L352" s="61" t="str">
        <f>Price!A352</f>
        <v>Čelní kování K, EXPANDO T (tenké mat.)</v>
      </c>
      <c r="M352" s="15" t="str">
        <f>Price!B352</f>
        <v>ZF7K70T2</v>
      </c>
      <c r="N352" s="15" t="str">
        <f>Price!C352</f>
        <v>BL</v>
      </c>
      <c r="O352" s="525" t="str">
        <f>Price!D352</f>
        <v>!</v>
      </c>
      <c r="P352" s="16"/>
      <c r="Q352" s="17">
        <f>Price!F352</f>
        <v>131.97156000000001</v>
      </c>
      <c r="R352" s="318"/>
      <c r="S352" s="318"/>
      <c r="T352" s="12">
        <f>Price!G352</f>
        <v>4734090</v>
      </c>
      <c r="U352" s="252">
        <f>Price!H352</f>
        <v>347996</v>
      </c>
      <c r="V352" s="13"/>
      <c r="X352" s="19"/>
      <c r="Y352" s="19"/>
    </row>
    <row r="353" spans="1:25" ht="15" thickBot="1" x14ac:dyDescent="0.4">
      <c r="A353" s="94" t="str">
        <f>IF(AND($C$3=1, $C$4=1), L353, IF(AND($C$3=1, $C$4=2), L354, IF($C$3=2, L355, "  chyba")))</f>
        <v>Čelní kování C, na vruty</v>
      </c>
      <c r="B353" s="94" t="str">
        <f t="shared" ref="B353" si="323">IF(AND($C$3=1, $C$4=1), M353, IF(AND($C$3=1, $C$4=2), M354, IF($C$3=2, M355, "  chyba")))</f>
        <v>ZF7C7002</v>
      </c>
      <c r="C353" s="94" t="str">
        <f t="shared" ref="C353" si="324">IF(AND($C$3=1, $C$4=1), N353, IF(AND($C$3=1, $C$4=2), N354, IF($C$3=2, N355, "  chyba")))</f>
        <v>BL</v>
      </c>
      <c r="D353" s="94">
        <f t="shared" ref="D353" si="325">IF(AND($C$3=1, $C$4=1), O353, IF(AND($C$3=1, $C$4=2), O354, IF($C$3=2, O355, "  chyba")))</f>
        <v>0</v>
      </c>
      <c r="E353" s="94"/>
      <c r="F353" s="94">
        <f t="shared" ref="F353" si="326">IF(AND($C$3=1, $C$4=1), Q353, IF(AND($C$3=1, $C$4=2), Q354, IF($C$3=2, Q355, "  chyba")))</f>
        <v>18.390879999999999</v>
      </c>
      <c r="G353" s="94"/>
      <c r="H353" s="94"/>
      <c r="I353" s="94">
        <f t="shared" ref="I353" si="327">IF(AND($C$3=1, $C$4=1), T353, IF(AND($C$3=1, $C$4=2), T354, IF($C$3=2, T355, "  chyba")))</f>
        <v>8850350</v>
      </c>
      <c r="J353" s="94">
        <f t="shared" ref="J353" si="328">IF(AND($C$3=1, $C$4=1), U353, IF(AND($C$3=1, $C$4=2), U354, IF($C$3=2, U355, "  chyba")))</f>
        <v>227547</v>
      </c>
      <c r="K353" s="20"/>
      <c r="L353" s="61" t="str">
        <f>Price!A353</f>
        <v>Čelní kování C, na vruty</v>
      </c>
      <c r="M353" s="15" t="str">
        <f>Price!B353</f>
        <v>ZF7C7002</v>
      </c>
      <c r="N353" s="15" t="str">
        <f>Price!C353</f>
        <v>BL</v>
      </c>
      <c r="O353" s="525">
        <f>Price!D353</f>
        <v>0</v>
      </c>
      <c r="P353" s="16"/>
      <c r="Q353" s="17">
        <f>Price!F353</f>
        <v>18.390879999999999</v>
      </c>
      <c r="R353" s="318"/>
      <c r="S353" s="318"/>
      <c r="T353" s="12">
        <f>Price!G353</f>
        <v>8850350</v>
      </c>
      <c r="U353" s="252">
        <f>Price!H353</f>
        <v>227547</v>
      </c>
      <c r="V353" s="13"/>
      <c r="W353" s="13"/>
      <c r="X353" s="19"/>
      <c r="Y353" s="19"/>
    </row>
    <row r="354" spans="1:25" x14ac:dyDescent="0.35">
      <c r="A354" s="58"/>
      <c r="B354" s="161"/>
      <c r="C354" s="161"/>
      <c r="D354" s="529"/>
      <c r="E354" s="83"/>
      <c r="F354" s="65"/>
      <c r="G354" s="65"/>
      <c r="H354" s="65"/>
      <c r="I354" s="65"/>
      <c r="J354" s="65"/>
      <c r="K354" s="20"/>
      <c r="L354" s="61" t="str">
        <f>Price!A354</f>
        <v>Čelní kování C, EXPANDO</v>
      </c>
      <c r="M354" s="15" t="str">
        <f>Price!B354</f>
        <v>ZF7C70E2</v>
      </c>
      <c r="N354" s="15" t="str">
        <f>Price!C354</f>
        <v>BL</v>
      </c>
      <c r="O354" s="525">
        <f>Price!D354</f>
        <v>0</v>
      </c>
      <c r="P354" s="16"/>
      <c r="Q354" s="17">
        <f>Price!F354</f>
        <v>22.423169999999999</v>
      </c>
      <c r="R354" s="318"/>
      <c r="S354" s="318"/>
      <c r="T354" s="12">
        <f>Price!G354</f>
        <v>6997079</v>
      </c>
      <c r="U354" s="252">
        <f>Price!H354</f>
        <v>227548</v>
      </c>
      <c r="V354" s="13"/>
      <c r="W354" s="13"/>
      <c r="X354" s="19"/>
      <c r="Y354" s="19"/>
    </row>
    <row r="355" spans="1:25" x14ac:dyDescent="0.35">
      <c r="A355" s="58"/>
      <c r="B355" s="161"/>
      <c r="C355" s="161"/>
      <c r="D355" s="529"/>
      <c r="E355" s="83"/>
      <c r="F355" s="65"/>
      <c r="G355" s="65"/>
      <c r="H355" s="65"/>
      <c r="I355" s="65"/>
      <c r="J355" s="65"/>
      <c r="K355" s="62"/>
      <c r="L355" s="61" t="str">
        <f>Price!A355</f>
        <v>Čelní kování C, EXPANDO T (tenké mat.)</v>
      </c>
      <c r="M355" s="15" t="str">
        <f>Price!B355</f>
        <v>ZF7C70T2</v>
      </c>
      <c r="N355" s="15" t="str">
        <f>Price!C355</f>
        <v>BL</v>
      </c>
      <c r="O355" s="525">
        <f>Price!D355</f>
        <v>0</v>
      </c>
      <c r="P355" s="16"/>
      <c r="Q355" s="17">
        <f>Price!F355</f>
        <v>194.01103000000001</v>
      </c>
      <c r="R355" s="318"/>
      <c r="S355" s="318"/>
      <c r="T355" s="12">
        <f>Price!G355</f>
        <v>8848970</v>
      </c>
      <c r="U355" s="252">
        <f>Price!H355</f>
        <v>347997</v>
      </c>
      <c r="V355" s="13"/>
      <c r="W355" s="13"/>
      <c r="X355" s="19"/>
      <c r="Y355" s="19"/>
    </row>
    <row r="356" spans="1:25" x14ac:dyDescent="0.35">
      <c r="A356" s="79"/>
      <c r="B356" s="160"/>
      <c r="C356" s="160"/>
      <c r="D356" s="528"/>
      <c r="E356" s="83"/>
      <c r="F356" s="67"/>
      <c r="G356" s="67"/>
      <c r="H356" s="67"/>
      <c r="I356" s="67"/>
      <c r="J356" s="67"/>
      <c r="K356" s="20"/>
      <c r="L356" s="61">
        <f>Price!A356</f>
        <v>0</v>
      </c>
      <c r="M356" s="15">
        <f>Price!B356</f>
        <v>0</v>
      </c>
      <c r="N356" s="15">
        <f>Price!C356</f>
        <v>0</v>
      </c>
      <c r="O356" s="525">
        <f>Price!D356</f>
        <v>0</v>
      </c>
      <c r="P356" s="16"/>
      <c r="Q356" s="17">
        <f>Price!F356</f>
        <v>0</v>
      </c>
      <c r="R356" s="318"/>
      <c r="S356" s="318"/>
      <c r="T356" s="12">
        <f>Price!G356</f>
        <v>0</v>
      </c>
      <c r="U356" s="252">
        <f>Price!H356</f>
        <v>0</v>
      </c>
      <c r="V356" s="13"/>
      <c r="W356" s="13"/>
      <c r="X356" s="19"/>
      <c r="Y356" s="19"/>
    </row>
    <row r="357" spans="1:25" x14ac:dyDescent="0.35">
      <c r="A357" s="77"/>
      <c r="B357" s="160"/>
      <c r="C357" s="160"/>
      <c r="D357" s="528"/>
      <c r="E357" s="78"/>
      <c r="F357" s="65"/>
      <c r="G357" s="65"/>
      <c r="H357" s="65"/>
      <c r="I357" s="171"/>
      <c r="J357" s="171"/>
      <c r="K357" s="20"/>
      <c r="L357" s="61">
        <f>Price!A357</f>
        <v>0</v>
      </c>
      <c r="M357" s="15">
        <f>Price!B357</f>
        <v>0</v>
      </c>
      <c r="N357" s="15">
        <f>Price!C357</f>
        <v>0</v>
      </c>
      <c r="O357" s="525">
        <f>Price!D357</f>
        <v>0</v>
      </c>
      <c r="P357" s="16"/>
      <c r="Q357" s="17">
        <f>Price!F357</f>
        <v>0</v>
      </c>
      <c r="R357" s="318"/>
      <c r="S357" s="318"/>
      <c r="T357" s="12">
        <f>Price!G357</f>
        <v>0</v>
      </c>
      <c r="U357" s="252">
        <f>Price!H357</f>
        <v>0</v>
      </c>
      <c r="V357" s="13"/>
      <c r="W357" s="13"/>
      <c r="X357" s="19"/>
      <c r="Y357" s="19"/>
    </row>
    <row r="358" spans="1:25" x14ac:dyDescent="0.35">
      <c r="A358" s="319"/>
      <c r="B358" s="161"/>
      <c r="C358" s="161"/>
      <c r="D358" s="529"/>
      <c r="E358" s="83"/>
      <c r="F358" s="65"/>
      <c r="G358" s="65"/>
      <c r="H358" s="65"/>
      <c r="I358" s="170"/>
      <c r="J358" s="170"/>
      <c r="K358" s="20"/>
      <c r="L358" s="61">
        <f>Price!A358</f>
        <v>0</v>
      </c>
      <c r="M358" s="15">
        <f>Price!B358</f>
        <v>0</v>
      </c>
      <c r="N358" s="15">
        <f>Price!C358</f>
        <v>0</v>
      </c>
      <c r="O358" s="525">
        <f>Price!D358</f>
        <v>0</v>
      </c>
      <c r="P358" s="16"/>
      <c r="Q358" s="17">
        <f>Price!F358</f>
        <v>0</v>
      </c>
      <c r="R358" s="318"/>
      <c r="S358" s="318"/>
      <c r="T358" s="12">
        <f>Price!G358</f>
        <v>0</v>
      </c>
      <c r="U358" s="252">
        <f>Price!H358</f>
        <v>0</v>
      </c>
      <c r="V358" s="13"/>
      <c r="W358" s="13"/>
      <c r="X358" s="19"/>
      <c r="Y358" s="19"/>
    </row>
    <row r="359" spans="1:25" x14ac:dyDescent="0.35">
      <c r="A359" s="77"/>
      <c r="B359" s="160"/>
      <c r="C359" s="160"/>
      <c r="D359" s="528"/>
      <c r="E359" s="83"/>
      <c r="F359" s="65"/>
      <c r="G359" s="65"/>
      <c r="H359" s="65"/>
      <c r="I359" s="171"/>
      <c r="J359" s="171"/>
      <c r="K359" s="62"/>
      <c r="L359" s="61" t="str">
        <f>Price!A359</f>
        <v xml:space="preserve">   Vnitřní výsuvy</v>
      </c>
      <c r="M359" s="15">
        <f>Price!B359</f>
        <v>0</v>
      </c>
      <c r="N359" s="15">
        <f>Price!C359</f>
        <v>0</v>
      </c>
      <c r="O359" s="525">
        <f>Price!D359</f>
        <v>0</v>
      </c>
      <c r="P359" s="16"/>
      <c r="Q359" s="17">
        <f>Price!F359</f>
        <v>0</v>
      </c>
      <c r="R359" s="318"/>
      <c r="S359" s="318"/>
      <c r="T359" s="12">
        <f>Price!G359</f>
        <v>0</v>
      </c>
      <c r="U359" s="252">
        <f>Price!H359</f>
        <v>0</v>
      </c>
      <c r="V359" s="13"/>
      <c r="W359" s="13"/>
      <c r="X359" s="19"/>
      <c r="Y359" s="19"/>
    </row>
    <row r="360" spans="1:25" ht="15" thickBot="1" x14ac:dyDescent="0.4">
      <c r="A360" s="86" t="str">
        <f>IF($C$2=1,L360,IF($C$2=2,L361,IF($C$2=3,L362,IF($C$2=4,L363, IF($C$2=5, L364, "  chyba")))))</f>
        <v>Sada kování vnitřní zásuvky M, Orion šedá</v>
      </c>
      <c r="B360" s="87" t="str">
        <f>IF($C$2=1,M360,IF($C$2=2,M361,IF($C$2=3,M362,IF($C$2=4,M363, IF($C$2=5, M364, "  chyba")))))</f>
        <v>ZI7.0MS0</v>
      </c>
      <c r="C360" s="87" t="str">
        <f>IF($C$2=1,N360,IF($C$2=2,N361,IF($C$2=3,N362,IF($C$2=4,N363, IF($C$2=5, N364, "  chyba")))))</f>
        <v>OG-M</v>
      </c>
      <c r="D360" s="527">
        <f>IF($C$2=1,O360,IF($C$2=2,O361,IF($C$2=3,O362,IF($C$2=4,O363, IF($C$2=5, O364, "  chyba")))))</f>
        <v>0</v>
      </c>
      <c r="E360" s="88"/>
      <c r="F360" s="89">
        <f>IF($C$2=1,Q360,IF($C$2=2,Q361,IF($C$2=3,Q362,IF($C$2=4,Q363, IF($C$2=5, Q364, "  chyba")))))</f>
        <v>413.54563999999999</v>
      </c>
      <c r="G360" s="65"/>
      <c r="H360" s="65"/>
      <c r="I360" s="168">
        <f>IF($C$2=1,T360,IF($C$2=2,T361,IF($C$2=3,T362,IF($C$2=4,T363, IF($C$2=5, T364, "  chyba")))))</f>
        <v>5156741</v>
      </c>
      <c r="J360" s="168">
        <f>IF($C$2=1,U360,IF($C$2=2,U361,IF($C$2=3,U362,IF($C$2=4,U363, IF($C$2=5, U364, "  chyba")))))</f>
        <v>227571</v>
      </c>
      <c r="K360" s="20"/>
      <c r="L360" s="61" t="str">
        <f>Price!A360</f>
        <v>Sada kování vnitřní zásuvky M, Orion šedá</v>
      </c>
      <c r="M360" s="15" t="str">
        <f>Price!B360</f>
        <v>ZI7.0MS0</v>
      </c>
      <c r="N360" s="15" t="str">
        <f>Price!C360</f>
        <v>OG-M</v>
      </c>
      <c r="O360" s="525">
        <f>Price!D360</f>
        <v>0</v>
      </c>
      <c r="P360" s="16"/>
      <c r="Q360" s="17">
        <f>Price!F360</f>
        <v>413.54563999999999</v>
      </c>
      <c r="R360" s="318"/>
      <c r="S360" s="318"/>
      <c r="T360" s="12">
        <f>Price!G360</f>
        <v>5156741</v>
      </c>
      <c r="U360" s="252">
        <f>Price!H360</f>
        <v>227571</v>
      </c>
      <c r="V360" s="13"/>
      <c r="W360" s="13"/>
      <c r="X360" s="19"/>
      <c r="Y360" s="19"/>
    </row>
    <row r="361" spans="1:25" x14ac:dyDescent="0.35">
      <c r="A361" s="77"/>
      <c r="B361" s="160"/>
      <c r="C361" s="160"/>
      <c r="D361" s="528"/>
      <c r="E361" s="78"/>
      <c r="F361" s="65"/>
      <c r="G361" s="65"/>
      <c r="H361" s="65"/>
      <c r="I361" s="171"/>
      <c r="J361" s="171"/>
      <c r="K361" s="20"/>
      <c r="L361" s="61" t="str">
        <f>Price!A361</f>
        <v>Sada kování vnitřní zásuvky M, hedvábně bílá</v>
      </c>
      <c r="M361" s="15" t="str">
        <f>Price!B361</f>
        <v>ZI7.0MS0</v>
      </c>
      <c r="N361" s="15" t="str">
        <f>Price!C361</f>
        <v>SW-M</v>
      </c>
      <c r="O361" s="525">
        <f>Price!D361</f>
        <v>0</v>
      </c>
      <c r="P361" s="16"/>
      <c r="Q361" s="17">
        <f>Price!F361</f>
        <v>413.54563999999999</v>
      </c>
      <c r="R361" s="318"/>
      <c r="S361" s="318"/>
      <c r="T361" s="12">
        <f>Price!G361</f>
        <v>1777320</v>
      </c>
      <c r="U361" s="252">
        <f>Price!H361</f>
        <v>227570</v>
      </c>
      <c r="V361" s="13"/>
      <c r="W361" s="13"/>
      <c r="X361" s="19"/>
      <c r="Y361" s="19"/>
    </row>
    <row r="362" spans="1:25" x14ac:dyDescent="0.35">
      <c r="A362" s="77"/>
      <c r="B362" s="160"/>
      <c r="C362" s="160"/>
      <c r="D362" s="528"/>
      <c r="E362" s="83"/>
      <c r="F362" s="84"/>
      <c r="G362" s="84"/>
      <c r="H362" s="84"/>
      <c r="I362" s="171"/>
      <c r="J362" s="171"/>
      <c r="K362" s="62"/>
      <c r="L362" s="61" t="str">
        <f>Price!A362</f>
        <v>Sada kování vnitřní zásuvky M, Terra černá</v>
      </c>
      <c r="M362" s="15" t="str">
        <f>Price!B362</f>
        <v>ZI7.0MS0</v>
      </c>
      <c r="N362" s="15" t="str">
        <f>Price!C362</f>
        <v>TS-M</v>
      </c>
      <c r="O362" s="525">
        <f>Price!D362</f>
        <v>0</v>
      </c>
      <c r="P362" s="16"/>
      <c r="Q362" s="17">
        <f>Price!F362</f>
        <v>413.54563999999999</v>
      </c>
      <c r="R362" s="318"/>
      <c r="S362" s="318"/>
      <c r="T362" s="12">
        <f>Price!G362</f>
        <v>8239496</v>
      </c>
      <c r="U362" s="252">
        <f>Price!H362</f>
        <v>227572</v>
      </c>
      <c r="V362" s="13"/>
      <c r="W362" s="13"/>
      <c r="X362" s="19"/>
      <c r="Y362" s="19"/>
    </row>
    <row r="363" spans="1:25" x14ac:dyDescent="0.35">
      <c r="A363" s="77"/>
      <c r="B363" s="160"/>
      <c r="C363" s="160"/>
      <c r="D363" s="528"/>
      <c r="E363" s="83"/>
      <c r="F363" s="84"/>
      <c r="G363" s="84"/>
      <c r="H363" s="84"/>
      <c r="I363" s="171"/>
      <c r="J363" s="171"/>
      <c r="K363" s="62"/>
      <c r="L363" s="61" t="str">
        <f>Price!A363</f>
        <v>Sada kování vnitřní zásuvky M, Polar stříbrná</v>
      </c>
      <c r="M363" s="15" t="str">
        <f>Price!B363</f>
        <v>ZI7.0MS0</v>
      </c>
      <c r="N363" s="15" t="str">
        <f>Price!C363</f>
        <v>PS-M</v>
      </c>
      <c r="O363" s="525">
        <f>Price!D363</f>
        <v>0</v>
      </c>
      <c r="P363" s="16"/>
      <c r="Q363" s="17">
        <f>Price!F363</f>
        <v>413.54563999999999</v>
      </c>
      <c r="R363" s="318"/>
      <c r="S363" s="318"/>
      <c r="T363" s="12">
        <f>Price!G363</f>
        <v>7229983</v>
      </c>
      <c r="U363" s="252">
        <f>Price!H363</f>
        <v>314838</v>
      </c>
      <c r="V363" s="13"/>
      <c r="W363" s="13"/>
      <c r="X363" s="19"/>
      <c r="Y363" s="19"/>
    </row>
    <row r="364" spans="1:25" x14ac:dyDescent="0.35">
      <c r="A364" s="27"/>
      <c r="B364" s="27"/>
      <c r="C364" s="27"/>
      <c r="D364" s="532"/>
      <c r="E364" s="27"/>
      <c r="F364" s="27"/>
      <c r="G364" s="27"/>
      <c r="H364" s="27"/>
      <c r="I364" s="27"/>
      <c r="J364" s="27"/>
      <c r="K364" s="20"/>
      <c r="L364" s="61" t="str">
        <f>Price!A364</f>
        <v>Sada kování vnitřní zásuvky M, nerez</v>
      </c>
      <c r="M364" s="15" t="str">
        <f>Price!B364</f>
        <v>ZI7.0MI0</v>
      </c>
      <c r="N364" s="15" t="str">
        <f>Price!C364</f>
        <v>Inox</v>
      </c>
      <c r="O364" s="525" t="str">
        <f>Price!D364</f>
        <v>!</v>
      </c>
      <c r="P364" s="16"/>
      <c r="Q364" s="17">
        <f>Price!F364</f>
        <v>578.41043999999999</v>
      </c>
      <c r="R364" s="318"/>
      <c r="S364" s="318"/>
      <c r="T364" s="12">
        <f>Price!G364</f>
        <v>5016984</v>
      </c>
      <c r="U364" s="252">
        <f>Price!H364</f>
        <v>227573</v>
      </c>
      <c r="V364" s="13"/>
      <c r="W364" s="13"/>
      <c r="X364" s="19"/>
      <c r="Y364" s="19"/>
    </row>
    <row r="365" spans="1:25" x14ac:dyDescent="0.35">
      <c r="A365" s="79"/>
      <c r="B365" s="161"/>
      <c r="C365" s="161"/>
      <c r="D365" s="529"/>
      <c r="E365" s="78"/>
      <c r="F365" s="67"/>
      <c r="G365" s="67"/>
      <c r="H365" s="67"/>
      <c r="I365" s="170"/>
      <c r="J365" s="170"/>
      <c r="K365" s="20"/>
      <c r="L365" s="61">
        <f>Price!A365</f>
        <v>0</v>
      </c>
      <c r="M365" s="15">
        <f>Price!B365</f>
        <v>0</v>
      </c>
      <c r="N365" s="15">
        <f>Price!C365</f>
        <v>0</v>
      </c>
      <c r="O365" s="525">
        <f>Price!D365</f>
        <v>0</v>
      </c>
      <c r="P365" s="16"/>
      <c r="Q365" s="17">
        <f>Price!F365</f>
        <v>0</v>
      </c>
      <c r="R365" s="318"/>
      <c r="S365" s="318"/>
      <c r="T365" s="12">
        <f>Price!G365</f>
        <v>0</v>
      </c>
      <c r="U365" s="252">
        <f>Price!H365</f>
        <v>0</v>
      </c>
      <c r="V365" s="13"/>
      <c r="W365" s="13"/>
      <c r="X365" s="19"/>
      <c r="Y365" s="19"/>
    </row>
    <row r="366" spans="1:25" x14ac:dyDescent="0.35">
      <c r="A366" s="77"/>
      <c r="B366" s="160"/>
      <c r="C366" s="160"/>
      <c r="D366" s="528"/>
      <c r="E366" s="78"/>
      <c r="F366" s="65"/>
      <c r="G366" s="65"/>
      <c r="H366" s="65"/>
      <c r="I366" s="171"/>
      <c r="J366" s="171"/>
      <c r="K366" s="20"/>
      <c r="L366" s="61">
        <f>Price!A366</f>
        <v>0</v>
      </c>
      <c r="M366" s="15">
        <f>Price!B366</f>
        <v>0</v>
      </c>
      <c r="N366" s="15">
        <f>Price!C366</f>
        <v>0</v>
      </c>
      <c r="O366" s="525">
        <f>Price!D366</f>
        <v>0</v>
      </c>
      <c r="P366" s="16"/>
      <c r="Q366" s="17">
        <f>Price!F366</f>
        <v>0</v>
      </c>
      <c r="R366" s="318"/>
      <c r="S366" s="318"/>
      <c r="T366" s="12">
        <f>Price!G366</f>
        <v>0</v>
      </c>
      <c r="U366" s="252">
        <f>Price!H366</f>
        <v>0</v>
      </c>
      <c r="V366" s="13"/>
      <c r="W366" s="13"/>
      <c r="X366" s="19"/>
      <c r="Y366" s="19"/>
    </row>
    <row r="367" spans="1:25" x14ac:dyDescent="0.35">
      <c r="A367" s="79"/>
      <c r="B367" s="161"/>
      <c r="C367" s="161"/>
      <c r="D367" s="529"/>
      <c r="E367" s="78"/>
      <c r="F367" s="67"/>
      <c r="G367" s="67"/>
      <c r="H367" s="67"/>
      <c r="I367" s="170"/>
      <c r="J367" s="170"/>
      <c r="K367" s="20"/>
      <c r="L367" s="61">
        <f>Price!A367</f>
        <v>0</v>
      </c>
      <c r="M367" s="15">
        <f>Price!B367</f>
        <v>0</v>
      </c>
      <c r="N367" s="15">
        <f>Price!C367</f>
        <v>0</v>
      </c>
      <c r="O367" s="525">
        <f>Price!D367</f>
        <v>0</v>
      </c>
      <c r="P367" s="16"/>
      <c r="Q367" s="17">
        <f>Price!F367</f>
        <v>0</v>
      </c>
      <c r="R367" s="318"/>
      <c r="S367" s="318"/>
      <c r="T367" s="12">
        <f>Price!G367</f>
        <v>0</v>
      </c>
      <c r="U367" s="252">
        <f>Price!H367</f>
        <v>0</v>
      </c>
      <c r="V367" s="13"/>
      <c r="W367" s="13"/>
      <c r="X367" s="19"/>
      <c r="Y367" s="19"/>
    </row>
    <row r="368" spans="1:25" x14ac:dyDescent="0.35">
      <c r="A368" s="77"/>
      <c r="B368" s="160"/>
      <c r="C368" s="160"/>
      <c r="D368" s="528"/>
      <c r="E368" s="83"/>
      <c r="F368" s="84"/>
      <c r="G368" s="84"/>
      <c r="H368" s="84"/>
      <c r="I368" s="171"/>
      <c r="J368" s="171"/>
      <c r="K368" s="62"/>
      <c r="L368" s="61">
        <f>Price!A368</f>
        <v>0</v>
      </c>
      <c r="M368" s="15">
        <f>Price!B368</f>
        <v>0</v>
      </c>
      <c r="N368" s="15">
        <f>Price!C368</f>
        <v>0</v>
      </c>
      <c r="O368" s="525">
        <f>Price!D368</f>
        <v>0</v>
      </c>
      <c r="P368" s="16"/>
      <c r="Q368" s="17">
        <f>Price!F368</f>
        <v>0</v>
      </c>
      <c r="R368" s="318"/>
      <c r="S368" s="318"/>
      <c r="T368" s="12">
        <f>Price!G368</f>
        <v>0</v>
      </c>
      <c r="U368" s="252">
        <f>Price!H368</f>
        <v>0</v>
      </c>
      <c r="V368" s="13"/>
      <c r="W368" s="13"/>
      <c r="X368" s="19"/>
      <c r="Y368" s="19"/>
    </row>
    <row r="369" spans="1:25" ht="15" thickBot="1" x14ac:dyDescent="0.4">
      <c r="A369" s="86" t="str">
        <f>IF($C$2=1,L369,IF($C$2=2,L370,IF($C$2=3,L371,IF($C$2=4,L372, IF($C$2=5, L373, "  chyba")))))</f>
        <v>Sada kování vnitř.výs. C, se zás.prvkem, Orion šedá</v>
      </c>
      <c r="B369" s="87" t="str">
        <f>IF($C$2=1,M369,IF($C$2=2,M370,IF($C$2=3,M371,IF($C$2=4,M372, IF($C$2=5, M373, "  chyba")))))</f>
        <v>ZI7.2CS0</v>
      </c>
      <c r="C369" s="87" t="str">
        <f>IF($C$2=1,N369,IF($C$2=2,N370,IF($C$2=3,N371,IF($C$2=4,N372, IF($C$2=5, N373, "  chyba")))))</f>
        <v>OG-M</v>
      </c>
      <c r="D369" s="527">
        <f>IF($C$2=1,O369,IF($C$2=2,O370,IF($C$2=3,O371,IF($C$2=4,O372, IF($C$2=5, O373, "  chyba")))))</f>
        <v>0</v>
      </c>
      <c r="E369" s="88"/>
      <c r="F369" s="89">
        <f>IF($C$2=1,Q369,IF($C$2=2,Q370,IF($C$2=3,Q371,IF($C$2=4,Q372, IF($C$2=5, Q373, "  chyba")))))</f>
        <v>585.05386999999996</v>
      </c>
      <c r="G369" s="65"/>
      <c r="H369" s="65"/>
      <c r="I369" s="168">
        <f>IF($C$2=1,T369,IF($C$2=2,T370,IF($C$2=3,T371,IF($C$2=4,T372, IF($C$2=5, T373, "  chyba")))))</f>
        <v>4529568</v>
      </c>
      <c r="J369" s="168">
        <f>IF($C$2=1,U369,IF($C$2=2,U370,IF($C$2=3,U371,IF($C$2=4,U372, IF($C$2=5, U373, "  chyba")))))</f>
        <v>227575</v>
      </c>
      <c r="K369" s="20"/>
      <c r="L369" s="61" t="str">
        <f>Price!A369</f>
        <v>Sada kování vnitř.výs. C, se zás.prvkem, Orion šedá</v>
      </c>
      <c r="M369" s="15" t="str">
        <f>Price!B369</f>
        <v>ZI7.2CS0</v>
      </c>
      <c r="N369" s="15" t="str">
        <f>Price!C369</f>
        <v>OG-M</v>
      </c>
      <c r="O369" s="525">
        <f>Price!D369</f>
        <v>0</v>
      </c>
      <c r="P369" s="16"/>
      <c r="Q369" s="17">
        <f>Price!F369</f>
        <v>585.05386999999996</v>
      </c>
      <c r="R369" s="318"/>
      <c r="S369" s="318"/>
      <c r="T369" s="12">
        <f>Price!G369</f>
        <v>4529568</v>
      </c>
      <c r="U369" s="252">
        <f>Price!H369</f>
        <v>227575</v>
      </c>
      <c r="V369" s="13"/>
      <c r="W369" s="13"/>
      <c r="X369" s="19"/>
      <c r="Y369" s="19"/>
    </row>
    <row r="370" spans="1:25" x14ac:dyDescent="0.35">
      <c r="A370" s="77"/>
      <c r="B370" s="160"/>
      <c r="C370" s="160"/>
      <c r="D370" s="528"/>
      <c r="E370" s="78"/>
      <c r="F370" s="65"/>
      <c r="G370" s="65"/>
      <c r="H370" s="65"/>
      <c r="I370" s="171"/>
      <c r="J370" s="171"/>
      <c r="K370" s="20"/>
      <c r="L370" s="61" t="str">
        <f>Price!A370</f>
        <v>Sada kování vnitř.výs. C, se zás.prvkem, hedv.bílá</v>
      </c>
      <c r="M370" s="15" t="str">
        <f>Price!B370</f>
        <v>ZI7.2CS0</v>
      </c>
      <c r="N370" s="15" t="str">
        <f>Price!C370</f>
        <v>SW-M</v>
      </c>
      <c r="O370" s="525">
        <f>Price!D370</f>
        <v>0</v>
      </c>
      <c r="P370" s="16"/>
      <c r="Q370" s="17">
        <f>Price!F370</f>
        <v>585.05386999999996</v>
      </c>
      <c r="R370" s="318"/>
      <c r="S370" s="318"/>
      <c r="T370" s="12">
        <f>Price!G370</f>
        <v>4967635</v>
      </c>
      <c r="U370" s="252">
        <f>Price!H370</f>
        <v>227574</v>
      </c>
      <c r="V370" s="13"/>
      <c r="W370" s="13"/>
      <c r="X370" s="19"/>
      <c r="Y370" s="19"/>
    </row>
    <row r="371" spans="1:25" x14ac:dyDescent="0.35">
      <c r="A371" s="77"/>
      <c r="B371" s="161"/>
      <c r="C371" s="161"/>
      <c r="D371" s="529"/>
      <c r="E371" s="83"/>
      <c r="F371" s="84"/>
      <c r="G371" s="84"/>
      <c r="H371" s="84"/>
      <c r="I371" s="170"/>
      <c r="J371" s="170"/>
      <c r="K371" s="62"/>
      <c r="L371" s="61" t="str">
        <f>Price!A371</f>
        <v>Sada kování vnitř.výs. C, se zás.prvkem, Terra černá</v>
      </c>
      <c r="M371" s="15" t="str">
        <f>Price!B371</f>
        <v>ZI7.2CS0</v>
      </c>
      <c r="N371" s="15" t="str">
        <f>Price!C371</f>
        <v>TS-M</v>
      </c>
      <c r="O371" s="525">
        <f>Price!D371</f>
        <v>0</v>
      </c>
      <c r="P371" s="16"/>
      <c r="Q371" s="17">
        <f>Price!F371</f>
        <v>585.05386999999996</v>
      </c>
      <c r="R371" s="318"/>
      <c r="S371" s="318"/>
      <c r="T371" s="12">
        <f>Price!G371</f>
        <v>2910052</v>
      </c>
      <c r="U371" s="252">
        <f>Price!H371</f>
        <v>227576</v>
      </c>
      <c r="V371" s="13"/>
      <c r="W371" s="13"/>
      <c r="X371" s="19"/>
      <c r="Y371" s="19"/>
    </row>
    <row r="372" spans="1:25" x14ac:dyDescent="0.35">
      <c r="A372" s="77"/>
      <c r="B372" s="161"/>
      <c r="C372" s="161"/>
      <c r="D372" s="529"/>
      <c r="E372" s="83"/>
      <c r="F372" s="84"/>
      <c r="G372" s="84"/>
      <c r="H372" s="84"/>
      <c r="I372" s="170"/>
      <c r="J372" s="170"/>
      <c r="K372" s="62"/>
      <c r="L372" s="61" t="str">
        <f>Price!A372</f>
        <v>Sada kování vnitř.výs. C, se zás.prvkem, Polar stříbrná</v>
      </c>
      <c r="M372" s="15" t="str">
        <f>Price!B372</f>
        <v>ZI7.2CS0</v>
      </c>
      <c r="N372" s="15" t="str">
        <f>Price!C372</f>
        <v>PS-M</v>
      </c>
      <c r="O372" s="525">
        <f>Price!D372</f>
        <v>0</v>
      </c>
      <c r="P372" s="16"/>
      <c r="Q372" s="17">
        <f>Price!F372</f>
        <v>585.05386999999996</v>
      </c>
      <c r="R372" s="318"/>
      <c r="S372" s="318"/>
      <c r="T372" s="12">
        <f>Price!G372</f>
        <v>5349021</v>
      </c>
      <c r="U372" s="252">
        <f>Price!H372</f>
        <v>314839</v>
      </c>
      <c r="V372" s="13"/>
      <c r="W372" s="13"/>
      <c r="X372" s="19"/>
      <c r="Y372" s="19"/>
    </row>
    <row r="373" spans="1:25" x14ac:dyDescent="0.35">
      <c r="A373" s="77"/>
      <c r="B373" s="161"/>
      <c r="C373" s="161"/>
      <c r="D373" s="529"/>
      <c r="E373" s="83"/>
      <c r="F373" s="84"/>
      <c r="G373" s="84"/>
      <c r="H373" s="84"/>
      <c r="I373" s="170"/>
      <c r="J373" s="170"/>
      <c r="K373" s="63"/>
      <c r="L373" s="61" t="str">
        <f>Price!A373</f>
        <v>Sada kování vnitř.výs. C, se zás.prvkem, nerez</v>
      </c>
      <c r="M373" s="15" t="str">
        <f>Price!B373</f>
        <v>ZI7.2CI0</v>
      </c>
      <c r="N373" s="15" t="str">
        <f>Price!C373</f>
        <v>Inox</v>
      </c>
      <c r="O373" s="525" t="str">
        <f>Price!D373</f>
        <v>!</v>
      </c>
      <c r="P373" s="16"/>
      <c r="Q373" s="17">
        <f>Price!F373</f>
        <v>928.53114000000005</v>
      </c>
      <c r="R373" s="318"/>
      <c r="S373" s="318"/>
      <c r="T373" s="12">
        <f>Price!G373</f>
        <v>3793148</v>
      </c>
      <c r="U373" s="252">
        <f>Price!H373</f>
        <v>227577</v>
      </c>
      <c r="V373" s="13"/>
      <c r="W373" s="13"/>
      <c r="X373" s="19"/>
      <c r="Y373" s="19"/>
    </row>
    <row r="374" spans="1:25" ht="15" thickBot="1" x14ac:dyDescent="0.4">
      <c r="A374" s="86" t="str">
        <f>IF($C$2=1,L374,IF($C$2=2,L375,IF($C$2=3,L376,IF($C$2=4,L377, IF($C$2=5, L378, "  chyba")))))</f>
        <v>Sada kování vnitř.výs. C, s relingem, Orion šedá</v>
      </c>
      <c r="B374" s="87" t="str">
        <f>IF($C$2=1,M374,IF($C$2=2,M375,IF($C$2=3,M376,IF($C$2=4,M377, IF($C$2=5, M378, "  chyba")))))</f>
        <v>ZI7.3CS0</v>
      </c>
      <c r="C374" s="87" t="str">
        <f>IF($C$2=1,N374,IF($C$2=2,N375,IF($C$2=3,N376,IF($C$2=4,N377, IF($C$2=5, N378, "  chyba")))))</f>
        <v>OG-M</v>
      </c>
      <c r="D374" s="527">
        <f>IF($C$2=1,O374,IF($C$2=2,O375,IF($C$2=3,O376,IF($C$2=4,O377, IF($C$2=5, O378, "  chyba")))))</f>
        <v>0</v>
      </c>
      <c r="E374" s="88"/>
      <c r="F374" s="89">
        <f>IF($C$2=1,Q374,IF($C$2=2,Q375,IF($C$2=3,Q376,IF($C$2=4,Q377, IF($C$2=5, Q378, "  chyba")))))</f>
        <v>547.28877999999997</v>
      </c>
      <c r="G374" s="65"/>
      <c r="H374" s="65"/>
      <c r="I374" s="168">
        <f>IF($C$2=1,T374,IF($C$2=2,T375,IF($C$2=3,T376,IF($C$2=4,T377, IF($C$2=5, T378, "  chyba")))))</f>
        <v>3868654</v>
      </c>
      <c r="J374" s="168">
        <f>IF($C$2=1,U374,IF($C$2=2,U375,IF($C$2=3,U376,IF($C$2=4,U377, IF($C$2=5, U378, "  chyba")))))</f>
        <v>236547</v>
      </c>
      <c r="K374" s="63"/>
      <c r="L374" s="61" t="str">
        <f>Price!A374</f>
        <v>Sada kování vnitř.výs. C, s relingem, Orion šedá</v>
      </c>
      <c r="M374" s="15" t="str">
        <f>Price!B374</f>
        <v>ZI7.3CS0</v>
      </c>
      <c r="N374" s="15" t="str">
        <f>Price!C374</f>
        <v>OG-M</v>
      </c>
      <c r="O374" s="525">
        <f>Price!D374</f>
        <v>0</v>
      </c>
      <c r="P374" s="16"/>
      <c r="Q374" s="17">
        <f>Price!F374</f>
        <v>547.28877999999997</v>
      </c>
      <c r="R374" s="318"/>
      <c r="S374" s="318"/>
      <c r="T374" s="12">
        <f>Price!G374</f>
        <v>3868654</v>
      </c>
      <c r="U374" s="252">
        <f>Price!H374</f>
        <v>236547</v>
      </c>
      <c r="V374" s="13"/>
      <c r="X374" s="19"/>
      <c r="Y374" s="19"/>
    </row>
    <row r="375" spans="1:25" x14ac:dyDescent="0.35">
      <c r="A375" s="77"/>
      <c r="B375" s="161"/>
      <c r="C375" s="161"/>
      <c r="D375" s="529"/>
      <c r="E375" s="83"/>
      <c r="F375" s="84"/>
      <c r="G375" s="84"/>
      <c r="H375" s="84"/>
      <c r="I375" s="170"/>
      <c r="J375" s="170"/>
      <c r="K375" s="63"/>
      <c r="L375" s="61" t="str">
        <f>Price!A375</f>
        <v>Sada kování vnitř.výs. C, s relingem, hedv.bílá</v>
      </c>
      <c r="M375" s="15" t="str">
        <f>Price!B375</f>
        <v>ZI7.3CS0</v>
      </c>
      <c r="N375" s="15" t="str">
        <f>Price!C375</f>
        <v>SW-M</v>
      </c>
      <c r="O375" s="525">
        <f>Price!D375</f>
        <v>0</v>
      </c>
      <c r="P375" s="16"/>
      <c r="Q375" s="17">
        <f>Price!F375</f>
        <v>547.28877999999997</v>
      </c>
      <c r="R375" s="318"/>
      <c r="S375" s="318"/>
      <c r="T375" s="12">
        <f>Price!G375</f>
        <v>9103721</v>
      </c>
      <c r="U375" s="252">
        <f>Price!H375</f>
        <v>236546</v>
      </c>
      <c r="V375" s="13"/>
      <c r="W375" s="13"/>
      <c r="X375" s="19"/>
      <c r="Y375" s="19"/>
    </row>
    <row r="376" spans="1:25" x14ac:dyDescent="0.35">
      <c r="A376" s="77"/>
      <c r="B376" s="161"/>
      <c r="C376" s="161"/>
      <c r="D376" s="529"/>
      <c r="E376" s="83"/>
      <c r="F376" s="84"/>
      <c r="G376" s="84"/>
      <c r="H376" s="84"/>
      <c r="I376" s="170"/>
      <c r="J376" s="170"/>
      <c r="K376" s="63"/>
      <c r="L376" s="61" t="str">
        <f>Price!A376</f>
        <v>Sada kování vnitř.výs. C, s relingem, Terra černá</v>
      </c>
      <c r="M376" s="15" t="str">
        <f>Price!B376</f>
        <v>ZI7.3CS0</v>
      </c>
      <c r="N376" s="15" t="str">
        <f>Price!C376</f>
        <v>TS-M</v>
      </c>
      <c r="O376" s="525">
        <f>Price!D376</f>
        <v>0</v>
      </c>
      <c r="P376" s="16"/>
      <c r="Q376" s="17">
        <f>Price!F376</f>
        <v>547.28877999999997</v>
      </c>
      <c r="R376" s="318"/>
      <c r="S376" s="318"/>
      <c r="T376" s="12">
        <f>Price!G376</f>
        <v>6724341</v>
      </c>
      <c r="U376" s="252">
        <f>Price!H376</f>
        <v>236548</v>
      </c>
      <c r="V376" s="13"/>
      <c r="W376" s="13"/>
      <c r="X376" s="19"/>
      <c r="Y376" s="19"/>
    </row>
    <row r="377" spans="1:25" x14ac:dyDescent="0.35">
      <c r="A377" s="77"/>
      <c r="B377" s="161"/>
      <c r="C377" s="161"/>
      <c r="D377" s="529"/>
      <c r="E377" s="83"/>
      <c r="F377" s="84"/>
      <c r="G377" s="84"/>
      <c r="H377" s="84"/>
      <c r="I377" s="170"/>
      <c r="J377" s="170"/>
      <c r="K377" s="63"/>
      <c r="L377" s="61" t="str">
        <f>Price!A377</f>
        <v>Sada kování vnitř.výs. C, s relingem, Polar stříbrná</v>
      </c>
      <c r="M377" s="15" t="str">
        <f>Price!B377</f>
        <v>ZI7.3CS0</v>
      </c>
      <c r="N377" s="15" t="str">
        <f>Price!C377</f>
        <v>PS-M</v>
      </c>
      <c r="O377" s="525">
        <f>Price!D377</f>
        <v>0</v>
      </c>
      <c r="P377" s="16"/>
      <c r="Q377" s="17">
        <f>Price!F377</f>
        <v>547.28877999999997</v>
      </c>
      <c r="R377" s="318"/>
      <c r="S377" s="318"/>
      <c r="T377" s="12">
        <f>Price!G377</f>
        <v>4940600</v>
      </c>
      <c r="U377" s="252">
        <f>Price!H377</f>
        <v>314840</v>
      </c>
      <c r="V377" s="13"/>
      <c r="W377" s="13"/>
      <c r="X377" s="19"/>
      <c r="Y377" s="19"/>
    </row>
    <row r="378" spans="1:25" x14ac:dyDescent="0.35">
      <c r="A378" s="77"/>
      <c r="B378" s="161"/>
      <c r="C378" s="161"/>
      <c r="D378" s="529"/>
      <c r="E378" s="83"/>
      <c r="F378" s="84"/>
      <c r="G378" s="84"/>
      <c r="H378" s="84"/>
      <c r="I378" s="170"/>
      <c r="J378" s="170"/>
      <c r="K378" s="63"/>
      <c r="L378" s="61" t="str">
        <f>Price!A378</f>
        <v>Sada kování vnitř.výs. C, s relingem, nerez</v>
      </c>
      <c r="M378" s="15" t="str">
        <f>Price!B378</f>
        <v>ZI7.3CI0</v>
      </c>
      <c r="N378" s="15" t="str">
        <f>Price!C378</f>
        <v>Inox</v>
      </c>
      <c r="O378" s="525" t="str">
        <f>Price!D378</f>
        <v>!</v>
      </c>
      <c r="P378" s="16"/>
      <c r="Q378" s="17">
        <f>Price!F378</f>
        <v>890.76007000000004</v>
      </c>
      <c r="R378" s="318"/>
      <c r="S378" s="318"/>
      <c r="T378" s="12">
        <f>Price!G378</f>
        <v>9439314</v>
      </c>
      <c r="U378" s="252">
        <f>Price!H378</f>
        <v>236549</v>
      </c>
      <c r="V378" s="13"/>
      <c r="W378" s="13"/>
      <c r="X378" s="19"/>
      <c r="Y378" s="19"/>
    </row>
    <row r="379" spans="1:25" x14ac:dyDescent="0.35">
      <c r="A379" s="77"/>
      <c r="B379" s="161"/>
      <c r="C379" s="161"/>
      <c r="D379" s="529"/>
      <c r="E379" s="83"/>
      <c r="F379" s="84"/>
      <c r="G379" s="84"/>
      <c r="H379" s="84"/>
      <c r="I379" s="170"/>
      <c r="J379" s="170"/>
      <c r="K379" s="20"/>
      <c r="L379" s="61">
        <f>Price!A379</f>
        <v>0</v>
      </c>
      <c r="M379" s="15">
        <f>Price!B379</f>
        <v>0</v>
      </c>
      <c r="N379" s="15">
        <f>Price!C379</f>
        <v>0</v>
      </c>
      <c r="O379" s="525">
        <f>Price!D379</f>
        <v>0</v>
      </c>
      <c r="P379" s="16"/>
      <c r="Q379" s="17">
        <f>Price!F379</f>
        <v>0</v>
      </c>
      <c r="R379" s="318"/>
      <c r="S379" s="318"/>
      <c r="T379" s="12">
        <f>Price!G379</f>
        <v>0</v>
      </c>
      <c r="U379" s="252">
        <f>Price!H379</f>
        <v>0</v>
      </c>
      <c r="V379" s="13"/>
      <c r="W379" s="13"/>
      <c r="X379" s="19"/>
      <c r="Y379" s="19"/>
    </row>
    <row r="380" spans="1:25" x14ac:dyDescent="0.35">
      <c r="A380" s="77"/>
      <c r="B380" s="160"/>
      <c r="C380" s="160"/>
      <c r="D380" s="528"/>
      <c r="E380" s="78"/>
      <c r="F380" s="65"/>
      <c r="G380" s="65"/>
      <c r="H380" s="65"/>
      <c r="I380" s="171"/>
      <c r="J380" s="171"/>
      <c r="K380" s="20"/>
      <c r="L380" s="61">
        <f>Price!A380</f>
        <v>0</v>
      </c>
      <c r="M380" s="15">
        <f>Price!B380</f>
        <v>0</v>
      </c>
      <c r="N380" s="15">
        <f>Price!C380</f>
        <v>0</v>
      </c>
      <c r="O380" s="525">
        <f>Price!D380</f>
        <v>0</v>
      </c>
      <c r="P380" s="16"/>
      <c r="Q380" s="17">
        <f>Price!F380</f>
        <v>0</v>
      </c>
      <c r="R380" s="318"/>
      <c r="S380" s="318"/>
      <c r="T380" s="12">
        <f>Price!G380</f>
        <v>0</v>
      </c>
      <c r="U380" s="252">
        <f>Price!H380</f>
        <v>0</v>
      </c>
      <c r="V380" s="13"/>
      <c r="W380" s="13"/>
      <c r="X380" s="19"/>
      <c r="Y380" s="19"/>
    </row>
    <row r="381" spans="1:25" x14ac:dyDescent="0.35">
      <c r="A381" s="77"/>
      <c r="B381" s="161"/>
      <c r="C381" s="161"/>
      <c r="D381" s="529"/>
      <c r="E381" s="83"/>
      <c r="F381" s="65"/>
      <c r="G381" s="65"/>
      <c r="H381" s="65"/>
      <c r="I381" s="170"/>
      <c r="J381" s="170"/>
      <c r="K381" s="62"/>
      <c r="L381" s="61">
        <f>Price!A381</f>
        <v>0</v>
      </c>
      <c r="M381" s="15">
        <f>Price!B381</f>
        <v>0</v>
      </c>
      <c r="N381" s="15">
        <f>Price!C381</f>
        <v>0</v>
      </c>
      <c r="O381" s="525">
        <f>Price!D381</f>
        <v>0</v>
      </c>
      <c r="P381" s="16"/>
      <c r="Q381" s="17">
        <f>Price!F381</f>
        <v>0</v>
      </c>
      <c r="R381" s="318"/>
      <c r="S381" s="318"/>
      <c r="T381" s="12">
        <f>Price!G381</f>
        <v>0</v>
      </c>
      <c r="U381" s="252">
        <f>Price!H381</f>
        <v>0</v>
      </c>
      <c r="V381" s="13"/>
      <c r="W381" s="13"/>
      <c r="X381" s="19"/>
      <c r="Y381" s="19"/>
    </row>
    <row r="382" spans="1:25" x14ac:dyDescent="0.35">
      <c r="A382" s="77"/>
      <c r="B382" s="160"/>
      <c r="C382" s="160"/>
      <c r="D382" s="528"/>
      <c r="E382" s="83"/>
      <c r="F382" s="65"/>
      <c r="G382" s="65"/>
      <c r="H382" s="65"/>
      <c r="I382" s="171"/>
      <c r="J382" s="171"/>
      <c r="K382" s="62"/>
      <c r="L382" s="61">
        <f>Price!A382</f>
        <v>0</v>
      </c>
      <c r="M382" s="15">
        <f>Price!B382</f>
        <v>0</v>
      </c>
      <c r="N382" s="15">
        <f>Price!C382</f>
        <v>0</v>
      </c>
      <c r="O382" s="525">
        <f>Price!D382</f>
        <v>0</v>
      </c>
      <c r="P382" s="16"/>
      <c r="Q382" s="17">
        <f>Price!F382</f>
        <v>0</v>
      </c>
      <c r="R382" s="318"/>
      <c r="S382" s="318"/>
      <c r="T382" s="12">
        <f>Price!G382</f>
        <v>0</v>
      </c>
      <c r="U382" s="252">
        <f>Price!H382</f>
        <v>0</v>
      </c>
      <c r="V382" s="13"/>
      <c r="W382" s="13"/>
      <c r="X382" s="19"/>
      <c r="Y382" s="19"/>
    </row>
    <row r="383" spans="1:25" x14ac:dyDescent="0.35">
      <c r="A383" s="79"/>
      <c r="B383" s="161"/>
      <c r="C383" s="161"/>
      <c r="D383" s="529"/>
      <c r="E383" s="78"/>
      <c r="F383" s="67"/>
      <c r="G383" s="67"/>
      <c r="H383" s="67"/>
      <c r="I383" s="170"/>
      <c r="J383" s="170"/>
      <c r="K383" s="62"/>
      <c r="L383" s="61">
        <f>Price!A383</f>
        <v>0</v>
      </c>
      <c r="M383" s="15">
        <f>Price!B383</f>
        <v>0</v>
      </c>
      <c r="N383" s="15">
        <f>Price!C383</f>
        <v>0</v>
      </c>
      <c r="O383" s="525">
        <f>Price!D383</f>
        <v>0</v>
      </c>
      <c r="P383" s="16"/>
      <c r="Q383" s="17">
        <f>Price!F383</f>
        <v>0</v>
      </c>
      <c r="R383" s="318"/>
      <c r="S383" s="318"/>
      <c r="T383" s="12">
        <f>Price!G383</f>
        <v>0</v>
      </c>
      <c r="U383" s="252">
        <f>Price!H383</f>
        <v>0</v>
      </c>
      <c r="V383" s="13"/>
      <c r="W383" s="13"/>
      <c r="X383" s="19"/>
      <c r="Y383" s="19"/>
    </row>
    <row r="384" spans="1:25" ht="15" thickBot="1" x14ac:dyDescent="0.4">
      <c r="A384" s="86" t="str">
        <f>IF($C$2=1,L384,IF($C$2=2,L385,IF($C$2=3,L386,IF($C$2=4,L387, IF($C$2=5, L388, "  chyba")))))</f>
        <v>Přední díl vnitřní zásuvky, s drážkou, Orion šedá</v>
      </c>
      <c r="B384" s="87" t="str">
        <f>IF($C$2=1,M384,IF($C$2=2,M385,IF($C$2=3,M386,IF($C$2=4,M387, IF($C$2=5, M388, "  chyba")))))</f>
        <v>ZV7.1043MN1</v>
      </c>
      <c r="C384" s="87" t="str">
        <f>IF($C$2=1,N384,IF($C$2=2,N385,IF($C$2=3,N386,IF($C$2=4,N387, IF($C$2=5, N388, "  chyba")))))</f>
        <v>OG-M</v>
      </c>
      <c r="D384" s="527">
        <f>IF($C$2=1,O384,IF($C$2=2,O385,IF($C$2=3,O386,IF($C$2=4,O387, IF($C$2=5, O388, "  chyba")))))</f>
        <v>0</v>
      </c>
      <c r="E384" s="88"/>
      <c r="F384" s="89">
        <f>IF($C$2=1,Q384,IF($C$2=2,Q385,IF($C$2=3,Q386,IF($C$2=4,Q387, IF($C$2=5, Q388, "  chyba")))))</f>
        <v>446.52434</v>
      </c>
      <c r="G384" s="65"/>
      <c r="H384" s="65"/>
      <c r="I384" s="168">
        <f>IF($C$2=1,T384,IF($C$2=2,T385,IF($C$2=3,T386,IF($C$2=4,T387, IF($C$2=5, T388, "  chyba")))))</f>
        <v>1302013</v>
      </c>
      <c r="J384" s="168">
        <f>IF($C$2=1,U384,IF($C$2=2,U385,IF($C$2=3,U386,IF($C$2=4,U387, IF($C$2=5, U388, "  chyba")))))</f>
        <v>227583</v>
      </c>
      <c r="K384" s="62"/>
      <c r="L384" s="61" t="str">
        <f>Price!A384</f>
        <v>Přední díl vnitřní zásuvky, s drážkou, Orion šedá</v>
      </c>
      <c r="M384" s="15" t="str">
        <f>Price!B384</f>
        <v>ZV7.1043MN1</v>
      </c>
      <c r="N384" s="15" t="str">
        <f>Price!C384</f>
        <v>OG-M</v>
      </c>
      <c r="O384" s="525">
        <f>Price!D384</f>
        <v>0</v>
      </c>
      <c r="P384" s="16"/>
      <c r="Q384" s="17">
        <f>Price!F384</f>
        <v>446.52434</v>
      </c>
      <c r="R384" s="318"/>
      <c r="S384" s="318"/>
      <c r="T384" s="12">
        <f>Price!G384</f>
        <v>1302013</v>
      </c>
      <c r="U384" s="252">
        <f>Price!H384</f>
        <v>227583</v>
      </c>
      <c r="V384" s="13"/>
      <c r="W384" s="13"/>
      <c r="X384" s="19"/>
      <c r="Y384" s="19"/>
    </row>
    <row r="385" spans="1:25" x14ac:dyDescent="0.35">
      <c r="A385" s="77"/>
      <c r="B385" s="161"/>
      <c r="C385" s="161"/>
      <c r="D385" s="529"/>
      <c r="E385" s="83"/>
      <c r="F385" s="65"/>
      <c r="G385" s="65"/>
      <c r="H385" s="65"/>
      <c r="I385" s="170"/>
      <c r="J385" s="170"/>
      <c r="K385" s="20"/>
      <c r="L385" s="61" t="str">
        <f>Price!A385</f>
        <v>Přední díl vnitřní zásuvky, s drážkou, hedvábně bílá</v>
      </c>
      <c r="M385" s="15" t="str">
        <f>Price!B385</f>
        <v>ZV7.1043MN1</v>
      </c>
      <c r="N385" s="15" t="str">
        <f>Price!C385</f>
        <v>SW-M</v>
      </c>
      <c r="O385" s="525">
        <f>Price!D385</f>
        <v>0</v>
      </c>
      <c r="P385" s="16"/>
      <c r="Q385" s="17">
        <f>Price!F385</f>
        <v>446.52434</v>
      </c>
      <c r="R385" s="318"/>
      <c r="S385" s="318"/>
      <c r="T385" s="12">
        <f>Price!G385</f>
        <v>8063022</v>
      </c>
      <c r="U385" s="252">
        <f>Price!H385</f>
        <v>227582</v>
      </c>
      <c r="V385" s="13"/>
      <c r="W385" s="13"/>
      <c r="X385" s="19"/>
      <c r="Y385" s="19"/>
    </row>
    <row r="386" spans="1:25" x14ac:dyDescent="0.35">
      <c r="A386" s="77"/>
      <c r="B386" s="160"/>
      <c r="C386" s="160"/>
      <c r="D386" s="528"/>
      <c r="E386" s="83"/>
      <c r="F386" s="65"/>
      <c r="G386" s="65"/>
      <c r="H386" s="65"/>
      <c r="I386" s="171"/>
      <c r="J386" s="171"/>
      <c r="K386" s="63"/>
      <c r="L386" s="61" t="str">
        <f>Price!A386</f>
        <v>Přední díl vnitřní zásuvky, s drážkou, Terra černá</v>
      </c>
      <c r="M386" s="15" t="str">
        <f>Price!B386</f>
        <v>ZV7.1043MN1</v>
      </c>
      <c r="N386" s="15" t="str">
        <f>Price!C386</f>
        <v>TS-M</v>
      </c>
      <c r="O386" s="525">
        <f>Price!D386</f>
        <v>0</v>
      </c>
      <c r="P386" s="16"/>
      <c r="Q386" s="17">
        <f>Price!F386</f>
        <v>446.52434</v>
      </c>
      <c r="R386" s="318"/>
      <c r="S386" s="318"/>
      <c r="T386" s="12">
        <f>Price!G386</f>
        <v>8107316</v>
      </c>
      <c r="U386" s="252">
        <f>Price!H386</f>
        <v>227584</v>
      </c>
      <c r="V386" s="13"/>
      <c r="W386" s="13"/>
      <c r="X386" s="19"/>
      <c r="Y386" s="19"/>
    </row>
    <row r="387" spans="1:25" x14ac:dyDescent="0.35">
      <c r="A387" s="77"/>
      <c r="B387" s="160"/>
      <c r="C387" s="160"/>
      <c r="D387" s="528"/>
      <c r="E387" s="83"/>
      <c r="F387" s="65"/>
      <c r="G387" s="65"/>
      <c r="H387" s="65"/>
      <c r="I387" s="171"/>
      <c r="J387" s="171"/>
      <c r="K387" s="63"/>
      <c r="L387" s="61" t="str">
        <f>Price!A387</f>
        <v>Přední díl vnitřní zásuvky, s drážkou, Polar stříbrná</v>
      </c>
      <c r="M387" s="15" t="str">
        <f>Price!B387</f>
        <v>ZV7.1043MN1</v>
      </c>
      <c r="N387" s="15" t="str">
        <f>Price!C387</f>
        <v>PS-M</v>
      </c>
      <c r="O387" s="525">
        <f>Price!D387</f>
        <v>0</v>
      </c>
      <c r="P387" s="16"/>
      <c r="Q387" s="17">
        <f>Price!F387</f>
        <v>446.52434</v>
      </c>
      <c r="R387" s="318"/>
      <c r="S387" s="318"/>
      <c r="T387" s="12">
        <f>Price!G387</f>
        <v>1859092</v>
      </c>
      <c r="U387" s="252">
        <f>Price!H387</f>
        <v>314842</v>
      </c>
      <c r="V387" s="13"/>
      <c r="W387" s="13"/>
      <c r="X387" s="19"/>
      <c r="Y387" s="19"/>
    </row>
    <row r="388" spans="1:25" x14ac:dyDescent="0.35">
      <c r="A388" s="77"/>
      <c r="B388" s="161"/>
      <c r="C388" s="161"/>
      <c r="D388" s="529"/>
      <c r="E388" s="83"/>
      <c r="F388" s="65"/>
      <c r="G388" s="65"/>
      <c r="H388" s="65"/>
      <c r="I388" s="170"/>
      <c r="J388" s="170"/>
      <c r="K388" s="62"/>
      <c r="L388" s="61" t="str">
        <f>Price!A388</f>
        <v>Přední díl vnitřní zásuvky, s drážkou, matný nikl</v>
      </c>
      <c r="M388" s="15" t="str">
        <f>Price!B388</f>
        <v>ZV7.1043MN1</v>
      </c>
      <c r="N388" s="15" t="str">
        <f>Price!C388</f>
        <v>NI-M</v>
      </c>
      <c r="O388" s="525" t="str">
        <f>Price!D388</f>
        <v>!</v>
      </c>
      <c r="P388" s="16"/>
      <c r="Q388" s="17">
        <f>Price!F388</f>
        <v>934.24872000000005</v>
      </c>
      <c r="R388" s="318"/>
      <c r="S388" s="318"/>
      <c r="T388" s="12">
        <f>Price!G388</f>
        <v>6242793</v>
      </c>
      <c r="U388" s="252">
        <f>Price!H388</f>
        <v>227585</v>
      </c>
      <c r="V388" s="13"/>
      <c r="W388" s="13"/>
      <c r="X388" s="19"/>
      <c r="Y388" s="19"/>
    </row>
    <row r="389" spans="1:25" ht="15" thickBot="1" x14ac:dyDescent="0.4">
      <c r="A389" s="86" t="str">
        <f>IF($C$2=1,L389,IF($C$2=2,L390,IF($C$2=3,L391,IF($C$2=4,L392, IF($C$2=5, L393, "  chyba")))))</f>
        <v>Přední díl vnitřní zásuvky, bez drážky, Orion šedá</v>
      </c>
      <c r="B389" s="87" t="str">
        <f>IF($C$2=1,M389,IF($C$2=2,M390,IF($C$2=3,M391,IF($C$2=4,M392, IF($C$2=5, M393, "  chyba")))))</f>
        <v>ZV7.1043C01</v>
      </c>
      <c r="C389" s="87" t="str">
        <f>IF($C$2=1,N389,IF($C$2=2,N390,IF($C$2=3,N391,IF($C$2=4,N392, IF($C$2=5, N393, "  chyba")))))</f>
        <v>OG-M</v>
      </c>
      <c r="D389" s="527">
        <f>IF($C$2=1,O389,IF($C$2=2,O390,IF($C$2=3,O391,IF($C$2=4,O392, IF($C$2=5, O393, "  chyba")))))</f>
        <v>0</v>
      </c>
      <c r="E389" s="88"/>
      <c r="F389" s="89">
        <f>IF($C$2=1,Q389,IF($C$2=2,Q390,IF($C$2=3,Q391,IF($C$2=4,Q392, IF($C$2=5, Q393, "  chyba")))))</f>
        <v>467.12466999999998</v>
      </c>
      <c r="G389" s="65"/>
      <c r="H389" s="65"/>
      <c r="I389" s="168">
        <f>IF($C$2=1,T389,IF($C$2=2,T390,IF($C$2=3,T391,IF($C$2=4,T392, IF($C$2=5, T393, "  chyba")))))</f>
        <v>5897587</v>
      </c>
      <c r="J389" s="168">
        <f>IF($C$2=1,U389,IF($C$2=2,U390,IF($C$2=3,U391,IF($C$2=4,U392, IF($C$2=5, U393, "  chyba")))))</f>
        <v>227579</v>
      </c>
      <c r="K389" s="62"/>
      <c r="L389" s="61" t="str">
        <f>Price!A389</f>
        <v>Přední díl vnitřní zásuvky, bez drážky, Orion šedá</v>
      </c>
      <c r="M389" s="15" t="str">
        <f>Price!B389</f>
        <v>ZV7.1043C01</v>
      </c>
      <c r="N389" s="15" t="str">
        <f>Price!C389</f>
        <v>OG-M</v>
      </c>
      <c r="O389" s="525">
        <f>Price!D389</f>
        <v>0</v>
      </c>
      <c r="P389" s="16"/>
      <c r="Q389" s="17">
        <f>Price!F389</f>
        <v>467.12466999999998</v>
      </c>
      <c r="R389" s="318"/>
      <c r="S389" s="318"/>
      <c r="T389" s="12">
        <f>Price!G389</f>
        <v>5897587</v>
      </c>
      <c r="U389" s="252">
        <f>Price!H389</f>
        <v>227579</v>
      </c>
      <c r="V389" s="13"/>
      <c r="W389" s="13"/>
      <c r="X389" s="19"/>
      <c r="Y389" s="19"/>
    </row>
    <row r="390" spans="1:25" x14ac:dyDescent="0.35">
      <c r="A390" s="77"/>
      <c r="B390" s="160"/>
      <c r="C390" s="160"/>
      <c r="D390" s="528"/>
      <c r="E390" s="78"/>
      <c r="F390" s="65"/>
      <c r="G390" s="65"/>
      <c r="H390" s="65"/>
      <c r="I390" s="171"/>
      <c r="J390" s="171"/>
      <c r="K390" s="62"/>
      <c r="L390" s="61" t="str">
        <f>Price!A390</f>
        <v>Přední díl vnitřní zásuvky, bez drážky, hedvábně bílá</v>
      </c>
      <c r="M390" s="15" t="str">
        <f>Price!B390</f>
        <v>ZV7.1043C01</v>
      </c>
      <c r="N390" s="15" t="str">
        <f>Price!C390</f>
        <v>SW-M</v>
      </c>
      <c r="O390" s="525">
        <f>Price!D390</f>
        <v>0</v>
      </c>
      <c r="P390" s="16"/>
      <c r="Q390" s="17">
        <f>Price!F390</f>
        <v>467.12466999999998</v>
      </c>
      <c r="R390" s="318"/>
      <c r="S390" s="318"/>
      <c r="T390" s="12">
        <f>Price!G390</f>
        <v>7731476</v>
      </c>
      <c r="U390" s="252">
        <f>Price!H390</f>
        <v>227578</v>
      </c>
      <c r="V390" s="13"/>
      <c r="W390" s="13"/>
      <c r="X390" s="19"/>
      <c r="Y390" s="19"/>
    </row>
    <row r="391" spans="1:25" x14ac:dyDescent="0.35">
      <c r="A391" s="77"/>
      <c r="B391" s="160"/>
      <c r="C391" s="160"/>
      <c r="D391" s="528"/>
      <c r="E391" s="78"/>
      <c r="F391" s="65"/>
      <c r="G391" s="65"/>
      <c r="H391" s="65"/>
      <c r="I391" s="171"/>
      <c r="J391" s="171"/>
      <c r="K391" s="62"/>
      <c r="L391" s="61" t="str">
        <f>Price!A391</f>
        <v>Přední díl vnitřní zásuvky, bez drážky, Terra černá</v>
      </c>
      <c r="M391" s="15" t="str">
        <f>Price!B391</f>
        <v>ZV7.1043C01</v>
      </c>
      <c r="N391" s="15" t="str">
        <f>Price!C391</f>
        <v>TS-M</v>
      </c>
      <c r="O391" s="525">
        <f>Price!D391</f>
        <v>0</v>
      </c>
      <c r="P391" s="16"/>
      <c r="Q391" s="17">
        <f>Price!F391</f>
        <v>467.12466999999998</v>
      </c>
      <c r="R391" s="318"/>
      <c r="S391" s="318"/>
      <c r="T391" s="12">
        <f>Price!G391</f>
        <v>9425225</v>
      </c>
      <c r="U391" s="252">
        <f>Price!H391</f>
        <v>227580</v>
      </c>
      <c r="V391" s="13"/>
      <c r="W391" s="13"/>
      <c r="X391" s="19"/>
      <c r="Y391" s="19"/>
    </row>
    <row r="392" spans="1:25" x14ac:dyDescent="0.35">
      <c r="A392" s="77"/>
      <c r="B392" s="160"/>
      <c r="C392" s="160"/>
      <c r="D392" s="528"/>
      <c r="E392" s="78"/>
      <c r="F392" s="65"/>
      <c r="G392" s="65"/>
      <c r="H392" s="65"/>
      <c r="I392" s="171"/>
      <c r="J392" s="171"/>
      <c r="K392" s="62"/>
      <c r="L392" s="61" t="str">
        <f>Price!A392</f>
        <v>Přední díl vnitřní zásuvky, bez drážky, Polar stříbrná</v>
      </c>
      <c r="M392" s="15" t="str">
        <f>Price!B392</f>
        <v>ZV7.1043C01</v>
      </c>
      <c r="N392" s="15" t="str">
        <f>Price!C392</f>
        <v>PS-M</v>
      </c>
      <c r="O392" s="525">
        <f>Price!D392</f>
        <v>0</v>
      </c>
      <c r="P392" s="16"/>
      <c r="Q392" s="17">
        <f>Price!F392</f>
        <v>467.12466999999998</v>
      </c>
      <c r="R392" s="318"/>
      <c r="S392" s="318"/>
      <c r="T392" s="12">
        <f>Price!G392</f>
        <v>7513424</v>
      </c>
      <c r="U392" s="252">
        <f>Price!H392</f>
        <v>314841</v>
      </c>
      <c r="V392" s="13"/>
      <c r="W392" s="13"/>
      <c r="X392" s="19"/>
      <c r="Y392" s="19"/>
    </row>
    <row r="393" spans="1:25" x14ac:dyDescent="0.35">
      <c r="A393" s="77"/>
      <c r="B393" s="160"/>
      <c r="C393" s="160"/>
      <c r="D393" s="528"/>
      <c r="E393" s="78"/>
      <c r="F393" s="65"/>
      <c r="G393" s="65"/>
      <c r="H393" s="65"/>
      <c r="I393" s="171"/>
      <c r="J393" s="171"/>
      <c r="K393" s="62"/>
      <c r="L393" s="61" t="str">
        <f>Price!A393</f>
        <v>Přední díl vnitřní zásuvky, bez drážky, matný nikl</v>
      </c>
      <c r="M393" s="15" t="str">
        <f>Price!B393</f>
        <v>ZV7.1043C01</v>
      </c>
      <c r="N393" s="15" t="str">
        <f>Price!C393</f>
        <v>NI-M</v>
      </c>
      <c r="O393" s="525" t="str">
        <f>Price!D393</f>
        <v>!</v>
      </c>
      <c r="P393" s="16"/>
      <c r="Q393" s="17">
        <f>Price!F393</f>
        <v>1119.7258099999999</v>
      </c>
      <c r="R393" s="318"/>
      <c r="S393" s="318"/>
      <c r="T393" s="12">
        <f>Price!G393</f>
        <v>8937075</v>
      </c>
      <c r="U393" s="252">
        <f>Price!H393</f>
        <v>227581</v>
      </c>
      <c r="V393" s="13"/>
      <c r="W393" s="13"/>
      <c r="X393" s="19"/>
      <c r="Y393" s="19"/>
    </row>
    <row r="394" spans="1:25" x14ac:dyDescent="0.35">
      <c r="A394" s="77"/>
      <c r="B394" s="160"/>
      <c r="C394" s="160"/>
      <c r="D394" s="528"/>
      <c r="E394" s="78"/>
      <c r="F394" s="65"/>
      <c r="G394" s="65"/>
      <c r="H394" s="65"/>
      <c r="I394" s="171"/>
      <c r="J394" s="171"/>
      <c r="K394" s="62"/>
      <c r="L394" s="61">
        <f>Price!A394</f>
        <v>0</v>
      </c>
      <c r="M394" s="15">
        <f>Price!B394</f>
        <v>0</v>
      </c>
      <c r="N394" s="15">
        <f>Price!C394</f>
        <v>0</v>
      </c>
      <c r="O394" s="525">
        <f>Price!D394</f>
        <v>0</v>
      </c>
      <c r="P394" s="16"/>
      <c r="Q394" s="17">
        <f>Price!F394</f>
        <v>0</v>
      </c>
      <c r="R394" s="318"/>
      <c r="S394" s="318"/>
      <c r="T394" s="12">
        <f>Price!G394</f>
        <v>0</v>
      </c>
      <c r="U394" s="252">
        <f>Price!H394</f>
        <v>0</v>
      </c>
      <c r="V394" s="13"/>
      <c r="W394" s="13"/>
      <c r="X394" s="19"/>
      <c r="Y394" s="19"/>
    </row>
    <row r="395" spans="1:25" x14ac:dyDescent="0.35">
      <c r="A395" s="77"/>
      <c r="B395" s="160"/>
      <c r="C395" s="160"/>
      <c r="D395" s="528"/>
      <c r="E395" s="78"/>
      <c r="F395" s="65"/>
      <c r="G395" s="65"/>
      <c r="H395" s="65"/>
      <c r="I395" s="171"/>
      <c r="J395" s="171"/>
      <c r="K395" s="62"/>
      <c r="L395" s="61">
        <f>Price!A395</f>
        <v>0</v>
      </c>
      <c r="M395" s="15">
        <f>Price!B395</f>
        <v>0</v>
      </c>
      <c r="N395" s="15">
        <f>Price!C395</f>
        <v>0</v>
      </c>
      <c r="O395" s="525">
        <f>Price!D395</f>
        <v>0</v>
      </c>
      <c r="P395" s="16"/>
      <c r="Q395" s="17">
        <f>Price!F395</f>
        <v>0</v>
      </c>
      <c r="R395" s="318"/>
      <c r="S395" s="318"/>
      <c r="T395" s="12">
        <f>Price!G395</f>
        <v>0</v>
      </c>
      <c r="U395" s="252">
        <f>Price!H395</f>
        <v>0</v>
      </c>
      <c r="V395" s="13"/>
      <c r="W395" s="13"/>
      <c r="X395" s="19"/>
      <c r="Y395" s="19"/>
    </row>
    <row r="396" spans="1:25" x14ac:dyDescent="0.35">
      <c r="A396" s="77"/>
      <c r="B396" s="160"/>
      <c r="C396" s="160"/>
      <c r="D396" s="528"/>
      <c r="E396" s="78"/>
      <c r="F396" s="65"/>
      <c r="G396" s="65"/>
      <c r="H396" s="65"/>
      <c r="I396" s="171"/>
      <c r="J396" s="171"/>
      <c r="K396" s="62"/>
      <c r="L396" s="61">
        <f>Price!A396</f>
        <v>0</v>
      </c>
      <c r="M396" s="15">
        <f>Price!B396</f>
        <v>0</v>
      </c>
      <c r="N396" s="15">
        <f>Price!C396</f>
        <v>0</v>
      </c>
      <c r="O396" s="525">
        <f>Price!D396</f>
        <v>0</v>
      </c>
      <c r="P396" s="16"/>
      <c r="Q396" s="17">
        <f>Price!F396</f>
        <v>0</v>
      </c>
      <c r="R396" s="318"/>
      <c r="S396" s="318"/>
      <c r="T396" s="12">
        <f>Price!G396</f>
        <v>0</v>
      </c>
      <c r="U396" s="252">
        <f>Price!H396</f>
        <v>0</v>
      </c>
      <c r="V396" s="13"/>
      <c r="W396" s="13"/>
      <c r="X396" s="19"/>
      <c r="Y396" s="19"/>
    </row>
    <row r="397" spans="1:25" x14ac:dyDescent="0.35">
      <c r="A397" s="77" t="s">
        <v>1263</v>
      </c>
      <c r="B397" s="160"/>
      <c r="C397" s="160"/>
      <c r="D397" s="528"/>
      <c r="E397" s="78"/>
      <c r="F397" s="65"/>
      <c r="G397" s="65"/>
      <c r="H397" s="65"/>
      <c r="I397" s="171"/>
      <c r="J397" s="171"/>
      <c r="K397" s="62"/>
      <c r="L397" s="61">
        <f>Price!A397</f>
        <v>0</v>
      </c>
      <c r="M397" s="15">
        <f>Price!B397</f>
        <v>0</v>
      </c>
      <c r="N397" s="15">
        <f>Price!C397</f>
        <v>0</v>
      </c>
      <c r="O397" s="525">
        <f>Price!D397</f>
        <v>0</v>
      </c>
      <c r="P397" s="16"/>
      <c r="Q397" s="17">
        <f>Price!F397</f>
        <v>0</v>
      </c>
      <c r="R397" s="318"/>
      <c r="S397" s="318"/>
      <c r="T397" s="12">
        <f>Price!G397</f>
        <v>0</v>
      </c>
      <c r="U397" s="252">
        <f>Price!H397</f>
        <v>0</v>
      </c>
      <c r="V397" s="13"/>
      <c r="W397" s="13"/>
      <c r="X397" s="19"/>
      <c r="Y397" s="19"/>
    </row>
    <row r="398" spans="1:25" ht="15" thickBot="1" x14ac:dyDescent="0.4">
      <c r="A398" s="754" t="str">
        <f>IF($C$2=1, L398, IF($C$2=2, L399, IF(OR($C$2=3, $C$2=5), L400, IF($C$2=4, L401, "  chyba"))))</f>
        <v>Unašeč pro vnirřní zásuvku M, Orion šedá</v>
      </c>
      <c r="B398" s="754" t="str">
        <f t="shared" ref="B398:J398" si="329">IF($C$2=1, M398, IF($C$2=2, M399, IF(OR($C$2=3, $C$2=5), M400, IF($C$2=4, M401, "  chyba"))))</f>
        <v>ZI7.0M07</v>
      </c>
      <c r="C398" s="754" t="str">
        <f t="shared" si="329"/>
        <v>OG-M</v>
      </c>
      <c r="D398" s="755">
        <f t="shared" si="329"/>
        <v>0</v>
      </c>
      <c r="E398" s="754">
        <f t="shared" si="329"/>
        <v>0</v>
      </c>
      <c r="F398" s="756">
        <f t="shared" si="329"/>
        <v>172.86022</v>
      </c>
      <c r="G398" s="754"/>
      <c r="H398" s="754"/>
      <c r="I398" s="755">
        <f t="shared" si="329"/>
        <v>5209105</v>
      </c>
      <c r="J398" s="755">
        <f t="shared" si="329"/>
        <v>227604</v>
      </c>
      <c r="K398" s="62"/>
      <c r="L398" s="61" t="str">
        <f>Price!A398</f>
        <v>Unašeč pro vnirřní zásuvku M, Orion šedá</v>
      </c>
      <c r="M398" s="15" t="str">
        <f>Price!B398</f>
        <v>ZI7.0M07</v>
      </c>
      <c r="N398" s="15" t="str">
        <f>Price!C398</f>
        <v>OG-M</v>
      </c>
      <c r="O398" s="525">
        <f>Price!D398</f>
        <v>0</v>
      </c>
      <c r="P398" s="16"/>
      <c r="Q398" s="17">
        <f>Price!F398</f>
        <v>172.86022</v>
      </c>
      <c r="R398" s="318"/>
      <c r="S398" s="318"/>
      <c r="T398" s="12">
        <f>Price!G398</f>
        <v>5209105</v>
      </c>
      <c r="U398" s="252">
        <f>Price!H398</f>
        <v>227604</v>
      </c>
      <c r="V398" s="13"/>
      <c r="W398" s="13"/>
      <c r="X398" s="19"/>
      <c r="Y398" s="19"/>
    </row>
    <row r="399" spans="1:25" x14ac:dyDescent="0.35">
      <c r="A399" s="77"/>
      <c r="B399" s="161"/>
      <c r="C399" s="161"/>
      <c r="D399" s="529"/>
      <c r="E399" s="83"/>
      <c r="F399" s="84"/>
      <c r="G399" s="84"/>
      <c r="H399" s="84"/>
      <c r="I399" s="170"/>
      <c r="J399" s="170"/>
      <c r="K399" s="62"/>
      <c r="L399" s="61" t="str">
        <f>Price!A399</f>
        <v>Unašeč pro vnirřní zásuvku M, hedvábně bílá</v>
      </c>
      <c r="M399" s="15" t="str">
        <f>Price!B399</f>
        <v>ZI7.0M07</v>
      </c>
      <c r="N399" s="15" t="str">
        <f>Price!C399</f>
        <v>SW-M</v>
      </c>
      <c r="O399" s="525">
        <f>Price!D399</f>
        <v>0</v>
      </c>
      <c r="P399" s="16"/>
      <c r="Q399" s="17">
        <f>Price!F399</f>
        <v>172.86022</v>
      </c>
      <c r="R399" s="318"/>
      <c r="S399" s="318"/>
      <c r="T399" s="12">
        <f>Price!G399</f>
        <v>9717615</v>
      </c>
      <c r="U399" s="252">
        <f>Price!H399</f>
        <v>227603</v>
      </c>
      <c r="V399" s="13"/>
      <c r="W399" s="13"/>
      <c r="X399" s="19"/>
      <c r="Y399" s="19"/>
    </row>
    <row r="400" spans="1:25" x14ac:dyDescent="0.35">
      <c r="A400" s="77"/>
      <c r="B400" s="160"/>
      <c r="C400" s="160"/>
      <c r="D400" s="528"/>
      <c r="E400" s="83"/>
      <c r="F400" s="84"/>
      <c r="G400" s="84"/>
      <c r="H400" s="84"/>
      <c r="I400" s="171"/>
      <c r="J400" s="171"/>
      <c r="K400" s="63"/>
      <c r="L400" s="61" t="str">
        <f>Price!A400</f>
        <v>Unašeč pro vnirřní zásuvku M, Terra černá</v>
      </c>
      <c r="M400" s="15" t="str">
        <f>Price!B400</f>
        <v>ZI7.0M07</v>
      </c>
      <c r="N400" s="15" t="str">
        <f>Price!C400</f>
        <v>TS-M</v>
      </c>
      <c r="O400" s="525" t="str">
        <f>Price!D400</f>
        <v>!</v>
      </c>
      <c r="P400" s="16"/>
      <c r="Q400" s="17">
        <f>Price!F400</f>
        <v>172.86022</v>
      </c>
      <c r="R400" s="318"/>
      <c r="S400" s="318"/>
      <c r="T400" s="12">
        <f>Price!G400</f>
        <v>7228931</v>
      </c>
      <c r="U400" s="252">
        <f>Price!H400</f>
        <v>227605</v>
      </c>
      <c r="V400" s="13"/>
      <c r="W400" s="13"/>
      <c r="X400" s="19"/>
      <c r="Y400" s="19"/>
    </row>
    <row r="401" spans="1:25" x14ac:dyDescent="0.35">
      <c r="A401" s="77"/>
      <c r="B401" s="160"/>
      <c r="C401" s="160"/>
      <c r="D401" s="528"/>
      <c r="E401" s="83"/>
      <c r="F401" s="84"/>
      <c r="G401" s="84"/>
      <c r="H401" s="84"/>
      <c r="I401" s="171"/>
      <c r="J401" s="171"/>
      <c r="K401" s="63"/>
      <c r="L401" s="61" t="str">
        <f>Price!A401</f>
        <v>Unašeč pro vnirřní zásuvku M, Polar stříbrná</v>
      </c>
      <c r="M401" s="15" t="str">
        <f>Price!B401</f>
        <v>ZI7.0M07</v>
      </c>
      <c r="N401" s="15" t="str">
        <f>Price!C401</f>
        <v>PM/G</v>
      </c>
      <c r="O401" s="525" t="str">
        <f>Price!D401</f>
        <v>!</v>
      </c>
      <c r="P401" s="16"/>
      <c r="Q401" s="17">
        <f>Price!F401</f>
        <v>172.86022</v>
      </c>
      <c r="R401" s="318"/>
      <c r="S401" s="318"/>
      <c r="T401" s="12">
        <f>Price!G401</f>
        <v>3227450</v>
      </c>
      <c r="U401" s="252">
        <f>Price!H401</f>
        <v>314843</v>
      </c>
      <c r="V401" s="13"/>
      <c r="W401" s="13"/>
      <c r="X401" s="19"/>
      <c r="Y401" s="19"/>
    </row>
    <row r="402" spans="1:25" x14ac:dyDescent="0.35">
      <c r="A402" s="77"/>
      <c r="B402" s="160"/>
      <c r="C402" s="160"/>
      <c r="D402" s="528"/>
      <c r="E402" s="78"/>
      <c r="F402" s="65"/>
      <c r="G402" s="65"/>
      <c r="H402" s="65"/>
      <c r="I402" s="171"/>
      <c r="J402" s="171"/>
      <c r="K402" s="63"/>
      <c r="L402" s="61">
        <f>Price!A402</f>
        <v>0</v>
      </c>
      <c r="M402" s="15">
        <f>Price!B402</f>
        <v>0</v>
      </c>
      <c r="N402" s="15">
        <f>Price!C402</f>
        <v>0</v>
      </c>
      <c r="O402" s="525">
        <f>Price!D402</f>
        <v>0</v>
      </c>
      <c r="P402" s="16"/>
      <c r="Q402" s="17">
        <f>Price!F402</f>
        <v>0</v>
      </c>
      <c r="R402" s="318"/>
      <c r="S402" s="318"/>
      <c r="T402" s="12">
        <f>Price!G402</f>
        <v>0</v>
      </c>
      <c r="U402" s="252">
        <f>Price!H402</f>
        <v>0</v>
      </c>
      <c r="V402" s="13"/>
      <c r="W402" s="13"/>
      <c r="Y402" s="19"/>
    </row>
    <row r="403" spans="1:25" x14ac:dyDescent="0.35">
      <c r="A403" s="90" t="str">
        <f t="shared" ref="A403:D406" si="330">L403</f>
        <v>Přední zásuvný prvek vysoký, sklo, KB 450mm</v>
      </c>
      <c r="B403" s="91" t="str">
        <f t="shared" si="330"/>
        <v>ZE7W332G</v>
      </c>
      <c r="C403" s="91" t="str">
        <f t="shared" si="330"/>
        <v>KLA</v>
      </c>
      <c r="D403" s="91">
        <f t="shared" si="330"/>
        <v>0</v>
      </c>
      <c r="E403" s="92">
        <f>P403</f>
        <v>0</v>
      </c>
      <c r="F403" s="17">
        <f>Q403*(100-$F$6)/100</f>
        <v>389.35672</v>
      </c>
      <c r="G403" s="65"/>
      <c r="H403" s="65"/>
      <c r="I403" s="169">
        <f t="shared" ref="I403:J406" si="331">T403</f>
        <v>6831132</v>
      </c>
      <c r="J403" s="169">
        <f t="shared" si="331"/>
        <v>227587</v>
      </c>
      <c r="K403" s="63"/>
      <c r="L403" s="61" t="str">
        <f>Price!A403</f>
        <v>Přední zásuvný prvek vysoký, sklo, KB 450mm</v>
      </c>
      <c r="M403" s="15" t="str">
        <f>Price!B403</f>
        <v>ZE7W332G</v>
      </c>
      <c r="N403" s="15" t="str">
        <f>Price!C403</f>
        <v>KLA</v>
      </c>
      <c r="O403" s="525">
        <f>Price!D403</f>
        <v>0</v>
      </c>
      <c r="P403" s="16"/>
      <c r="Q403" s="17">
        <f>Price!F403</f>
        <v>389.35672</v>
      </c>
      <c r="R403" s="318"/>
      <c r="S403" s="318"/>
      <c r="T403" s="12">
        <f>Price!G403</f>
        <v>6831132</v>
      </c>
      <c r="U403" s="252">
        <f>Price!H403</f>
        <v>227587</v>
      </c>
      <c r="V403" s="13"/>
      <c r="W403" s="13"/>
      <c r="X403" s="19"/>
      <c r="Y403" s="19"/>
    </row>
    <row r="404" spans="1:25" x14ac:dyDescent="0.35">
      <c r="A404" s="90" t="str">
        <f t="shared" si="330"/>
        <v>Přední zásuvný prvek vysoký, sklo, KB 600mm</v>
      </c>
      <c r="B404" s="91" t="str">
        <f t="shared" si="330"/>
        <v>ZE7W482G</v>
      </c>
      <c r="C404" s="91" t="str">
        <f t="shared" si="330"/>
        <v>KLA</v>
      </c>
      <c r="D404" s="91">
        <f t="shared" si="330"/>
        <v>0</v>
      </c>
      <c r="E404" s="92">
        <f>P404</f>
        <v>0</v>
      </c>
      <c r="F404" s="17">
        <f>Q404*(100-$F$6)/100</f>
        <v>442.47012999999998</v>
      </c>
      <c r="G404" s="65"/>
      <c r="H404" s="65"/>
      <c r="I404" s="169">
        <f t="shared" si="331"/>
        <v>4562065</v>
      </c>
      <c r="J404" s="169">
        <f t="shared" si="331"/>
        <v>227588</v>
      </c>
      <c r="K404" s="69"/>
      <c r="L404" s="61" t="str">
        <f>Price!A404</f>
        <v>Přední zásuvný prvek vysoký, sklo, KB 600mm</v>
      </c>
      <c r="M404" s="15" t="str">
        <f>Price!B404</f>
        <v>ZE7W482G</v>
      </c>
      <c r="N404" s="15" t="str">
        <f>Price!C404</f>
        <v>KLA</v>
      </c>
      <c r="O404" s="525">
        <f>Price!D404</f>
        <v>0</v>
      </c>
      <c r="P404" s="16"/>
      <c r="Q404" s="17">
        <f>Price!F404</f>
        <v>442.47012999999998</v>
      </c>
      <c r="R404" s="318"/>
      <c r="S404" s="318"/>
      <c r="T404" s="12">
        <f>Price!G404</f>
        <v>4562065</v>
      </c>
      <c r="U404" s="252">
        <f>Price!H404</f>
        <v>227588</v>
      </c>
      <c r="V404" s="13"/>
      <c r="W404" s="13"/>
      <c r="X404" s="19"/>
      <c r="Y404" s="19"/>
    </row>
    <row r="405" spans="1:25" x14ac:dyDescent="0.35">
      <c r="A405" s="90" t="str">
        <f t="shared" si="330"/>
        <v>Přední zásuvný prvek vysoký, sklo, KB 900mm</v>
      </c>
      <c r="B405" s="91" t="str">
        <f t="shared" si="330"/>
        <v>ZE7W782G</v>
      </c>
      <c r="C405" s="91" t="str">
        <f t="shared" si="330"/>
        <v>KLA</v>
      </c>
      <c r="D405" s="91" t="str">
        <f t="shared" si="330"/>
        <v>!</v>
      </c>
      <c r="E405" s="92">
        <f>P405</f>
        <v>0</v>
      </c>
      <c r="F405" s="17">
        <f>Q405*(100-$F$6)/100</f>
        <v>737.45001999999988</v>
      </c>
      <c r="G405" s="65"/>
      <c r="H405" s="65"/>
      <c r="I405" s="169">
        <f t="shared" si="331"/>
        <v>8741762</v>
      </c>
      <c r="J405" s="169">
        <f t="shared" si="331"/>
        <v>227589</v>
      </c>
      <c r="K405" s="69"/>
      <c r="L405" s="61" t="str">
        <f>Price!A405</f>
        <v>Přední zásuvný prvek vysoký, sklo, KB 900mm</v>
      </c>
      <c r="M405" s="15" t="str">
        <f>Price!B405</f>
        <v>ZE7W782G</v>
      </c>
      <c r="N405" s="15" t="str">
        <f>Price!C405</f>
        <v>KLA</v>
      </c>
      <c r="O405" s="525" t="str">
        <f>Price!D405</f>
        <v>!</v>
      </c>
      <c r="P405" s="16"/>
      <c r="Q405" s="17">
        <f>Price!F405</f>
        <v>737.45001999999999</v>
      </c>
      <c r="R405" s="318"/>
      <c r="S405" s="318"/>
      <c r="T405" s="12">
        <f>Price!G405</f>
        <v>8741762</v>
      </c>
      <c r="U405" s="252">
        <f>Price!H405</f>
        <v>227589</v>
      </c>
      <c r="V405" s="13"/>
      <c r="W405" s="13"/>
      <c r="X405" s="19"/>
      <c r="Y405" s="19"/>
    </row>
    <row r="406" spans="1:25" x14ac:dyDescent="0.35">
      <c r="A406" s="90" t="str">
        <f t="shared" si="330"/>
        <v>Přední zásuvný prvek vysoký, sklo, KB 1200mm</v>
      </c>
      <c r="B406" s="91" t="str">
        <f t="shared" si="330"/>
        <v>ZE7W1082G</v>
      </c>
      <c r="C406" s="91" t="str">
        <f t="shared" si="330"/>
        <v>KLA</v>
      </c>
      <c r="D406" s="91" t="str">
        <f t="shared" si="330"/>
        <v>!</v>
      </c>
      <c r="E406" s="92">
        <f>P406</f>
        <v>0</v>
      </c>
      <c r="F406" s="17">
        <f>Q406*(100-$F$6)/100</f>
        <v>949.83555999999999</v>
      </c>
      <c r="G406" s="65"/>
      <c r="H406" s="65"/>
      <c r="I406" s="169">
        <f t="shared" si="331"/>
        <v>1039565</v>
      </c>
      <c r="J406" s="169">
        <f t="shared" si="331"/>
        <v>227590</v>
      </c>
      <c r="K406" s="69"/>
      <c r="L406" s="61" t="str">
        <f>Price!A406</f>
        <v>Přední zásuvný prvek vysoký, sklo, KB 1200mm</v>
      </c>
      <c r="M406" s="15" t="str">
        <f>Price!B406</f>
        <v>ZE7W1082G</v>
      </c>
      <c r="N406" s="15" t="str">
        <f>Price!C406</f>
        <v>KLA</v>
      </c>
      <c r="O406" s="525" t="str">
        <f>Price!D406</f>
        <v>!</v>
      </c>
      <c r="P406" s="16"/>
      <c r="Q406" s="17">
        <f>Price!F406</f>
        <v>949.83555999999999</v>
      </c>
      <c r="R406" s="318"/>
      <c r="S406" s="318"/>
      <c r="T406" s="12">
        <f>Price!G406</f>
        <v>1039565</v>
      </c>
      <c r="U406" s="252">
        <f>Price!H406</f>
        <v>227590</v>
      </c>
      <c r="V406" s="13"/>
      <c r="W406" s="13"/>
      <c r="X406" s="19"/>
      <c r="Y406" s="19"/>
    </row>
    <row r="407" spans="1:25" x14ac:dyDescent="0.35">
      <c r="A407" s="77"/>
      <c r="B407" s="160"/>
      <c r="C407" s="160"/>
      <c r="D407" s="528"/>
      <c r="E407" s="83"/>
      <c r="F407" s="84"/>
      <c r="G407" s="84"/>
      <c r="H407" s="84"/>
      <c r="I407" s="171"/>
      <c r="J407" s="171"/>
      <c r="K407" s="69"/>
      <c r="L407" s="61">
        <f>Price!A407</f>
        <v>0</v>
      </c>
      <c r="M407" s="15">
        <f>Price!B407</f>
        <v>0</v>
      </c>
      <c r="N407" s="15">
        <f>Price!C407</f>
        <v>0</v>
      </c>
      <c r="O407" s="525">
        <f>Price!D407</f>
        <v>0</v>
      </c>
      <c r="P407" s="16"/>
      <c r="Q407" s="17">
        <f>Price!F407</f>
        <v>0</v>
      </c>
      <c r="R407" s="318"/>
      <c r="S407" s="318"/>
      <c r="T407" s="12">
        <f>Price!G407</f>
        <v>0</v>
      </c>
      <c r="U407" s="252">
        <f>Price!H407</f>
        <v>0</v>
      </c>
      <c r="V407" s="13"/>
      <c r="W407" s="13"/>
      <c r="X407" s="19"/>
      <c r="Y407" s="19"/>
    </row>
    <row r="408" spans="1:25" x14ac:dyDescent="0.35">
      <c r="A408" s="77"/>
      <c r="B408" s="160"/>
      <c r="C408" s="160"/>
      <c r="D408" s="528"/>
      <c r="E408" s="78"/>
      <c r="F408" s="65"/>
      <c r="G408" s="65"/>
      <c r="H408" s="65"/>
      <c r="I408" s="171"/>
      <c r="J408" s="171"/>
      <c r="K408" s="69"/>
      <c r="L408" s="61">
        <f>Price!A408</f>
        <v>0</v>
      </c>
      <c r="M408" s="15">
        <f>Price!B408</f>
        <v>0</v>
      </c>
      <c r="N408" s="15">
        <f>Price!C408</f>
        <v>0</v>
      </c>
      <c r="O408" s="525">
        <f>Price!D408</f>
        <v>0</v>
      </c>
      <c r="P408" s="16"/>
      <c r="Q408" s="17">
        <f>Price!F408</f>
        <v>0</v>
      </c>
      <c r="R408" s="318"/>
      <c r="S408" s="318"/>
      <c r="T408" s="12">
        <f>Price!G408</f>
        <v>0</v>
      </c>
      <c r="U408" s="252">
        <f>Price!H408</f>
        <v>0</v>
      </c>
      <c r="V408" s="13"/>
      <c r="W408" s="13"/>
      <c r="X408" s="19"/>
      <c r="Y408" s="19"/>
    </row>
    <row r="409" spans="1:25" x14ac:dyDescent="0.35">
      <c r="A409" s="79"/>
      <c r="B409" s="161"/>
      <c r="C409" s="161"/>
      <c r="D409" s="529"/>
      <c r="E409" s="78"/>
      <c r="F409" s="67"/>
      <c r="G409" s="67"/>
      <c r="H409" s="67"/>
      <c r="I409" s="170"/>
      <c r="J409" s="170"/>
      <c r="K409" s="69"/>
      <c r="L409" s="61">
        <f>Price!A409</f>
        <v>0</v>
      </c>
      <c r="M409" s="15">
        <f>Price!B409</f>
        <v>0</v>
      </c>
      <c r="N409" s="15">
        <f>Price!C409</f>
        <v>0</v>
      </c>
      <c r="O409" s="525">
        <f>Price!D409</f>
        <v>0</v>
      </c>
      <c r="P409" s="16"/>
      <c r="Q409" s="17">
        <f>Price!F409</f>
        <v>0</v>
      </c>
      <c r="R409" s="318"/>
      <c r="S409" s="318"/>
      <c r="T409" s="12">
        <f>Price!G409</f>
        <v>0</v>
      </c>
      <c r="U409" s="252">
        <f>Price!H409</f>
        <v>0</v>
      </c>
      <c r="V409" s="13"/>
      <c r="W409" s="13"/>
      <c r="X409" s="19"/>
      <c r="Y409" s="19"/>
    </row>
    <row r="410" spans="1:25" x14ac:dyDescent="0.35">
      <c r="A410" s="77"/>
      <c r="B410" s="160"/>
      <c r="C410" s="160"/>
      <c r="D410" s="528"/>
      <c r="E410" s="83"/>
      <c r="F410" s="84"/>
      <c r="G410" s="84"/>
      <c r="H410" s="84"/>
      <c r="I410" s="171"/>
      <c r="J410" s="171"/>
      <c r="K410" s="69"/>
      <c r="L410" s="61">
        <f>Price!A410</f>
        <v>0</v>
      </c>
      <c r="M410" s="15">
        <f>Price!B410</f>
        <v>0</v>
      </c>
      <c r="N410" s="15">
        <f>Price!C410</f>
        <v>0</v>
      </c>
      <c r="O410" s="525">
        <f>Price!D410</f>
        <v>0</v>
      </c>
      <c r="P410" s="16"/>
      <c r="Q410" s="17">
        <f>Price!F410</f>
        <v>0</v>
      </c>
      <c r="R410" s="318"/>
      <c r="S410" s="318"/>
      <c r="T410" s="12">
        <f>Price!G410</f>
        <v>0</v>
      </c>
      <c r="U410" s="252">
        <f>Price!H410</f>
        <v>0</v>
      </c>
      <c r="V410" s="13"/>
      <c r="W410" s="13"/>
      <c r="X410" s="19"/>
      <c r="Y410" s="19"/>
    </row>
    <row r="411" spans="1:25" x14ac:dyDescent="0.35">
      <c r="A411" s="90" t="str">
        <f t="shared" ref="A411:D414" si="332">L411</f>
        <v>Přední zásuvný prvek nízký, sklo, KB 450mm</v>
      </c>
      <c r="B411" s="91" t="str">
        <f t="shared" si="332"/>
        <v>ZE7V332G</v>
      </c>
      <c r="C411" s="91" t="str">
        <f t="shared" si="332"/>
        <v>KLA</v>
      </c>
      <c r="D411" s="91">
        <f t="shared" si="332"/>
        <v>0</v>
      </c>
      <c r="E411" s="92">
        <f>P411</f>
        <v>0</v>
      </c>
      <c r="F411" s="17">
        <f>Q411*(100-$F$6)/100</f>
        <v>241.88919000000001</v>
      </c>
      <c r="G411" s="65"/>
      <c r="H411" s="65"/>
      <c r="I411" s="169">
        <f t="shared" ref="I411:J414" si="333">T411</f>
        <v>9062400</v>
      </c>
      <c r="J411" s="169">
        <f t="shared" si="333"/>
        <v>227591</v>
      </c>
      <c r="K411" s="69"/>
      <c r="L411" s="61" t="str">
        <f>Price!A411</f>
        <v>Přední zásuvný prvek nízký, sklo, KB 450mm</v>
      </c>
      <c r="M411" s="15" t="str">
        <f>Price!B411</f>
        <v>ZE7V332G</v>
      </c>
      <c r="N411" s="15" t="str">
        <f>Price!C411</f>
        <v>KLA</v>
      </c>
      <c r="O411" s="525">
        <f>Price!D411</f>
        <v>0</v>
      </c>
      <c r="P411" s="16"/>
      <c r="Q411" s="17">
        <f>Price!F411</f>
        <v>241.88919000000001</v>
      </c>
      <c r="R411" s="318"/>
      <c r="S411" s="318"/>
      <c r="T411" s="12">
        <f>Price!G411</f>
        <v>9062400</v>
      </c>
      <c r="U411" s="252">
        <f>Price!H411</f>
        <v>227591</v>
      </c>
      <c r="V411" s="13"/>
      <c r="W411" s="13"/>
      <c r="X411" s="19"/>
      <c r="Y411" s="19"/>
    </row>
    <row r="412" spans="1:25" x14ac:dyDescent="0.35">
      <c r="A412" s="90" t="str">
        <f t="shared" si="332"/>
        <v>Přední zásuvný prvek nízký, sklo, KB 600mm</v>
      </c>
      <c r="B412" s="91" t="str">
        <f t="shared" si="332"/>
        <v>ZE7V482G</v>
      </c>
      <c r="C412" s="91" t="str">
        <f t="shared" si="332"/>
        <v>KLA</v>
      </c>
      <c r="D412" s="91">
        <f t="shared" si="332"/>
        <v>0</v>
      </c>
      <c r="E412" s="92">
        <f>P412</f>
        <v>0</v>
      </c>
      <c r="F412" s="17">
        <f>Q412*(100-$F$6)/100</f>
        <v>277.28676999999999</v>
      </c>
      <c r="G412" s="65"/>
      <c r="H412" s="65"/>
      <c r="I412" s="169">
        <f t="shared" si="333"/>
        <v>7032427</v>
      </c>
      <c r="J412" s="169">
        <f t="shared" si="333"/>
        <v>227592</v>
      </c>
      <c r="K412" s="69"/>
      <c r="L412" s="61" t="str">
        <f>Price!A412</f>
        <v>Přední zásuvný prvek nízký, sklo, KB 600mm</v>
      </c>
      <c r="M412" s="15" t="str">
        <f>Price!B412</f>
        <v>ZE7V482G</v>
      </c>
      <c r="N412" s="15" t="str">
        <f>Price!C412</f>
        <v>KLA</v>
      </c>
      <c r="O412" s="525">
        <f>Price!D412</f>
        <v>0</v>
      </c>
      <c r="P412" s="16"/>
      <c r="Q412" s="17">
        <f>Price!F412</f>
        <v>277.28676999999999</v>
      </c>
      <c r="R412" s="318"/>
      <c r="S412" s="318"/>
      <c r="T412" s="12">
        <f>Price!G412</f>
        <v>7032427</v>
      </c>
      <c r="U412" s="252">
        <f>Price!H412</f>
        <v>227592</v>
      </c>
      <c r="V412" s="13"/>
      <c r="W412" s="13"/>
      <c r="X412" s="19"/>
      <c r="Y412" s="19"/>
    </row>
    <row r="413" spans="1:25" x14ac:dyDescent="0.35">
      <c r="A413" s="90" t="str">
        <f t="shared" si="332"/>
        <v>Přední zásuvný prvek nízký, sklo, KB 900mm</v>
      </c>
      <c r="B413" s="91" t="str">
        <f t="shared" si="332"/>
        <v>ZE7V782G</v>
      </c>
      <c r="C413" s="91" t="str">
        <f t="shared" si="332"/>
        <v>KLA</v>
      </c>
      <c r="D413" s="91" t="str">
        <f t="shared" si="332"/>
        <v>!</v>
      </c>
      <c r="E413" s="92">
        <f>P413</f>
        <v>0</v>
      </c>
      <c r="F413" s="17">
        <f>Q413*(100-$F$6)/100</f>
        <v>489.67230000000001</v>
      </c>
      <c r="G413" s="65"/>
      <c r="H413" s="65"/>
      <c r="I413" s="169">
        <f t="shared" si="333"/>
        <v>7696491</v>
      </c>
      <c r="J413" s="169">
        <f t="shared" si="333"/>
        <v>227593</v>
      </c>
      <c r="K413" s="69"/>
      <c r="L413" s="61" t="str">
        <f>Price!A413</f>
        <v>Přední zásuvný prvek nízký, sklo, KB 900mm</v>
      </c>
      <c r="M413" s="15" t="str">
        <f>Price!B413</f>
        <v>ZE7V782G</v>
      </c>
      <c r="N413" s="15" t="str">
        <f>Price!C413</f>
        <v>KLA</v>
      </c>
      <c r="O413" s="525" t="str">
        <f>Price!D413</f>
        <v>!</v>
      </c>
      <c r="P413" s="16"/>
      <c r="Q413" s="17">
        <f>Price!F413</f>
        <v>489.67230000000001</v>
      </c>
      <c r="R413" s="318"/>
      <c r="S413" s="318"/>
      <c r="T413" s="12">
        <f>Price!G413</f>
        <v>7696491</v>
      </c>
      <c r="U413" s="252">
        <f>Price!H413</f>
        <v>227593</v>
      </c>
      <c r="V413" s="13"/>
      <c r="W413" s="13"/>
      <c r="X413" s="19"/>
      <c r="Y413" s="19"/>
    </row>
    <row r="414" spans="1:25" x14ac:dyDescent="0.35">
      <c r="A414" s="90" t="str">
        <f t="shared" si="332"/>
        <v>Přední zásuvný prvek nízký, sklo, KB 1200mm</v>
      </c>
      <c r="B414" s="91" t="str">
        <f t="shared" si="332"/>
        <v>ZE7V1082G</v>
      </c>
      <c r="C414" s="91" t="str">
        <f t="shared" si="332"/>
        <v>KLA</v>
      </c>
      <c r="D414" s="91" t="str">
        <f t="shared" si="332"/>
        <v>!</v>
      </c>
      <c r="E414" s="92">
        <f>P414</f>
        <v>0</v>
      </c>
      <c r="F414" s="17">
        <f>Q414*(100-$F$6)/100</f>
        <v>631.26264000000003</v>
      </c>
      <c r="G414" s="65"/>
      <c r="H414" s="65"/>
      <c r="I414" s="169">
        <f t="shared" si="333"/>
        <v>7710993</v>
      </c>
      <c r="J414" s="169">
        <f t="shared" si="333"/>
        <v>227594</v>
      </c>
      <c r="K414" s="69"/>
      <c r="L414" s="61" t="str">
        <f>Price!A414</f>
        <v>Přední zásuvný prvek nízký, sklo, KB 1200mm</v>
      </c>
      <c r="M414" s="15" t="str">
        <f>Price!B414</f>
        <v>ZE7V1082G</v>
      </c>
      <c r="N414" s="15" t="str">
        <f>Price!C414</f>
        <v>KLA</v>
      </c>
      <c r="O414" s="525" t="str">
        <f>Price!D414</f>
        <v>!</v>
      </c>
      <c r="P414" s="16"/>
      <c r="Q414" s="17">
        <f>Price!F414</f>
        <v>631.26264000000003</v>
      </c>
      <c r="R414" s="318"/>
      <c r="S414" s="318"/>
      <c r="T414" s="12">
        <f>Price!G414</f>
        <v>7710993</v>
      </c>
      <c r="U414" s="252">
        <f>Price!H414</f>
        <v>227594</v>
      </c>
      <c r="V414" s="13"/>
      <c r="W414" s="13"/>
      <c r="X414" s="19"/>
      <c r="Y414" s="19"/>
    </row>
    <row r="415" spans="1:25" x14ac:dyDescent="0.35">
      <c r="A415" s="79"/>
      <c r="B415" s="160"/>
      <c r="C415" s="160"/>
      <c r="D415" s="528"/>
      <c r="E415" s="78"/>
      <c r="F415" s="67"/>
      <c r="G415" s="67"/>
      <c r="H415" s="67"/>
      <c r="I415" s="67"/>
      <c r="J415" s="67"/>
      <c r="K415" s="69"/>
      <c r="L415" s="61">
        <f>Price!A415</f>
        <v>0</v>
      </c>
      <c r="M415" s="15">
        <f>Price!B415</f>
        <v>0</v>
      </c>
      <c r="N415" s="15">
        <f>Price!C415</f>
        <v>0</v>
      </c>
      <c r="O415" s="525">
        <f>Price!D415</f>
        <v>0</v>
      </c>
      <c r="P415" s="16"/>
      <c r="Q415" s="17">
        <f>Price!F415</f>
        <v>0</v>
      </c>
      <c r="R415" s="318"/>
      <c r="S415" s="318"/>
      <c r="T415" s="12">
        <f>Price!G415</f>
        <v>0</v>
      </c>
      <c r="U415" s="252">
        <f>Price!H415</f>
        <v>0</v>
      </c>
      <c r="V415" s="13"/>
      <c r="W415" s="13"/>
      <c r="X415" s="19"/>
      <c r="Y415" s="19"/>
    </row>
    <row r="416" spans="1:25" x14ac:dyDescent="0.35">
      <c r="A416" s="58"/>
      <c r="B416" s="161"/>
      <c r="C416" s="161"/>
      <c r="D416" s="529"/>
      <c r="E416" s="83"/>
      <c r="F416" s="84"/>
      <c r="G416" s="84"/>
      <c r="H416" s="84"/>
      <c r="I416" s="84"/>
      <c r="J416" s="84"/>
      <c r="K416" s="69"/>
      <c r="L416" s="61">
        <f>Price!A416</f>
        <v>0</v>
      </c>
      <c r="M416" s="15">
        <f>Price!B416</f>
        <v>0</v>
      </c>
      <c r="N416" s="15">
        <f>Price!C416</f>
        <v>0</v>
      </c>
      <c r="O416" s="525">
        <f>Price!D416</f>
        <v>0</v>
      </c>
      <c r="P416" s="16"/>
      <c r="Q416" s="17">
        <f>Price!F416</f>
        <v>0</v>
      </c>
      <c r="R416" s="318"/>
      <c r="S416" s="318"/>
      <c r="T416" s="12">
        <f>Price!G416</f>
        <v>0</v>
      </c>
      <c r="U416" s="252">
        <f>Price!H416</f>
        <v>0</v>
      </c>
      <c r="V416" s="13"/>
      <c r="W416" s="13"/>
      <c r="X416" s="19"/>
      <c r="Y416" s="19"/>
    </row>
    <row r="417" spans="1:25" x14ac:dyDescent="0.35">
      <c r="A417" s="58"/>
      <c r="B417" s="160"/>
      <c r="C417" s="160"/>
      <c r="D417" s="528"/>
      <c r="E417" s="83"/>
      <c r="F417" s="84"/>
      <c r="G417" s="84"/>
      <c r="H417" s="84"/>
      <c r="I417" s="84"/>
      <c r="J417" s="84"/>
      <c r="K417" s="63"/>
      <c r="L417" s="61">
        <f>Price!A417</f>
        <v>0</v>
      </c>
      <c r="M417" s="15">
        <f>Price!B417</f>
        <v>0</v>
      </c>
      <c r="N417" s="15">
        <f>Price!C417</f>
        <v>0</v>
      </c>
      <c r="O417" s="525">
        <f>Price!D417</f>
        <v>0</v>
      </c>
      <c r="P417" s="16"/>
      <c r="Q417" s="17">
        <f>Price!F417</f>
        <v>0</v>
      </c>
      <c r="R417" s="318"/>
      <c r="S417" s="318"/>
      <c r="T417" s="12">
        <f>Price!G417</f>
        <v>0</v>
      </c>
      <c r="U417" s="252">
        <f>Price!H417</f>
        <v>0</v>
      </c>
      <c r="V417" s="13"/>
      <c r="W417" s="13"/>
      <c r="X417" s="19"/>
      <c r="Y417" s="19"/>
    </row>
    <row r="418" spans="1:25" x14ac:dyDescent="0.35">
      <c r="A418" s="77"/>
      <c r="B418" s="160"/>
      <c r="C418" s="160"/>
      <c r="D418" s="528"/>
      <c r="E418" s="78"/>
      <c r="F418" s="65"/>
      <c r="G418" s="65"/>
      <c r="H418" s="65"/>
      <c r="I418" s="171"/>
      <c r="J418" s="171"/>
      <c r="K418" s="69"/>
      <c r="L418" s="61">
        <f>Price!A418</f>
        <v>0</v>
      </c>
      <c r="M418" s="15">
        <f>Price!B418</f>
        <v>0</v>
      </c>
      <c r="N418" s="15">
        <f>Price!C418</f>
        <v>0</v>
      </c>
      <c r="O418" s="525">
        <f>Price!D418</f>
        <v>0</v>
      </c>
      <c r="P418" s="16"/>
      <c r="Q418" s="17">
        <f>Price!F418</f>
        <v>0</v>
      </c>
      <c r="R418" s="318"/>
      <c r="S418" s="318"/>
      <c r="T418" s="12">
        <f>Price!G418</f>
        <v>0</v>
      </c>
      <c r="U418" s="252">
        <f>Price!H418</f>
        <v>0</v>
      </c>
      <c r="V418" s="13"/>
      <c r="W418" s="13"/>
      <c r="X418" s="19"/>
      <c r="Y418" s="19"/>
    </row>
    <row r="419" spans="1:25" ht="15" thickBot="1" x14ac:dyDescent="0.4">
      <c r="A419" s="86" t="str">
        <f>IF($C$2=1,L419,IF($C$2=2,L420,IF($C$2=3,L421,IF($C$2=4,L422, IF($C$2=5, L423, "  chyba")))))</f>
        <v>Příčný reling vnitřní zásuvky, Orion šedá</v>
      </c>
      <c r="B419" s="87" t="str">
        <f>IF($C$2=1,M419,IF($C$2=2,M420,IF($C$2=3,M421,IF($C$2=4,M422, IF($C$2=5, M423, "  chyba")))))</f>
        <v>ZR7.1080U</v>
      </c>
      <c r="C419" s="87" t="str">
        <f>IF($C$2=1,N419,IF($C$2=2,N420,IF($C$2=3,N421,IF($C$2=4,N422, IF($C$2=5, N423, "  chyba")))))</f>
        <v>OG-M</v>
      </c>
      <c r="D419" s="527">
        <f>IF($C$2=1,O419,IF($C$2=2,O420,IF($C$2=3,O421,IF($C$2=4,O422, IF($C$2=5, O423, "  chyba")))))</f>
        <v>0</v>
      </c>
      <c r="E419" s="88"/>
      <c r="F419" s="89">
        <f>IF($C$2=1,Q419,IF($C$2=2,Q420,IF($C$2=3,Q421,IF($C$2=4,Q422, IF($C$2=5, Q423, "  chyba")))))</f>
        <v>199.21817999999999</v>
      </c>
      <c r="G419" s="65"/>
      <c r="H419" s="65"/>
      <c r="I419" s="168">
        <f>IF($C$2=1,T419,IF($C$2=2,T420,IF($C$2=3,T421,IF($C$2=4,T422, IF($C$2=5, T423, "  chyba")))))</f>
        <v>3359148</v>
      </c>
      <c r="J419" s="168">
        <f>IF($C$2=1,U419,IF($C$2=2,U420,IF($C$2=3,U421,IF($C$2=4,U422, IF($C$2=5, U423, "  chyba")))))</f>
        <v>227597</v>
      </c>
      <c r="K419" s="69"/>
      <c r="L419" s="61" t="str">
        <f>Price!A419</f>
        <v>Příčný reling vnitřní zásuvky, Orion šedá</v>
      </c>
      <c r="M419" s="15" t="str">
        <f>Price!B419</f>
        <v>ZR7.1080U</v>
      </c>
      <c r="N419" s="15" t="str">
        <f>Price!C419</f>
        <v>OG-M</v>
      </c>
      <c r="O419" s="525">
        <f>Price!D419</f>
        <v>0</v>
      </c>
      <c r="P419" s="16"/>
      <c r="Q419" s="17">
        <f>Price!F419</f>
        <v>199.21817999999999</v>
      </c>
      <c r="R419" s="318"/>
      <c r="S419" s="318"/>
      <c r="T419" s="12">
        <f>Price!G419</f>
        <v>3359148</v>
      </c>
      <c r="U419" s="252">
        <f>Price!H419</f>
        <v>227597</v>
      </c>
      <c r="V419" s="13"/>
      <c r="W419" s="13"/>
      <c r="X419" s="19"/>
      <c r="Y419" s="19"/>
    </row>
    <row r="420" spans="1:25" x14ac:dyDescent="0.35">
      <c r="A420" s="77"/>
      <c r="B420" s="160"/>
      <c r="C420" s="160"/>
      <c r="D420" s="528"/>
      <c r="E420" s="78"/>
      <c r="F420" s="65"/>
      <c r="G420" s="65"/>
      <c r="H420" s="65"/>
      <c r="I420" s="171"/>
      <c r="J420" s="171"/>
      <c r="K420" s="69"/>
      <c r="L420" s="61" t="str">
        <f>Price!A420</f>
        <v>Příčný reling vnitřní zásuvky, hedvábně bílá</v>
      </c>
      <c r="M420" s="15" t="str">
        <f>Price!B420</f>
        <v>ZR7.1080U</v>
      </c>
      <c r="N420" s="15" t="str">
        <f>Price!C420</f>
        <v>SW-M</v>
      </c>
      <c r="O420" s="525">
        <f>Price!D420</f>
        <v>0</v>
      </c>
      <c r="P420" s="16"/>
      <c r="Q420" s="17">
        <f>Price!F420</f>
        <v>199.21817999999999</v>
      </c>
      <c r="R420" s="318"/>
      <c r="S420" s="318"/>
      <c r="T420" s="12">
        <f>Price!G420</f>
        <v>7053143</v>
      </c>
      <c r="U420" s="252">
        <f>Price!H420</f>
        <v>227596</v>
      </c>
      <c r="V420" s="13"/>
      <c r="W420" s="13"/>
      <c r="X420" s="19"/>
      <c r="Y420" s="19"/>
    </row>
    <row r="421" spans="1:25" x14ac:dyDescent="0.35">
      <c r="A421" s="77"/>
      <c r="B421" s="160"/>
      <c r="C421" s="160"/>
      <c r="D421" s="528"/>
      <c r="E421" s="83"/>
      <c r="F421" s="67"/>
      <c r="G421" s="67"/>
      <c r="H421" s="67"/>
      <c r="I421" s="171"/>
      <c r="J421" s="171"/>
      <c r="K421" s="69"/>
      <c r="L421" s="61" t="str">
        <f>Price!A421</f>
        <v>Příčný reling vnitřní zásuvky, Terra černá</v>
      </c>
      <c r="M421" s="15" t="str">
        <f>Price!B421</f>
        <v>ZR7.1080U</v>
      </c>
      <c r="N421" s="15" t="str">
        <f>Price!C421</f>
        <v>TS-M</v>
      </c>
      <c r="O421" s="525">
        <f>Price!D421</f>
        <v>0</v>
      </c>
      <c r="P421" s="16"/>
      <c r="Q421" s="17">
        <f>Price!F421</f>
        <v>199.21817999999999</v>
      </c>
      <c r="R421" s="318"/>
      <c r="S421" s="318"/>
      <c r="T421" s="12">
        <f>Price!G421</f>
        <v>9751013</v>
      </c>
      <c r="U421" s="252">
        <f>Price!H421</f>
        <v>227598</v>
      </c>
      <c r="V421" s="13"/>
      <c r="W421" s="13"/>
      <c r="X421" s="19"/>
      <c r="Y421" s="19"/>
    </row>
    <row r="422" spans="1:25" x14ac:dyDescent="0.35">
      <c r="A422" s="77"/>
      <c r="B422" s="160"/>
      <c r="C422" s="160"/>
      <c r="D422" s="528"/>
      <c r="E422" s="83"/>
      <c r="F422" s="67"/>
      <c r="G422" s="67"/>
      <c r="H422" s="67"/>
      <c r="I422" s="171"/>
      <c r="J422" s="171"/>
      <c r="K422" s="69"/>
      <c r="L422" s="61" t="str">
        <f>Price!A422</f>
        <v>Příčný reling vnitřní zásuvky, Polar stříbrná</v>
      </c>
      <c r="M422" s="15" t="str">
        <f>Price!B422</f>
        <v>ZR7.1080U</v>
      </c>
      <c r="N422" s="15" t="str">
        <f>Price!C422</f>
        <v>PS-M</v>
      </c>
      <c r="O422" s="525">
        <f>Price!D422</f>
        <v>0</v>
      </c>
      <c r="P422" s="16"/>
      <c r="Q422" s="17">
        <f>Price!F422</f>
        <v>199.21817999999999</v>
      </c>
      <c r="R422" s="318"/>
      <c r="S422" s="318"/>
      <c r="T422" s="12">
        <f>Price!G422</f>
        <v>2134219</v>
      </c>
      <c r="U422" s="252">
        <f>Price!H422</f>
        <v>314844</v>
      </c>
      <c r="V422" s="13"/>
      <c r="W422" s="13"/>
      <c r="X422" s="19"/>
      <c r="Y422" s="19"/>
    </row>
    <row r="423" spans="1:25" x14ac:dyDescent="0.35">
      <c r="A423" s="77"/>
      <c r="B423" s="160"/>
      <c r="C423" s="160"/>
      <c r="D423" s="528"/>
      <c r="E423" s="78"/>
      <c r="F423" s="65"/>
      <c r="G423" s="65"/>
      <c r="H423" s="65"/>
      <c r="I423" s="171"/>
      <c r="J423" s="171"/>
      <c r="K423" s="69"/>
      <c r="L423" s="61" t="str">
        <f>Price!A423</f>
        <v>Příčný reling vnitřní zásuvky, matný nikl</v>
      </c>
      <c r="M423" s="15" t="str">
        <f>Price!B423</f>
        <v>ZR7.1080U</v>
      </c>
      <c r="N423" s="15" t="str">
        <f>Price!C423</f>
        <v>ELN2</v>
      </c>
      <c r="O423" s="525" t="str">
        <f>Price!D423</f>
        <v>!</v>
      </c>
      <c r="P423" s="16"/>
      <c r="Q423" s="17">
        <f>Price!F423</f>
        <v>755.64283</v>
      </c>
      <c r="R423" s="318"/>
      <c r="S423" s="318"/>
      <c r="T423" s="12">
        <f>Price!G423</f>
        <v>9240980</v>
      </c>
      <c r="U423" s="252">
        <f>Price!H423</f>
        <v>227600</v>
      </c>
      <c r="V423" s="13"/>
      <c r="W423" s="13"/>
      <c r="X423" s="19"/>
      <c r="Y423" s="19"/>
    </row>
    <row r="424" spans="1:25" x14ac:dyDescent="0.35">
      <c r="A424" s="77"/>
      <c r="B424" s="161"/>
      <c r="C424" s="161"/>
      <c r="D424" s="529"/>
      <c r="E424" s="83"/>
      <c r="F424" s="65"/>
      <c r="G424" s="65"/>
      <c r="H424" s="65"/>
      <c r="I424" s="65"/>
      <c r="J424" s="65"/>
      <c r="K424" s="69"/>
      <c r="L424" s="61">
        <f>Price!A424</f>
        <v>0</v>
      </c>
      <c r="M424" s="15">
        <f>Price!B424</f>
        <v>0</v>
      </c>
      <c r="N424" s="15">
        <f>Price!C424</f>
        <v>0</v>
      </c>
      <c r="O424" s="525">
        <f>Price!D424</f>
        <v>0</v>
      </c>
      <c r="P424" s="16"/>
      <c r="Q424" s="17">
        <f>Price!F424</f>
        <v>0</v>
      </c>
      <c r="R424" s="318"/>
      <c r="S424" s="318"/>
      <c r="T424" s="12">
        <f>Price!G424</f>
        <v>0</v>
      </c>
      <c r="U424" s="252">
        <f>Price!H424</f>
        <v>0</v>
      </c>
      <c r="V424" s="13"/>
      <c r="W424" s="13"/>
      <c r="X424" s="19"/>
      <c r="Y424" s="19"/>
    </row>
    <row r="425" spans="1:25" x14ac:dyDescent="0.35">
      <c r="A425" s="77"/>
      <c r="B425" s="160"/>
      <c r="C425" s="160"/>
      <c r="D425" s="528"/>
      <c r="E425" s="83"/>
      <c r="F425" s="65"/>
      <c r="G425" s="65"/>
      <c r="H425" s="65"/>
      <c r="I425" s="65"/>
      <c r="J425" s="65"/>
      <c r="K425" s="69"/>
      <c r="L425" s="61">
        <f>Price!A425</f>
        <v>0</v>
      </c>
      <c r="M425" s="15">
        <f>Price!B425</f>
        <v>0</v>
      </c>
      <c r="N425" s="15">
        <f>Price!C425</f>
        <v>0</v>
      </c>
      <c r="O425" s="525">
        <f>Price!D425</f>
        <v>0</v>
      </c>
      <c r="P425" s="16"/>
      <c r="Q425" s="17">
        <f>Price!F425</f>
        <v>0</v>
      </c>
      <c r="R425" s="318"/>
      <c r="S425" s="318"/>
      <c r="T425" s="12">
        <f>Price!G425</f>
        <v>0</v>
      </c>
      <c r="U425" s="252">
        <f>Price!H425</f>
        <v>0</v>
      </c>
      <c r="V425" s="13"/>
      <c r="W425" s="13"/>
      <c r="X425" s="19"/>
      <c r="Y425" s="19"/>
    </row>
    <row r="426" spans="1:25" x14ac:dyDescent="0.35">
      <c r="A426" s="77" t="s">
        <v>1264</v>
      </c>
      <c r="B426" s="160"/>
      <c r="C426" s="160"/>
      <c r="D426" s="528"/>
      <c r="E426" s="78"/>
      <c r="F426" s="65"/>
      <c r="G426" s="65"/>
      <c r="H426" s="65"/>
      <c r="I426" s="171"/>
      <c r="J426" s="171"/>
      <c r="K426" s="69"/>
      <c r="L426" s="61" t="str">
        <f>Price!A426</f>
        <v xml:space="preserve">   AMBIA-LINE pro zásuvky, kovový design</v>
      </c>
      <c r="M426" s="15">
        <f>Price!B426</f>
        <v>0</v>
      </c>
      <c r="N426" s="15">
        <f>Price!C426</f>
        <v>0</v>
      </c>
      <c r="O426" s="525">
        <f>Price!D426</f>
        <v>0</v>
      </c>
      <c r="P426" s="16"/>
      <c r="Q426" s="17">
        <f>Price!F426</f>
        <v>0</v>
      </c>
      <c r="R426" s="318"/>
      <c r="S426" s="318"/>
      <c r="T426" s="12">
        <f>Price!G426</f>
        <v>0</v>
      </c>
      <c r="U426" s="252">
        <f>Price!H426</f>
        <v>0</v>
      </c>
      <c r="V426" s="13"/>
      <c r="W426" s="13"/>
      <c r="X426" s="19"/>
      <c r="Y426" s="19"/>
    </row>
    <row r="427" spans="1:25" ht="15" thickBot="1" x14ac:dyDescent="0.4">
      <c r="A427" s="320" t="str">
        <f>IF(OR($C$2=1, $C$2=4),L427,IF($C$2=2,L428,IF($C$2=3,L429,IF($C$2=5,L429,"  chyba"))))</f>
        <v>Příborník, 450mm, Orion šedá</v>
      </c>
      <c r="B427" s="324" t="str">
        <f t="shared" ref="B427" si="334">IF(OR($C$2=1, $C$2=4),M427,IF($C$2=2,M428,IF($C$2=3,M429,IF($C$2=5,M429,"  chyba"))))</f>
        <v>ZC7S450BS3</v>
      </c>
      <c r="C427" s="324" t="str">
        <f t="shared" ref="C427" si="335">IF(OR($C$2=1, $C$2=4),N427,IF($C$2=2,N428,IF($C$2=3,N429,IF($C$2=5,N429,"  chyba"))))</f>
        <v>OG-M</v>
      </c>
      <c r="D427" s="324">
        <f t="shared" ref="D427" si="336">IF(OR($C$2=1, $C$2=4),O427,IF($C$2=2,O428,IF($C$2=3,O429,IF($C$2=5,O429,"  chyba"))))</f>
        <v>0</v>
      </c>
      <c r="E427" s="321">
        <f t="shared" ref="E427" si="337">IF(OR($C$2=1, $C$2=4),P427,IF($C$2=2,P428,IF($C$2=3,P429,IF($C$2=5,P429,"  chyba"))))</f>
        <v>0</v>
      </c>
      <c r="F427" s="322">
        <f t="shared" ref="F427" si="338">IF(OR($C$2=1, $C$2=4),Q427,IF($C$2=2,Q428,IF($C$2=3,Q429,IF($C$2=5,Q429,"  chyba"))))</f>
        <v>2198.2389899999998</v>
      </c>
      <c r="G427" s="323"/>
      <c r="H427" s="323"/>
      <c r="I427" s="325">
        <f t="shared" ref="I427" si="339">IF(OR($C$2=1, $C$2=4),T427,IF($C$2=2,T428,IF($C$2=3,T429,IF($C$2=5,T429,"  chyba"))))</f>
        <v>9653503</v>
      </c>
      <c r="J427" s="325">
        <f t="shared" ref="J427" si="340">IF(OR($C$2=1, $C$2=4),U427,IF($C$2=2,U428,IF($C$2=3,U429,IF($C$2=5,U429,"  chyba"))))</f>
        <v>227614</v>
      </c>
      <c r="K427" s="69"/>
      <c r="L427" s="61" t="str">
        <f>Price!A427</f>
        <v>Příborník, 450mm, Orion šedá</v>
      </c>
      <c r="M427" s="15" t="str">
        <f>Price!B427</f>
        <v>ZC7S450BS3</v>
      </c>
      <c r="N427" s="15" t="str">
        <f>Price!C427</f>
        <v>OG-M</v>
      </c>
      <c r="O427" s="525">
        <f>Price!D427</f>
        <v>0</v>
      </c>
      <c r="P427" s="16"/>
      <c r="Q427" s="17">
        <f>Price!F427</f>
        <v>2198.2389899999998</v>
      </c>
      <c r="R427" s="318"/>
      <c r="S427" s="318"/>
      <c r="T427" s="12">
        <f>Price!G427</f>
        <v>9653503</v>
      </c>
      <c r="U427" s="252">
        <f>Price!H427</f>
        <v>227614</v>
      </c>
      <c r="V427" s="13"/>
      <c r="W427" s="13"/>
      <c r="X427" s="19"/>
      <c r="Y427" s="19"/>
    </row>
    <row r="428" spans="1:25" x14ac:dyDescent="0.35">
      <c r="A428" s="77"/>
      <c r="B428" s="160"/>
      <c r="C428" s="160"/>
      <c r="D428" s="528"/>
      <c r="E428" s="83"/>
      <c r="F428" s="65"/>
      <c r="G428" s="65"/>
      <c r="H428" s="65"/>
      <c r="I428" s="171"/>
      <c r="J428" s="171"/>
      <c r="K428" s="63"/>
      <c r="L428" s="61" t="str">
        <f>Price!A428</f>
        <v>Příborník, 450mm, hedvábně bílá/Orion šedá</v>
      </c>
      <c r="M428" s="15" t="str">
        <f>Price!B428</f>
        <v>ZC7S450BS3</v>
      </c>
      <c r="N428" s="15" t="str">
        <f>Price!C428</f>
        <v>SW-M/OG</v>
      </c>
      <c r="O428" s="525">
        <f>Price!D428</f>
        <v>0</v>
      </c>
      <c r="P428" s="16"/>
      <c r="Q428" s="17">
        <f>Price!F428</f>
        <v>2198.2389899999998</v>
      </c>
      <c r="R428" s="318"/>
      <c r="S428" s="318"/>
      <c r="T428" s="12">
        <f>Price!G428</f>
        <v>1952399</v>
      </c>
      <c r="U428" s="252">
        <f>Price!H428</f>
        <v>227613</v>
      </c>
      <c r="V428" s="13"/>
      <c r="W428" s="13"/>
      <c r="X428" s="19"/>
      <c r="Y428" s="19"/>
    </row>
    <row r="429" spans="1:25" x14ac:dyDescent="0.35">
      <c r="A429" s="77"/>
      <c r="B429" s="160"/>
      <c r="C429" s="160"/>
      <c r="D429" s="528"/>
      <c r="E429" s="78"/>
      <c r="F429" s="65"/>
      <c r="G429" s="65"/>
      <c r="H429" s="65"/>
      <c r="I429" s="171"/>
      <c r="J429" s="171"/>
      <c r="K429" s="69"/>
      <c r="L429" s="61" t="str">
        <f>Price!A429</f>
        <v>Příborník, 450mm, Terra černý</v>
      </c>
      <c r="M429" s="15" t="str">
        <f>Price!B429</f>
        <v>ZC7S450BS3</v>
      </c>
      <c r="N429" s="15" t="str">
        <f>Price!C429</f>
        <v>TS-M</v>
      </c>
      <c r="O429" s="525">
        <f>Price!D429</f>
        <v>0</v>
      </c>
      <c r="P429" s="16"/>
      <c r="Q429" s="17">
        <f>Price!F429</f>
        <v>2198.2389899999998</v>
      </c>
      <c r="R429" s="318"/>
      <c r="S429" s="318"/>
      <c r="T429" s="12">
        <f>Price!G429</f>
        <v>5834206</v>
      </c>
      <c r="U429" s="252">
        <f>Price!H429</f>
        <v>227615</v>
      </c>
      <c r="V429" s="13"/>
      <c r="W429" s="13"/>
      <c r="X429" s="19"/>
      <c r="Y429" s="19"/>
    </row>
    <row r="430" spans="1:25" ht="15" thickBot="1" x14ac:dyDescent="0.4">
      <c r="A430" s="320" t="str">
        <f>IF(OR($C$2=1, $C$2=4),L430,IF($C$2=2,L431,IF($C$2=3,L432,IF($C$2=5,L432,"  chyba"))))</f>
        <v>Příborník, 500mm, Orion šedá</v>
      </c>
      <c r="B430" s="324" t="str">
        <f t="shared" ref="B430" si="341">IF(OR($C$2=1, $C$2=4),M430,IF($C$2=2,M431,IF($C$2=3,M432,IF($C$2=5,M432,"  chyba"))))</f>
        <v>ZC7S500BS3</v>
      </c>
      <c r="C430" s="324" t="str">
        <f t="shared" ref="C430" si="342">IF(OR($C$2=1, $C$2=4),N430,IF($C$2=2,N431,IF($C$2=3,N432,IF($C$2=5,N432,"  chyba"))))</f>
        <v>OG-M</v>
      </c>
      <c r="D430" s="324">
        <f t="shared" ref="D430" si="343">IF(OR($C$2=1, $C$2=4),O430,IF($C$2=2,O431,IF($C$2=3,O432,IF($C$2=5,O432,"  chyba"))))</f>
        <v>0</v>
      </c>
      <c r="E430" s="321">
        <f t="shared" ref="E430" si="344">IF(OR($C$2=1, $C$2=4),P430,IF($C$2=2,P431,IF($C$2=3,P432,IF($C$2=5,P432,"  chyba"))))</f>
        <v>0</v>
      </c>
      <c r="F430" s="322">
        <f t="shared" ref="F430" si="345">IF(OR($C$2=1, $C$2=4),Q430,IF($C$2=2,Q431,IF($C$2=3,Q432,IF($C$2=5,Q432,"  chyba"))))</f>
        <v>2266.93325</v>
      </c>
      <c r="G430" s="323"/>
      <c r="H430" s="323"/>
      <c r="I430" s="325">
        <f t="shared" ref="I430" si="346">IF(OR($C$2=1, $C$2=4),T430,IF($C$2=2,T431,IF($C$2=3,T432,IF($C$2=5,T432,"  chyba"))))</f>
        <v>4497947</v>
      </c>
      <c r="J430" s="325">
        <f t="shared" ref="J430" si="347">IF(OR($C$2=1, $C$2=4),U430,IF($C$2=2,U431,IF($C$2=3,U432,IF($C$2=5,U432,"  chyba"))))</f>
        <v>227617</v>
      </c>
      <c r="K430" s="69"/>
      <c r="L430" s="61" t="str">
        <f>Price!A430</f>
        <v>Příborník, 500mm, Orion šedá</v>
      </c>
      <c r="M430" s="15" t="str">
        <f>Price!B430</f>
        <v>ZC7S500BS3</v>
      </c>
      <c r="N430" s="15" t="str">
        <f>Price!C430</f>
        <v>OG-M</v>
      </c>
      <c r="O430" s="525">
        <f>Price!D430</f>
        <v>0</v>
      </c>
      <c r="P430" s="16"/>
      <c r="Q430" s="17">
        <f>Price!F430</f>
        <v>2266.93325</v>
      </c>
      <c r="R430" s="318"/>
      <c r="S430" s="318"/>
      <c r="T430" s="12">
        <f>Price!G430</f>
        <v>4497947</v>
      </c>
      <c r="U430" s="252">
        <f>Price!H430</f>
        <v>227617</v>
      </c>
      <c r="V430" s="13"/>
      <c r="W430" s="13"/>
      <c r="X430" s="19"/>
      <c r="Y430" s="19"/>
    </row>
    <row r="431" spans="1:25" x14ac:dyDescent="0.35">
      <c r="A431" s="77"/>
      <c r="B431" s="160"/>
      <c r="C431" s="160"/>
      <c r="D431" s="528"/>
      <c r="E431" s="83"/>
      <c r="F431" s="65"/>
      <c r="G431" s="65"/>
      <c r="H431" s="65"/>
      <c r="I431" s="171"/>
      <c r="J431" s="171"/>
      <c r="K431" s="69"/>
      <c r="L431" s="61" t="str">
        <f>Price!A431</f>
        <v>Příborník, 500mm, hedvábně bílá/Orion šedá</v>
      </c>
      <c r="M431" s="15" t="str">
        <f>Price!B431</f>
        <v>ZC7S500BS3</v>
      </c>
      <c r="N431" s="15" t="str">
        <f>Price!C431</f>
        <v>SW-M/OG</v>
      </c>
      <c r="O431" s="525">
        <f>Price!D431</f>
        <v>0</v>
      </c>
      <c r="P431" s="16"/>
      <c r="Q431" s="17">
        <f>Price!F431</f>
        <v>2266.93325</v>
      </c>
      <c r="R431" s="318"/>
      <c r="S431" s="318"/>
      <c r="T431" s="12">
        <f>Price!G431</f>
        <v>8830585</v>
      </c>
      <c r="U431" s="252">
        <f>Price!H431</f>
        <v>227616</v>
      </c>
      <c r="V431" s="13"/>
      <c r="W431" s="13"/>
      <c r="X431" s="19"/>
      <c r="Y431" s="19"/>
    </row>
    <row r="432" spans="1:25" x14ac:dyDescent="0.35">
      <c r="A432" s="77"/>
      <c r="B432" s="160"/>
      <c r="C432" s="160"/>
      <c r="D432" s="528"/>
      <c r="E432" s="78"/>
      <c r="F432" s="65"/>
      <c r="G432" s="65"/>
      <c r="H432" s="65"/>
      <c r="I432" s="171"/>
      <c r="J432" s="171"/>
      <c r="K432" s="69"/>
      <c r="L432" s="61" t="str">
        <f>Price!A432</f>
        <v>Příborník, 500mm, Terra černý</v>
      </c>
      <c r="M432" s="15" t="str">
        <f>Price!B432</f>
        <v>ZC7S500BS3</v>
      </c>
      <c r="N432" s="15" t="str">
        <f>Price!C432</f>
        <v>TS-M</v>
      </c>
      <c r="O432" s="525">
        <f>Price!D432</f>
        <v>0</v>
      </c>
      <c r="P432" s="16"/>
      <c r="Q432" s="17">
        <f>Price!F432</f>
        <v>2266.93325</v>
      </c>
      <c r="R432" s="318"/>
      <c r="S432" s="318"/>
      <c r="T432" s="12">
        <f>Price!G432</f>
        <v>6081951</v>
      </c>
      <c r="U432" s="252">
        <f>Price!H432</f>
        <v>227618</v>
      </c>
      <c r="V432" s="13"/>
      <c r="W432" s="13"/>
      <c r="X432" s="19"/>
      <c r="Y432" s="19"/>
    </row>
    <row r="433" spans="1:25" ht="15" thickBot="1" x14ac:dyDescent="0.4">
      <c r="A433" s="320" t="str">
        <f>IF(OR($C$2=1, $C$2=4),L433,IF($C$2=2,L434,IF($C$2=3,L435,IF($C$2=5,L435,"  chyba"))))</f>
        <v>Příborník, 550mm, Orion šedá</v>
      </c>
      <c r="B433" s="324" t="str">
        <f t="shared" ref="B433" si="348">IF(OR($C$2=1, $C$2=4),M433,IF($C$2=2,M434,IF($C$2=3,M435,IF($C$2=5,M435,"  chyba"))))</f>
        <v>ZC7S550BS3</v>
      </c>
      <c r="C433" s="324" t="str">
        <f t="shared" ref="C433" si="349">IF(OR($C$2=1, $C$2=4),N433,IF($C$2=2,N434,IF($C$2=3,N435,IF($C$2=5,N435,"  chyba"))))</f>
        <v>OG-M</v>
      </c>
      <c r="D433" s="324">
        <f t="shared" ref="D433" si="350">IF(OR($C$2=1, $C$2=4),O433,IF($C$2=2,O434,IF($C$2=3,O435,IF($C$2=5,O435,"  chyba"))))</f>
        <v>0</v>
      </c>
      <c r="E433" s="321">
        <f t="shared" ref="E433" si="351">IF(OR($C$2=1, $C$2=4),P433,IF($C$2=2,P434,IF($C$2=3,P435,IF($C$2=5,P435,"  chyba"))))</f>
        <v>0</v>
      </c>
      <c r="F433" s="322">
        <f t="shared" ref="F433" si="352">IF(OR($C$2=1, $C$2=4),Q433,IF($C$2=2,Q434,IF($C$2=3,Q435,IF($C$2=5,Q435,"  chyba"))))</f>
        <v>3355.7471999999998</v>
      </c>
      <c r="G433" s="323"/>
      <c r="H433" s="323"/>
      <c r="I433" s="325">
        <f t="shared" ref="I433" si="353">IF(OR($C$2=1, $C$2=4),T433,IF($C$2=2,T434,IF($C$2=3,T435,IF($C$2=5,T435,"  chyba"))))</f>
        <v>5140460</v>
      </c>
      <c r="J433" s="325">
        <f t="shared" ref="J433" si="354">IF(OR($C$2=1, $C$2=4),U433,IF($C$2=2,U434,IF($C$2=3,U435,IF($C$2=5,U435,"  chyba"))))</f>
        <v>227621</v>
      </c>
      <c r="K433" s="69"/>
      <c r="L433" s="61" t="str">
        <f>Price!A433</f>
        <v>Příborník, 550mm, Orion šedá</v>
      </c>
      <c r="M433" s="15" t="str">
        <f>Price!B433</f>
        <v>ZC7S550BS3</v>
      </c>
      <c r="N433" s="15" t="str">
        <f>Price!C433</f>
        <v>OG-M</v>
      </c>
      <c r="O433" s="525">
        <f>Price!D433</f>
        <v>0</v>
      </c>
      <c r="P433" s="16"/>
      <c r="Q433" s="17">
        <f>Price!F433</f>
        <v>3355.7471999999998</v>
      </c>
      <c r="R433" s="318"/>
      <c r="S433" s="318"/>
      <c r="T433" s="12">
        <f>Price!G433</f>
        <v>5140460</v>
      </c>
      <c r="U433" s="252">
        <f>Price!H433</f>
        <v>227621</v>
      </c>
      <c r="V433" s="13"/>
      <c r="W433" s="13"/>
      <c r="X433" s="19"/>
      <c r="Y433" s="19"/>
    </row>
    <row r="434" spans="1:25" x14ac:dyDescent="0.35">
      <c r="A434" s="77"/>
      <c r="B434" s="160"/>
      <c r="C434" s="160"/>
      <c r="D434" s="528"/>
      <c r="E434" s="83"/>
      <c r="F434" s="65"/>
      <c r="G434" s="65"/>
      <c r="H434" s="65"/>
      <c r="I434" s="171"/>
      <c r="J434" s="171"/>
      <c r="K434" s="69"/>
      <c r="L434" s="61" t="str">
        <f>Price!A434</f>
        <v>Příborník, 550mm, hedvábně bílá/Orion šedá</v>
      </c>
      <c r="M434" s="15" t="str">
        <f>Price!B434</f>
        <v>ZC7S550BS3</v>
      </c>
      <c r="N434" s="15" t="str">
        <f>Price!C434</f>
        <v>SW-M/OG</v>
      </c>
      <c r="O434" s="525">
        <f>Price!D434</f>
        <v>0</v>
      </c>
      <c r="P434" s="16"/>
      <c r="Q434" s="17">
        <f>Price!F434</f>
        <v>3355.7471999999998</v>
      </c>
      <c r="R434" s="318"/>
      <c r="S434" s="318"/>
      <c r="T434" s="12">
        <f>Price!G434</f>
        <v>8208118</v>
      </c>
      <c r="U434" s="252">
        <f>Price!H434</f>
        <v>227619</v>
      </c>
      <c r="V434" s="13"/>
      <c r="W434" s="13"/>
      <c r="X434" s="19"/>
      <c r="Y434" s="19"/>
    </row>
    <row r="435" spans="1:25" x14ac:dyDescent="0.35">
      <c r="A435" s="77"/>
      <c r="B435" s="161"/>
      <c r="C435" s="161"/>
      <c r="D435" s="529"/>
      <c r="E435" s="83"/>
      <c r="F435" s="65"/>
      <c r="G435" s="65"/>
      <c r="H435" s="65"/>
      <c r="I435" s="170"/>
      <c r="J435" s="170"/>
      <c r="K435" s="69"/>
      <c r="L435" s="61" t="str">
        <f>Price!A435</f>
        <v>Příborník, 550mm, Terra černý</v>
      </c>
      <c r="M435" s="15" t="str">
        <f>Price!B435</f>
        <v>ZC7S550BS3</v>
      </c>
      <c r="N435" s="15" t="str">
        <f>Price!C435</f>
        <v>TS-M</v>
      </c>
      <c r="O435" s="525">
        <f>Price!D435</f>
        <v>0</v>
      </c>
      <c r="P435" s="16"/>
      <c r="Q435" s="17">
        <f>Price!F435</f>
        <v>3355.7471999999998</v>
      </c>
      <c r="R435" s="318"/>
      <c r="S435" s="318"/>
      <c r="T435" s="12">
        <f>Price!G435</f>
        <v>9325745</v>
      </c>
      <c r="U435" s="252">
        <f>Price!H435</f>
        <v>227622</v>
      </c>
      <c r="V435" s="13"/>
      <c r="W435" s="13"/>
      <c r="X435" s="19"/>
      <c r="Y435" s="19"/>
    </row>
    <row r="436" spans="1:25" ht="15" thickBot="1" x14ac:dyDescent="0.4">
      <c r="A436" s="320" t="str">
        <f>IF(OR($C$2=1, $C$2=4),L436,IF($C$2=2,L437,IF($C$2=3,L438,IF($C$2=5,L438,"  chyba"))))</f>
        <v>Příborník, 600mm, Orion šedá</v>
      </c>
      <c r="B436" s="324" t="str">
        <f t="shared" ref="B436" si="355">IF(OR($C$2=1, $C$2=4),M436,IF($C$2=2,M437,IF($C$2=3,M438,IF($C$2=5,M438,"  chyba"))))</f>
        <v>ZC7S600BS3</v>
      </c>
      <c r="C436" s="324" t="str">
        <f t="shared" ref="C436" si="356">IF(OR($C$2=1, $C$2=4),N436,IF($C$2=2,N437,IF($C$2=3,N438,IF($C$2=5,N438,"  chyba"))))</f>
        <v>OG-M</v>
      </c>
      <c r="D436" s="324">
        <f t="shared" ref="D436" si="357">IF(OR($C$2=1, $C$2=4),O436,IF($C$2=2,O437,IF($C$2=3,O438,IF($C$2=5,O438,"  chyba"))))</f>
        <v>0</v>
      </c>
      <c r="E436" s="321">
        <f t="shared" ref="E436" si="358">IF(OR($C$2=1, $C$2=4),P436,IF($C$2=2,P437,IF($C$2=3,P438,IF($C$2=5,P438,"  chyba"))))</f>
        <v>0</v>
      </c>
      <c r="F436" s="322">
        <f t="shared" ref="F436" si="359">IF(OR($C$2=1, $C$2=4),Q436,IF($C$2=2,Q437,IF($C$2=3,Q438,IF($C$2=5,Q438,"  chyba"))))</f>
        <v>3424.44146</v>
      </c>
      <c r="G436" s="323"/>
      <c r="H436" s="323"/>
      <c r="I436" s="325">
        <f t="shared" ref="I436" si="360">IF(OR($C$2=1, $C$2=4),T436,IF($C$2=2,T437,IF($C$2=3,T438,IF($C$2=5,T438,"  chyba"))))</f>
        <v>2003515</v>
      </c>
      <c r="J436" s="325">
        <f t="shared" ref="J436" si="361">IF(OR($C$2=1, $C$2=4),U436,IF($C$2=2,U437,IF($C$2=3,U438,IF($C$2=5,U438,"  chyba"))))</f>
        <v>227624</v>
      </c>
      <c r="K436" s="69"/>
      <c r="L436" s="61" t="str">
        <f>Price!A436</f>
        <v>Příborník, 600mm, Orion šedá</v>
      </c>
      <c r="M436" s="15" t="str">
        <f>Price!B436</f>
        <v>ZC7S600BS3</v>
      </c>
      <c r="N436" s="15" t="str">
        <f>Price!C436</f>
        <v>OG-M</v>
      </c>
      <c r="O436" s="525">
        <f>Price!D436</f>
        <v>0</v>
      </c>
      <c r="P436" s="16"/>
      <c r="Q436" s="17">
        <f>Price!F436</f>
        <v>3424.44146</v>
      </c>
      <c r="R436" s="318"/>
      <c r="S436" s="318"/>
      <c r="T436" s="12">
        <f>Price!G436</f>
        <v>2003515</v>
      </c>
      <c r="U436" s="252">
        <f>Price!H436</f>
        <v>227624</v>
      </c>
      <c r="V436" s="13"/>
      <c r="W436" s="13"/>
      <c r="X436" s="19"/>
      <c r="Y436" s="19"/>
    </row>
    <row r="437" spans="1:25" x14ac:dyDescent="0.35">
      <c r="A437" s="77"/>
      <c r="B437" s="161"/>
      <c r="C437" s="161"/>
      <c r="D437" s="529"/>
      <c r="E437" s="83"/>
      <c r="F437" s="65"/>
      <c r="G437" s="65"/>
      <c r="H437" s="65"/>
      <c r="I437" s="170"/>
      <c r="J437" s="170"/>
      <c r="K437" s="69"/>
      <c r="L437" s="61" t="str">
        <f>Price!A437</f>
        <v>Příborník, 600mm, hedvábně bílá/Orion šedá</v>
      </c>
      <c r="M437" s="15" t="str">
        <f>Price!B437</f>
        <v>ZC7S600BS3</v>
      </c>
      <c r="N437" s="15" t="str">
        <f>Price!C437</f>
        <v>SW-M/OG</v>
      </c>
      <c r="O437" s="525">
        <f>Price!D437</f>
        <v>0</v>
      </c>
      <c r="P437" s="16"/>
      <c r="Q437" s="17">
        <f>Price!F437</f>
        <v>3424.44146</v>
      </c>
      <c r="R437" s="318"/>
      <c r="S437" s="318"/>
      <c r="T437" s="12">
        <f>Price!G437</f>
        <v>2129847</v>
      </c>
      <c r="U437" s="252">
        <f>Price!H437</f>
        <v>227623</v>
      </c>
      <c r="V437" s="13"/>
      <c r="W437" s="13"/>
      <c r="X437" s="19"/>
      <c r="Y437" s="19"/>
    </row>
    <row r="438" spans="1:25" x14ac:dyDescent="0.35">
      <c r="A438" s="77"/>
      <c r="B438" s="160"/>
      <c r="C438" s="160"/>
      <c r="D438" s="528"/>
      <c r="E438" s="83"/>
      <c r="F438" s="65"/>
      <c r="G438" s="65"/>
      <c r="H438" s="65"/>
      <c r="I438" s="171"/>
      <c r="J438" s="171"/>
      <c r="K438" s="69"/>
      <c r="L438" s="61" t="str">
        <f>Price!A438</f>
        <v>Příborník, 600mm, Terra černý</v>
      </c>
      <c r="M438" s="15" t="str">
        <f>Price!B438</f>
        <v>ZC7S600BS3</v>
      </c>
      <c r="N438" s="15" t="str">
        <f>Price!C438</f>
        <v>TS-M</v>
      </c>
      <c r="O438" s="525">
        <f>Price!D438</f>
        <v>0</v>
      </c>
      <c r="P438" s="16"/>
      <c r="Q438" s="17">
        <f>Price!F438</f>
        <v>3424.44146</v>
      </c>
      <c r="R438" s="318"/>
      <c r="S438" s="318"/>
      <c r="T438" s="12">
        <f>Price!G438</f>
        <v>8245682</v>
      </c>
      <c r="U438" s="252">
        <f>Price!H438</f>
        <v>227625</v>
      </c>
      <c r="V438" s="13"/>
      <c r="W438" s="13"/>
      <c r="X438" s="19"/>
      <c r="Y438" s="19"/>
    </row>
    <row r="439" spans="1:25" ht="15" thickBot="1" x14ac:dyDescent="0.4">
      <c r="A439" s="320" t="str">
        <f>IF(OR($C$2=1, $C$2=4),L439,IF($C$2=2,L440,IF($C$2=3,L441,IF($C$2=5,L441,"  chyba"))))</f>
        <v>Příborník, 650mm, Orion šedá</v>
      </c>
      <c r="B439" s="324" t="str">
        <f t="shared" ref="B439" si="362">IF(OR($C$2=1, $C$2=4),M439,IF($C$2=2,M440,IF($C$2=3,M441,IF($C$2=5,M441,"  chyba"))))</f>
        <v>ZC7S650BS3</v>
      </c>
      <c r="C439" s="324" t="str">
        <f t="shared" ref="C439" si="363">IF(OR($C$2=1, $C$2=4),N439,IF($C$2=2,N440,IF($C$2=3,N441,IF($C$2=5,N441,"  chyba"))))</f>
        <v>OG-M</v>
      </c>
      <c r="D439" s="324">
        <f t="shared" ref="D439" si="364">IF(OR($C$2=1, $C$2=4),O439,IF($C$2=2,O440,IF($C$2=3,O441,IF($C$2=5,O441,"  chyba"))))</f>
        <v>0</v>
      </c>
      <c r="E439" s="321">
        <f t="shared" ref="E439" si="365">IF(OR($C$2=1, $C$2=4),P439,IF($C$2=2,P440,IF($C$2=3,P441,IF($C$2=5,P441,"  chyba"))))</f>
        <v>0</v>
      </c>
      <c r="F439" s="322">
        <f t="shared" ref="F439" si="366">IF(OR($C$2=1, $C$2=4),Q439,IF($C$2=2,Q440,IF($C$2=3,Q441,IF($C$2=5,Q441,"  chyba"))))</f>
        <v>4310.6076300000004</v>
      </c>
      <c r="G439" s="323"/>
      <c r="H439" s="323"/>
      <c r="I439" s="325">
        <f t="shared" ref="I439" si="367">IF(OR($C$2=1, $C$2=4),T439,IF($C$2=2,T440,IF($C$2=3,T441,IF($C$2=5,T441,"  chyba"))))</f>
        <v>7864958</v>
      </c>
      <c r="J439" s="325">
        <f t="shared" ref="J439" si="368">IF(OR($C$2=1, $C$2=4),U439,IF($C$2=2,U440,IF($C$2=3,U441,IF($C$2=5,U441,"  chyba"))))</f>
        <v>279407</v>
      </c>
      <c r="K439" s="69"/>
      <c r="L439" s="61" t="str">
        <f>Price!A439</f>
        <v>Příborník, 650mm, Orion šedá</v>
      </c>
      <c r="M439" s="15" t="str">
        <f>Price!B439</f>
        <v>ZC7S650BS3</v>
      </c>
      <c r="N439" s="15" t="str">
        <f>Price!C439</f>
        <v>OG-M</v>
      </c>
      <c r="O439" s="525">
        <f>Price!D439</f>
        <v>0</v>
      </c>
      <c r="P439" s="16"/>
      <c r="Q439" s="17">
        <f>Price!F439</f>
        <v>4310.6076300000004</v>
      </c>
      <c r="R439" s="318"/>
      <c r="S439" s="318"/>
      <c r="T439" s="12">
        <f>Price!G439</f>
        <v>7864958</v>
      </c>
      <c r="U439" s="252">
        <f>Price!H439</f>
        <v>279407</v>
      </c>
      <c r="V439" s="13"/>
      <c r="W439" s="13"/>
      <c r="X439" s="19"/>
      <c r="Y439" s="19"/>
    </row>
    <row r="440" spans="1:25" x14ac:dyDescent="0.35">
      <c r="A440" s="77"/>
      <c r="B440" s="161"/>
      <c r="C440" s="161"/>
      <c r="D440" s="529"/>
      <c r="E440" s="83"/>
      <c r="F440" s="65"/>
      <c r="G440" s="65"/>
      <c r="H440" s="65"/>
      <c r="I440" s="170"/>
      <c r="J440" s="170"/>
      <c r="K440" s="69"/>
      <c r="L440" s="61" t="str">
        <f>Price!A440</f>
        <v>Příborník, 650mm, hedvábně bílá/Orion šedá</v>
      </c>
      <c r="M440" s="15" t="str">
        <f>Price!B440</f>
        <v>ZC7S650BS3</v>
      </c>
      <c r="N440" s="15" t="str">
        <f>Price!C440</f>
        <v>SW-M/OG</v>
      </c>
      <c r="O440" s="525">
        <f>Price!D440</f>
        <v>0</v>
      </c>
      <c r="P440" s="16"/>
      <c r="Q440" s="17">
        <f>Price!F440</f>
        <v>4310.6076300000004</v>
      </c>
      <c r="R440" s="318"/>
      <c r="S440" s="318"/>
      <c r="T440" s="12">
        <f>Price!G440</f>
        <v>5771089</v>
      </c>
      <c r="U440" s="252">
        <f>Price!H440</f>
        <v>279408</v>
      </c>
      <c r="V440" s="13"/>
      <c r="W440" s="13"/>
      <c r="X440" s="19"/>
      <c r="Y440" s="19"/>
    </row>
    <row r="441" spans="1:25" x14ac:dyDescent="0.35">
      <c r="A441" s="77"/>
      <c r="B441" s="160"/>
      <c r="C441" s="160"/>
      <c r="D441" s="528"/>
      <c r="E441" s="83"/>
      <c r="F441" s="65"/>
      <c r="G441" s="65"/>
      <c r="H441" s="65"/>
      <c r="I441" s="171"/>
      <c r="J441" s="171"/>
      <c r="K441" s="69"/>
      <c r="L441" s="61" t="str">
        <f>Price!A441</f>
        <v>Příborník, 650mm, Terra černý</v>
      </c>
      <c r="M441" s="15" t="str">
        <f>Price!B441</f>
        <v>ZC7S650BS3</v>
      </c>
      <c r="N441" s="15" t="str">
        <f>Price!C441</f>
        <v>TS-M</v>
      </c>
      <c r="O441" s="525">
        <f>Price!D441</f>
        <v>0</v>
      </c>
      <c r="P441" s="16"/>
      <c r="Q441" s="17">
        <f>Price!F441</f>
        <v>4310.6076300000004</v>
      </c>
      <c r="R441" s="318"/>
      <c r="S441" s="318"/>
      <c r="T441" s="12">
        <f>Price!G441</f>
        <v>7132220</v>
      </c>
      <c r="U441" s="252">
        <f>Price!H441</f>
        <v>279409</v>
      </c>
      <c r="V441" s="13"/>
      <c r="W441" s="13"/>
      <c r="X441" s="19"/>
      <c r="Y441" s="19"/>
    </row>
    <row r="442" spans="1:25" x14ac:dyDescent="0.35">
      <c r="A442" s="77"/>
      <c r="B442" s="160"/>
      <c r="C442" s="160"/>
      <c r="D442" s="528"/>
      <c r="E442" s="78"/>
      <c r="F442" s="65"/>
      <c r="G442" s="65"/>
      <c r="H442" s="65"/>
      <c r="I442" s="171"/>
      <c r="J442" s="171"/>
      <c r="K442" s="69"/>
      <c r="L442" s="61">
        <f>Price!A442</f>
        <v>0</v>
      </c>
      <c r="M442" s="15">
        <f>Price!B442</f>
        <v>0</v>
      </c>
      <c r="N442" s="15">
        <f>Price!C442</f>
        <v>0</v>
      </c>
      <c r="O442" s="525">
        <f>Price!D442</f>
        <v>0</v>
      </c>
      <c r="P442" s="16"/>
      <c r="Q442" s="17">
        <f>Price!F442</f>
        <v>0</v>
      </c>
      <c r="R442" s="318"/>
      <c r="S442" s="318"/>
      <c r="T442" s="12">
        <f>Price!G442</f>
        <v>0</v>
      </c>
      <c r="U442" s="252">
        <f>Price!H442</f>
        <v>0</v>
      </c>
      <c r="V442" s="13"/>
      <c r="W442" s="13"/>
      <c r="X442" s="19"/>
      <c r="Y442" s="19"/>
    </row>
    <row r="443" spans="1:25" ht="15" thickBot="1" x14ac:dyDescent="0.4">
      <c r="A443" s="320" t="str">
        <f>IF(OR($C$2=1, $C$2=4),L443,IF($C$2=2,L444,IF($C$2=3,L445,IF($C$2=5,L445,"  chyba"))))</f>
        <v>Zásuvkové rámečky úzké, 450mm, Orion šedá</v>
      </c>
      <c r="B443" s="324" t="str">
        <f t="shared" ref="B443" si="369">IF(OR($C$2=1, $C$2=4),M443,IF($C$2=2,M444,IF($C$2=3,M445,IF($C$2=5,M445,"  chyba"))))</f>
        <v>ZC7S450RS1</v>
      </c>
      <c r="C443" s="324" t="str">
        <f t="shared" ref="C443" si="370">IF(OR($C$2=1, $C$2=4),N443,IF($C$2=2,N444,IF($C$2=3,N445,IF($C$2=5,N445,"  chyba"))))</f>
        <v>OG-M</v>
      </c>
      <c r="D443" s="324">
        <f t="shared" ref="D443" si="371">IF(OR($C$2=1, $C$2=4),O443,IF($C$2=2,O444,IF($C$2=3,O445,IF($C$2=5,O445,"  chyba"))))</f>
        <v>0</v>
      </c>
      <c r="E443" s="321">
        <f t="shared" ref="E443" si="372">IF(OR($C$2=1, $C$2=4),P443,IF($C$2=2,P444,IF($C$2=3,P445,IF($C$2=5,P445,"  chyba"))))</f>
        <v>0</v>
      </c>
      <c r="F443" s="322">
        <f t="shared" ref="F443" si="373">IF(OR($C$2=1, $C$2=4),Q443,IF($C$2=2,Q444,IF($C$2=3,Q445,IF($C$2=5,Q445,"  chyba"))))</f>
        <v>609.31690000000003</v>
      </c>
      <c r="G443" s="323"/>
      <c r="H443" s="323"/>
      <c r="I443" s="325">
        <f t="shared" ref="I443" si="374">IF(OR($C$2=1, $C$2=4),T443,IF($C$2=2,T444,IF($C$2=3,T445,IF($C$2=5,T445,"  chyba"))))</f>
        <v>3560959</v>
      </c>
      <c r="J443" s="325">
        <f t="shared" ref="J443" si="375">IF(OR($C$2=1, $C$2=4),U443,IF($C$2=2,U444,IF($C$2=3,U445,IF($C$2=5,U445,"  chyba"))))</f>
        <v>227636</v>
      </c>
      <c r="K443" s="69"/>
      <c r="L443" s="61" t="str">
        <f>Price!A443</f>
        <v>Zásuvkové rámečky úzké, 450mm, Orion šedá</v>
      </c>
      <c r="M443" s="15" t="str">
        <f>Price!B443</f>
        <v>ZC7S450RS1</v>
      </c>
      <c r="N443" s="15" t="str">
        <f>Price!C443</f>
        <v>OG-M</v>
      </c>
      <c r="O443" s="525">
        <f>Price!D443</f>
        <v>0</v>
      </c>
      <c r="P443" s="16"/>
      <c r="Q443" s="17">
        <f>Price!F443</f>
        <v>609.31690000000003</v>
      </c>
      <c r="R443" s="318"/>
      <c r="S443" s="318"/>
      <c r="T443" s="12">
        <f>Price!G443</f>
        <v>3560959</v>
      </c>
      <c r="U443" s="252">
        <f>Price!H443</f>
        <v>227636</v>
      </c>
      <c r="V443" s="13"/>
      <c r="W443" s="13"/>
      <c r="X443" s="19"/>
      <c r="Y443" s="19"/>
    </row>
    <row r="444" spans="1:25" x14ac:dyDescent="0.35">
      <c r="A444" s="77"/>
      <c r="B444" s="160"/>
      <c r="C444" s="160"/>
      <c r="D444" s="528"/>
      <c r="E444" s="83"/>
      <c r="F444" s="65"/>
      <c r="G444" s="65"/>
      <c r="H444" s="65"/>
      <c r="I444" s="171"/>
      <c r="J444" s="171"/>
      <c r="K444" s="69"/>
      <c r="L444" s="61" t="str">
        <f>Price!A444</f>
        <v>Zásuvkové rámečky úzké, 450mm, hedvábně bílá</v>
      </c>
      <c r="M444" s="15" t="str">
        <f>Price!B444</f>
        <v>ZC7S450RS1</v>
      </c>
      <c r="N444" s="15" t="str">
        <f>Price!C444</f>
        <v>SW-M</v>
      </c>
      <c r="O444" s="525">
        <f>Price!D444</f>
        <v>0</v>
      </c>
      <c r="P444" s="16"/>
      <c r="Q444" s="17">
        <f>Price!F444</f>
        <v>609.31690000000003</v>
      </c>
      <c r="R444" s="318"/>
      <c r="S444" s="318"/>
      <c r="T444" s="12">
        <f>Price!G444</f>
        <v>7627957</v>
      </c>
      <c r="U444" s="252">
        <f>Price!H444</f>
        <v>227635</v>
      </c>
      <c r="V444" s="13"/>
      <c r="W444" s="13"/>
      <c r="X444" s="19"/>
      <c r="Y444" s="19"/>
    </row>
    <row r="445" spans="1:25" x14ac:dyDescent="0.35">
      <c r="A445" s="77"/>
      <c r="B445" s="161"/>
      <c r="C445" s="161"/>
      <c r="D445" s="529"/>
      <c r="E445" s="83"/>
      <c r="F445" s="65"/>
      <c r="G445" s="65"/>
      <c r="H445" s="65"/>
      <c r="I445" s="170"/>
      <c r="J445" s="170"/>
      <c r="K445" s="69"/>
      <c r="L445" s="61" t="str">
        <f>Price!A445</f>
        <v>Zásuvkové rámečky úzké, 450mm, Terra černá</v>
      </c>
      <c r="M445" s="15" t="str">
        <f>Price!B445</f>
        <v>ZC7S450RS1</v>
      </c>
      <c r="N445" s="15" t="str">
        <f>Price!C445</f>
        <v>TS-M</v>
      </c>
      <c r="O445" s="525">
        <f>Price!D445</f>
        <v>0</v>
      </c>
      <c r="P445" s="16"/>
      <c r="Q445" s="17">
        <f>Price!F445</f>
        <v>609.31690000000003</v>
      </c>
      <c r="R445" s="318"/>
      <c r="S445" s="318"/>
      <c r="T445" s="12">
        <f>Price!G445</f>
        <v>8504478</v>
      </c>
      <c r="U445" s="252">
        <f>Price!H445</f>
        <v>227637</v>
      </c>
      <c r="V445" s="13"/>
      <c r="W445" s="13"/>
      <c r="X445" s="19"/>
      <c r="Y445" s="19"/>
    </row>
    <row r="446" spans="1:25" ht="15" thickBot="1" x14ac:dyDescent="0.4">
      <c r="A446" s="320" t="str">
        <f>IF(OR($C$2=1, $C$2=4),L446,IF($C$2=2,L447,IF($C$2=3,L448,IF($C$2=5,L448,"  chyba"))))</f>
        <v>Zásuvkové rámečky úzké, 500mm, Orion šedá</v>
      </c>
      <c r="B446" s="324" t="str">
        <f t="shared" ref="B446" si="376">IF(OR($C$2=1, $C$2=4),M446,IF($C$2=2,M447,IF($C$2=3,M448,IF($C$2=5,M448,"  chyba"))))</f>
        <v>ZC7S500RS1</v>
      </c>
      <c r="C446" s="324" t="str">
        <f t="shared" ref="C446" si="377">IF(OR($C$2=1, $C$2=4),N446,IF($C$2=2,N447,IF($C$2=3,N448,IF($C$2=5,N448,"  chyba"))))</f>
        <v>OG-M</v>
      </c>
      <c r="D446" s="324">
        <f t="shared" ref="D446" si="378">IF(OR($C$2=1, $C$2=4),O446,IF($C$2=2,O447,IF($C$2=3,O448,IF($C$2=5,O448,"  chyba"))))</f>
        <v>0</v>
      </c>
      <c r="E446" s="321">
        <f t="shared" ref="E446" si="379">IF(OR($C$2=1, $C$2=4),P446,IF($C$2=2,P447,IF($C$2=3,P448,IF($C$2=5,P448,"  chyba"))))</f>
        <v>0</v>
      </c>
      <c r="F446" s="322">
        <f t="shared" ref="F446" si="380">IF(OR($C$2=1, $C$2=4),Q446,IF($C$2=2,Q447,IF($C$2=3,Q448,IF($C$2=5,Q448,"  chyba"))))</f>
        <v>618.24832000000004</v>
      </c>
      <c r="G446" s="323"/>
      <c r="H446" s="323"/>
      <c r="I446" s="325">
        <f t="shared" ref="I446" si="381">IF(OR($C$2=1, $C$2=4),T446,IF($C$2=2,T447,IF($C$2=3,T448,IF($C$2=5,T448,"  chyba"))))</f>
        <v>8693820</v>
      </c>
      <c r="J446" s="325">
        <f t="shared" ref="J446" si="382">IF(OR($C$2=1, $C$2=4),U446,IF($C$2=2,U447,IF($C$2=3,U448,IF($C$2=5,U448,"  chyba"))))</f>
        <v>227639</v>
      </c>
      <c r="K446" s="69"/>
      <c r="L446" s="61" t="str">
        <f>Price!A446</f>
        <v>Zásuvkové rámečky úzké, 500mm, Orion šedá</v>
      </c>
      <c r="M446" s="15" t="str">
        <f>Price!B446</f>
        <v>ZC7S500RS1</v>
      </c>
      <c r="N446" s="15" t="str">
        <f>Price!C446</f>
        <v>OG-M</v>
      </c>
      <c r="O446" s="525">
        <f>Price!D446</f>
        <v>0</v>
      </c>
      <c r="P446" s="16"/>
      <c r="Q446" s="17">
        <f>Price!F446</f>
        <v>618.24832000000004</v>
      </c>
      <c r="R446" s="318"/>
      <c r="S446" s="318"/>
      <c r="T446" s="12">
        <f>Price!G446</f>
        <v>8693820</v>
      </c>
      <c r="U446" s="252">
        <f>Price!H446</f>
        <v>227639</v>
      </c>
      <c r="V446" s="13"/>
      <c r="W446" s="13"/>
      <c r="X446" s="19"/>
      <c r="Y446" s="19"/>
    </row>
    <row r="447" spans="1:25" x14ac:dyDescent="0.35">
      <c r="A447" s="319"/>
      <c r="B447" s="161"/>
      <c r="C447" s="161"/>
      <c r="D447" s="529"/>
      <c r="E447" s="83"/>
      <c r="F447" s="65"/>
      <c r="G447" s="65"/>
      <c r="H447" s="65"/>
      <c r="I447" s="170"/>
      <c r="J447" s="170"/>
      <c r="K447" s="69"/>
      <c r="L447" s="61" t="str">
        <f>Price!A447</f>
        <v>Zásuvkové rámečky úzké, 500mm, hedvábně bílá</v>
      </c>
      <c r="M447" s="15" t="str">
        <f>Price!B447</f>
        <v>ZC7S500RS1</v>
      </c>
      <c r="N447" s="15" t="str">
        <f>Price!C447</f>
        <v>SW-M</v>
      </c>
      <c r="O447" s="525">
        <f>Price!D447</f>
        <v>0</v>
      </c>
      <c r="P447" s="16"/>
      <c r="Q447" s="17">
        <f>Price!F447</f>
        <v>618.24832000000004</v>
      </c>
      <c r="R447" s="318"/>
      <c r="S447" s="318"/>
      <c r="T447" s="12">
        <f>Price!G447</f>
        <v>4394675</v>
      </c>
      <c r="U447" s="252">
        <f>Price!H447</f>
        <v>227638</v>
      </c>
      <c r="V447" s="13"/>
      <c r="W447" s="13"/>
      <c r="X447" s="19"/>
      <c r="Y447" s="19"/>
    </row>
    <row r="448" spans="1:25" x14ac:dyDescent="0.35">
      <c r="A448" s="77"/>
      <c r="B448" s="160"/>
      <c r="C448" s="160"/>
      <c r="D448" s="528"/>
      <c r="E448" s="78"/>
      <c r="F448" s="65"/>
      <c r="G448" s="65"/>
      <c r="H448" s="65"/>
      <c r="I448" s="171"/>
      <c r="J448" s="171"/>
      <c r="K448" s="62"/>
      <c r="L448" s="61" t="str">
        <f>Price!A448</f>
        <v>Zásuvkové rámečky úzké, 500mm, Terra černá</v>
      </c>
      <c r="M448" s="15" t="str">
        <f>Price!B448</f>
        <v>ZC7S500RS1</v>
      </c>
      <c r="N448" s="15" t="str">
        <f>Price!C448</f>
        <v>TS-M</v>
      </c>
      <c r="O448" s="525">
        <f>Price!D448</f>
        <v>0</v>
      </c>
      <c r="P448" s="16"/>
      <c r="Q448" s="17">
        <f>Price!F448</f>
        <v>618.24832000000004</v>
      </c>
      <c r="R448" s="318"/>
      <c r="S448" s="318"/>
      <c r="T448" s="12">
        <f>Price!G448</f>
        <v>2001978</v>
      </c>
      <c r="U448" s="252">
        <f>Price!H448</f>
        <v>227640</v>
      </c>
      <c r="V448" s="13"/>
      <c r="W448" s="13"/>
      <c r="X448" s="19"/>
      <c r="Y448" s="19"/>
    </row>
    <row r="449" spans="1:25" ht="15" thickBot="1" x14ac:dyDescent="0.4">
      <c r="A449" s="320" t="str">
        <f>IF(OR($C$2=1, $C$2=4),L449,IF($C$2=2,L450,IF($C$2=3,L451,IF($C$2=5,L451,"  chyba"))))</f>
        <v>Zásuvkové rámečky úzké, 550mm, Orion šedá</v>
      </c>
      <c r="B449" s="324" t="str">
        <f t="shared" ref="B449" si="383">IF(OR($C$2=1, $C$2=4),M449,IF($C$2=2,M450,IF($C$2=3,M451,IF($C$2=5,M451,"  chyba"))))</f>
        <v>ZC7S550RS1</v>
      </c>
      <c r="C449" s="324" t="str">
        <f t="shared" ref="C449" si="384">IF(OR($C$2=1, $C$2=4),N449,IF($C$2=2,N450,IF($C$2=3,N451,IF($C$2=5,N451,"  chyba"))))</f>
        <v>OG-M</v>
      </c>
      <c r="D449" s="324">
        <f t="shared" ref="D449" si="385">IF(OR($C$2=1, $C$2=4),O449,IF($C$2=2,O450,IF($C$2=3,O451,IF($C$2=5,O451,"  chyba"))))</f>
        <v>0</v>
      </c>
      <c r="E449" s="321">
        <f t="shared" ref="E449" si="386">IF(OR($C$2=1, $C$2=4),P449,IF($C$2=2,P450,IF($C$2=3,P451,IF($C$2=5,P451,"  chyba"))))</f>
        <v>0</v>
      </c>
      <c r="F449" s="322">
        <f t="shared" ref="F449" si="387">IF(OR($C$2=1, $C$2=4),Q449,IF($C$2=2,Q450,IF($C$2=3,Q451,IF($C$2=5,Q451,"  chyba"))))</f>
        <v>634.03956000000005</v>
      </c>
      <c r="G449" s="323"/>
      <c r="H449" s="323"/>
      <c r="I449" s="325">
        <f t="shared" ref="I449" si="388">IF(OR($C$2=1, $C$2=4),T449,IF($C$2=2,T450,IF($C$2=3,T451,IF($C$2=5,T451,"  chyba"))))</f>
        <v>7888159</v>
      </c>
      <c r="J449" s="325">
        <f t="shared" ref="J449" si="389">IF(OR($C$2=1, $C$2=4),U449,IF($C$2=2,U450,IF($C$2=3,U451,IF($C$2=5,U451,"  chyba"))))</f>
        <v>227642</v>
      </c>
      <c r="K449" s="70"/>
      <c r="L449" s="61" t="str">
        <f>Price!A449</f>
        <v>Zásuvkové rámečky úzké, 550mm, Orion šedá</v>
      </c>
      <c r="M449" s="15" t="str">
        <f>Price!B449</f>
        <v>ZC7S550RS1</v>
      </c>
      <c r="N449" s="15" t="str">
        <f>Price!C449</f>
        <v>OG-M</v>
      </c>
      <c r="O449" s="525">
        <f>Price!D449</f>
        <v>0</v>
      </c>
      <c r="P449" s="16"/>
      <c r="Q449" s="17">
        <f>Price!F449</f>
        <v>634.03956000000005</v>
      </c>
      <c r="R449" s="318"/>
      <c r="S449" s="318"/>
      <c r="T449" s="12">
        <f>Price!G449</f>
        <v>7888159</v>
      </c>
      <c r="U449" s="252">
        <f>Price!H449</f>
        <v>227642</v>
      </c>
      <c r="V449" s="13"/>
      <c r="W449" s="13"/>
      <c r="X449" s="19"/>
      <c r="Y449" s="19"/>
    </row>
    <row r="450" spans="1:25" x14ac:dyDescent="0.35">
      <c r="A450" s="79"/>
      <c r="B450" s="160"/>
      <c r="C450" s="160"/>
      <c r="D450" s="528"/>
      <c r="E450" s="78"/>
      <c r="F450" s="67"/>
      <c r="G450" s="67"/>
      <c r="H450" s="67"/>
      <c r="I450" s="171"/>
      <c r="J450" s="171"/>
      <c r="K450" s="70"/>
      <c r="L450" s="61" t="str">
        <f>Price!A450</f>
        <v>Zásuvkové rámečky úzké, 550mm, hedvábně bílá</v>
      </c>
      <c r="M450" s="15" t="str">
        <f>Price!B450</f>
        <v>ZC7S550RS1</v>
      </c>
      <c r="N450" s="15" t="str">
        <f>Price!C450</f>
        <v>SW-M</v>
      </c>
      <c r="O450" s="525">
        <f>Price!D450</f>
        <v>0</v>
      </c>
      <c r="P450" s="16"/>
      <c r="Q450" s="17">
        <f>Price!F450</f>
        <v>634.03956000000005</v>
      </c>
      <c r="R450" s="318"/>
      <c r="S450" s="318"/>
      <c r="T450" s="12">
        <f>Price!G450</f>
        <v>4659446</v>
      </c>
      <c r="U450" s="252">
        <f>Price!H450</f>
        <v>227641</v>
      </c>
      <c r="V450" s="13"/>
      <c r="W450" s="13"/>
      <c r="X450" s="19"/>
      <c r="Y450" s="19"/>
    </row>
    <row r="451" spans="1:25" x14ac:dyDescent="0.35">
      <c r="A451" s="77"/>
      <c r="B451" s="160"/>
      <c r="C451" s="160"/>
      <c r="D451" s="528"/>
      <c r="E451" s="78"/>
      <c r="F451" s="65"/>
      <c r="G451" s="65"/>
      <c r="H451" s="65"/>
      <c r="I451" s="171"/>
      <c r="J451" s="171"/>
      <c r="K451" s="62"/>
      <c r="L451" s="61" t="str">
        <f>Price!A451</f>
        <v>Zásuvkové rámečky úzké, 550mm, Terra černá</v>
      </c>
      <c r="M451" s="15" t="str">
        <f>Price!B451</f>
        <v>ZC7S550RS1</v>
      </c>
      <c r="N451" s="15" t="str">
        <f>Price!C451</f>
        <v>TS-M</v>
      </c>
      <c r="O451" s="525">
        <f>Price!D451</f>
        <v>0</v>
      </c>
      <c r="P451" s="16"/>
      <c r="Q451" s="17">
        <f>Price!F451</f>
        <v>634.03956000000005</v>
      </c>
      <c r="R451" s="318"/>
      <c r="S451" s="318"/>
      <c r="T451" s="12">
        <f>Price!G451</f>
        <v>1857690</v>
      </c>
      <c r="U451" s="252">
        <f>Price!H451</f>
        <v>227643</v>
      </c>
      <c r="V451" s="13"/>
      <c r="W451" s="13"/>
      <c r="X451" s="19"/>
      <c r="Y451" s="19"/>
    </row>
    <row r="452" spans="1:25" ht="15" thickBot="1" x14ac:dyDescent="0.4">
      <c r="A452" s="320" t="str">
        <f>IF(OR($C$2=1, $C$2=4),L452,IF($C$2=2,L453,IF($C$2=3,L454,IF($C$2=5,L454,"  chyba"))))</f>
        <v>Zásuvkové rámečky úzké, 600mm, Orion šedá</v>
      </c>
      <c r="B452" s="324" t="str">
        <f t="shared" ref="B452" si="390">IF(OR($C$2=1, $C$2=4),M452,IF($C$2=2,M453,IF($C$2=3,M454,IF($C$2=5,M454,"  chyba"))))</f>
        <v>ZC7S600RS1</v>
      </c>
      <c r="C452" s="324" t="str">
        <f t="shared" ref="C452" si="391">IF(OR($C$2=1, $C$2=4),N452,IF($C$2=2,N453,IF($C$2=3,N454,IF($C$2=5,N454,"  chyba"))))</f>
        <v>OG-M</v>
      </c>
      <c r="D452" s="324">
        <f t="shared" ref="D452" si="392">IF(OR($C$2=1, $C$2=4),O452,IF($C$2=2,O453,IF($C$2=3,O454,IF($C$2=5,O454,"  chyba"))))</f>
        <v>0</v>
      </c>
      <c r="E452" s="321">
        <f t="shared" ref="E452" si="393">IF(OR($C$2=1, $C$2=4),P452,IF($C$2=2,P453,IF($C$2=3,P454,IF($C$2=5,P454,"  chyba"))))</f>
        <v>0</v>
      </c>
      <c r="F452" s="322">
        <f t="shared" ref="F452" si="394">IF(OR($C$2=1, $C$2=4),Q452,IF($C$2=2,Q453,IF($C$2=3,Q454,IF($C$2=5,Q454,"  chyba"))))</f>
        <v>649.83617000000004</v>
      </c>
      <c r="G452" s="323"/>
      <c r="H452" s="323"/>
      <c r="I452" s="325">
        <f t="shared" ref="I452" si="395">IF(OR($C$2=1, $C$2=4),T452,IF($C$2=2,T453,IF($C$2=3,T454,IF($C$2=5,T454,"  chyba"))))</f>
        <v>5406259</v>
      </c>
      <c r="J452" s="325">
        <f t="shared" ref="J452" si="396">IF(OR($C$2=1, $C$2=4),U452,IF($C$2=2,U453,IF($C$2=3,U454,IF($C$2=5,U454,"  chyba"))))</f>
        <v>227645</v>
      </c>
      <c r="K452" s="70"/>
      <c r="L452" s="61" t="str">
        <f>Price!A452</f>
        <v>Zásuvkové rámečky úzké, 600mm, Orion šedá</v>
      </c>
      <c r="M452" s="15" t="str">
        <f>Price!B452</f>
        <v>ZC7S600RS1</v>
      </c>
      <c r="N452" s="15" t="str">
        <f>Price!C452</f>
        <v>OG-M</v>
      </c>
      <c r="O452" s="525">
        <f>Price!D452</f>
        <v>0</v>
      </c>
      <c r="P452" s="16"/>
      <c r="Q452" s="17">
        <f>Price!F452</f>
        <v>649.83617000000004</v>
      </c>
      <c r="R452" s="318"/>
      <c r="S452" s="318"/>
      <c r="T452" s="12">
        <f>Price!G452</f>
        <v>5406259</v>
      </c>
      <c r="U452" s="252">
        <f>Price!H452</f>
        <v>227645</v>
      </c>
      <c r="V452" s="13"/>
      <c r="W452" s="13"/>
      <c r="X452" s="19"/>
      <c r="Y452" s="19"/>
    </row>
    <row r="453" spans="1:25" x14ac:dyDescent="0.35">
      <c r="A453" s="77"/>
      <c r="B453" s="160"/>
      <c r="C453" s="160"/>
      <c r="D453" s="528"/>
      <c r="E453" s="83"/>
      <c r="F453" s="65"/>
      <c r="G453" s="65"/>
      <c r="H453" s="65"/>
      <c r="I453" s="171"/>
      <c r="J453" s="171"/>
      <c r="K453" s="70"/>
      <c r="L453" s="61" t="str">
        <f>Price!A453</f>
        <v>Zásuvkové rámečky úzké, 600mm, hedvábně bílá</v>
      </c>
      <c r="M453" s="15" t="str">
        <f>Price!B453</f>
        <v>ZC7S600RS1</v>
      </c>
      <c r="N453" s="15" t="str">
        <f>Price!C453</f>
        <v>SW-M</v>
      </c>
      <c r="O453" s="525">
        <f>Price!D453</f>
        <v>0</v>
      </c>
      <c r="P453" s="16"/>
      <c r="Q453" s="17">
        <f>Price!F453</f>
        <v>649.83617000000004</v>
      </c>
      <c r="R453" s="318"/>
      <c r="S453" s="318"/>
      <c r="T453" s="12">
        <f>Price!G453</f>
        <v>9947186</v>
      </c>
      <c r="U453" s="252">
        <f>Price!H453</f>
        <v>227644</v>
      </c>
      <c r="V453" s="13"/>
      <c r="W453" s="13"/>
      <c r="X453" s="19"/>
      <c r="Y453" s="19"/>
    </row>
    <row r="454" spans="1:25" x14ac:dyDescent="0.35">
      <c r="A454" s="77"/>
      <c r="B454" s="160"/>
      <c r="C454" s="160"/>
      <c r="D454" s="528"/>
      <c r="E454" s="78"/>
      <c r="F454" s="65"/>
      <c r="G454" s="65"/>
      <c r="H454" s="65"/>
      <c r="I454" s="171"/>
      <c r="J454" s="171"/>
      <c r="K454" s="70"/>
      <c r="L454" s="61" t="str">
        <f>Price!A454</f>
        <v>Zásuvkové rámečky úzké, 600mm, Terra černá</v>
      </c>
      <c r="M454" s="15" t="str">
        <f>Price!B454</f>
        <v>ZC7S600RS1</v>
      </c>
      <c r="N454" s="15" t="str">
        <f>Price!C454</f>
        <v>TS-M</v>
      </c>
      <c r="O454" s="525">
        <f>Price!D454</f>
        <v>0</v>
      </c>
      <c r="P454" s="16"/>
      <c r="Q454" s="17">
        <f>Price!F454</f>
        <v>649.83617000000004</v>
      </c>
      <c r="R454" s="318"/>
      <c r="S454" s="318"/>
      <c r="T454" s="12">
        <f>Price!G454</f>
        <v>3460266</v>
      </c>
      <c r="U454" s="252">
        <f>Price!H454</f>
        <v>227646</v>
      </c>
      <c r="V454" s="13"/>
      <c r="W454" s="13"/>
      <c r="X454" s="19"/>
      <c r="Y454" s="19"/>
    </row>
    <row r="455" spans="1:25" ht="15" thickBot="1" x14ac:dyDescent="0.4">
      <c r="A455" s="320" t="str">
        <f>IF(OR($C$2=1, $C$2=4),L455,IF($C$2=2,L456,IF($C$2=3,L457,IF($C$2=5,L457,"  chyba"))))</f>
        <v>Zásuvkové rámečky úzké, 650mm, Orion šedá</v>
      </c>
      <c r="B455" s="324" t="str">
        <f t="shared" ref="B455" si="397">IF(OR($C$2=1, $C$2=4),M455,IF($C$2=2,M456,IF($C$2=3,M457,IF($C$2=5,M457,"  chyba"))))</f>
        <v>ZC7S650RS1</v>
      </c>
      <c r="C455" s="324" t="str">
        <f t="shared" ref="C455" si="398">IF(OR($C$2=1, $C$2=4),N455,IF($C$2=2,N456,IF($C$2=3,N457,IF($C$2=5,N457,"  chyba"))))</f>
        <v>OG-M</v>
      </c>
      <c r="D455" s="324">
        <f t="shared" ref="D455" si="399">IF(OR($C$2=1, $C$2=4),O455,IF($C$2=2,O456,IF($C$2=3,O457,IF($C$2=5,O457,"  chyba"))))</f>
        <v>0</v>
      </c>
      <c r="E455" s="321">
        <f t="shared" ref="E455" si="400">IF(OR($C$2=1, $C$2=4),P455,IF($C$2=2,P456,IF($C$2=3,P457,IF($C$2=5,P457,"  chyba"))))</f>
        <v>0</v>
      </c>
      <c r="F455" s="322">
        <f t="shared" ref="F455" si="401">IF(OR($C$2=1, $C$2=4),Q455,IF($C$2=2,Q456,IF($C$2=3,Q457,IF($C$2=5,Q457,"  chyba"))))</f>
        <v>665.62681999999995</v>
      </c>
      <c r="G455" s="323"/>
      <c r="H455" s="323"/>
      <c r="I455" s="325">
        <f t="shared" ref="I455" si="402">IF(OR($C$2=1, $C$2=4),T455,IF($C$2=2,T456,IF($C$2=3,T457,IF($C$2=5,T457,"  chyba"))))</f>
        <v>9535897</v>
      </c>
      <c r="J455" s="325">
        <f t="shared" ref="J455" si="403">IF(OR($C$2=1, $C$2=4),U455,IF($C$2=2,U456,IF($C$2=3,U457,IF($C$2=5,U457,"  chyba"))))</f>
        <v>275842</v>
      </c>
      <c r="K455" s="70"/>
      <c r="L455" s="61" t="str">
        <f>Price!A455</f>
        <v>Zásuvkové rámečky úzké, 650mm, Orion šedá</v>
      </c>
      <c r="M455" s="15" t="str">
        <f>Price!B455</f>
        <v>ZC7S650RS1</v>
      </c>
      <c r="N455" s="15" t="str">
        <f>Price!C455</f>
        <v>OG-M</v>
      </c>
      <c r="O455" s="525">
        <f>Price!D455</f>
        <v>0</v>
      </c>
      <c r="P455" s="16"/>
      <c r="Q455" s="17">
        <f>Price!F455</f>
        <v>665.62681999999995</v>
      </c>
      <c r="R455" s="318"/>
      <c r="S455" s="318"/>
      <c r="T455" s="12">
        <f>Price!G455</f>
        <v>9535897</v>
      </c>
      <c r="U455" s="252">
        <f>Price!H455</f>
        <v>275842</v>
      </c>
      <c r="V455" s="13"/>
      <c r="W455" s="13"/>
      <c r="X455" s="19"/>
      <c r="Y455" s="19"/>
    </row>
    <row r="456" spans="1:25" x14ac:dyDescent="0.35">
      <c r="A456" s="77"/>
      <c r="B456" s="160"/>
      <c r="C456" s="160"/>
      <c r="D456" s="528"/>
      <c r="E456" s="83"/>
      <c r="F456" s="65"/>
      <c r="G456" s="65"/>
      <c r="H456" s="65"/>
      <c r="I456" s="171"/>
      <c r="J456" s="171"/>
      <c r="K456" s="70"/>
      <c r="L456" s="61" t="str">
        <f>Price!A456</f>
        <v>Zásuvkové rámečky úzké, 650mm, hedvábně bílá</v>
      </c>
      <c r="M456" s="15" t="str">
        <f>Price!B456</f>
        <v>ZC7S650RS1</v>
      </c>
      <c r="N456" s="15" t="str">
        <f>Price!C456</f>
        <v>SW-M</v>
      </c>
      <c r="O456" s="525">
        <f>Price!D456</f>
        <v>0</v>
      </c>
      <c r="P456" s="16"/>
      <c r="Q456" s="17">
        <f>Price!F456</f>
        <v>665.62681999999995</v>
      </c>
      <c r="R456" s="318"/>
      <c r="S456" s="318"/>
      <c r="T456" s="12">
        <f>Price!G456</f>
        <v>5590354</v>
      </c>
      <c r="U456" s="252">
        <f>Price!H456</f>
        <v>279410</v>
      </c>
      <c r="V456" s="13"/>
      <c r="W456" s="13"/>
      <c r="X456" s="19"/>
      <c r="Y456" s="19"/>
    </row>
    <row r="457" spans="1:25" x14ac:dyDescent="0.35">
      <c r="A457" s="77"/>
      <c r="B457" s="160"/>
      <c r="C457" s="160"/>
      <c r="D457" s="528"/>
      <c r="E457" s="78"/>
      <c r="F457" s="65"/>
      <c r="G457" s="65"/>
      <c r="H457" s="65"/>
      <c r="I457" s="171"/>
      <c r="J457" s="171"/>
      <c r="K457" s="70"/>
      <c r="L457" s="61" t="str">
        <f>Price!A457</f>
        <v>Zásuvkové rámečky úzké, 650mm, Terra černá</v>
      </c>
      <c r="M457" s="15" t="str">
        <f>Price!B457</f>
        <v>ZC7S650RS1</v>
      </c>
      <c r="N457" s="15" t="str">
        <f>Price!C457</f>
        <v>TS-M</v>
      </c>
      <c r="O457" s="525">
        <f>Price!D457</f>
        <v>0</v>
      </c>
      <c r="P457" s="16"/>
      <c r="Q457" s="17">
        <f>Price!F457</f>
        <v>665.62681999999995</v>
      </c>
      <c r="R457" s="318"/>
      <c r="S457" s="318"/>
      <c r="T457" s="12">
        <f>Price!G457</f>
        <v>2663377</v>
      </c>
      <c r="U457" s="252">
        <f>Price!H457</f>
        <v>279411</v>
      </c>
      <c r="V457" s="13"/>
      <c r="W457" s="13"/>
      <c r="X457" s="19"/>
      <c r="Y457" s="19"/>
    </row>
    <row r="458" spans="1:25" ht="15" thickBot="1" x14ac:dyDescent="0.4">
      <c r="A458" s="320" t="str">
        <f>IF(OR($C$2=1, $C$2=4),L458,IF($C$2=2,L459,IF($C$2=3,L460,IF($C$2=5,L460,"  chyba"))))</f>
        <v>Samostatná příčka, 50/100mm, Orion šedá</v>
      </c>
      <c r="B458" s="324" t="str">
        <f t="shared" ref="B458" si="404">IF(OR($C$2=1, $C$2=4),M458,IF($C$2=2,M459,IF($C$2=3,M460,IF($C$2=5,M460,"  chyba"))))</f>
        <v>ZC7Q010SS</v>
      </c>
      <c r="C458" s="324" t="str">
        <f t="shared" ref="C458" si="405">IF(OR($C$2=1, $C$2=4),N458,IF($C$2=2,N459,IF($C$2=3,N460,IF($C$2=5,N460,"  chyba"))))</f>
        <v>OG-M</v>
      </c>
      <c r="D458" s="324" t="str">
        <f t="shared" ref="D458" si="406">IF(OR($C$2=1, $C$2=4),O458,IF($C$2=2,O459,IF($C$2=3,O460,IF($C$2=5,O460,"  chyba"))))</f>
        <v>!</v>
      </c>
      <c r="E458" s="321">
        <f t="shared" ref="E458" si="407">IF(OR($C$2=1, $C$2=4),P458,IF($C$2=2,P459,IF($C$2=3,P460,IF($C$2=5,P460,"  chyba"))))</f>
        <v>0</v>
      </c>
      <c r="F458" s="322">
        <f t="shared" ref="F458" si="408">IF(OR($C$2=1, $C$2=4),Q458,IF($C$2=2,Q459,IF($C$2=3,Q460,IF($C$2=5,Q460,"  chyba"))))</f>
        <v>99.606099999999998</v>
      </c>
      <c r="G458" s="323"/>
      <c r="H458" s="323"/>
      <c r="I458" s="325">
        <f t="shared" ref="I458" si="409">IF(OR($C$2=1, $C$2=4),T458,IF($C$2=2,T459,IF($C$2=3,T460,IF($C$2=5,T460,"  chyba"))))</f>
        <v>1842247</v>
      </c>
      <c r="J458" s="325">
        <f t="shared" ref="J458" si="410">IF(OR($C$2=1, $C$2=4),U458,IF($C$2=2,U459,IF($C$2=3,U460,IF($C$2=5,U460,"  chyba"))))</f>
        <v>227648</v>
      </c>
      <c r="K458" s="70"/>
      <c r="L458" s="61" t="str">
        <f>Price!A458</f>
        <v>Samostatná příčka, 50/100mm, Orion šedá</v>
      </c>
      <c r="M458" s="15" t="str">
        <f>Price!B458</f>
        <v>ZC7Q010SS</v>
      </c>
      <c r="N458" s="15" t="str">
        <f>Price!C458</f>
        <v>OG-M</v>
      </c>
      <c r="O458" s="525" t="str">
        <f>Price!D458</f>
        <v>!</v>
      </c>
      <c r="P458" s="16"/>
      <c r="Q458" s="17">
        <f>Price!F458</f>
        <v>99.606099999999998</v>
      </c>
      <c r="R458" s="318"/>
      <c r="S458" s="318"/>
      <c r="T458" s="12">
        <f>Price!G458</f>
        <v>1842247</v>
      </c>
      <c r="U458" s="252">
        <f>Price!H458</f>
        <v>227648</v>
      </c>
      <c r="V458" s="13"/>
      <c r="W458" s="13"/>
      <c r="X458" s="19"/>
      <c r="Y458" s="19"/>
    </row>
    <row r="459" spans="1:25" x14ac:dyDescent="0.35">
      <c r="A459" s="77"/>
      <c r="B459" s="160"/>
      <c r="C459" s="160"/>
      <c r="D459" s="528"/>
      <c r="E459" s="83"/>
      <c r="F459" s="65"/>
      <c r="G459" s="65"/>
      <c r="H459" s="65"/>
      <c r="I459" s="171"/>
      <c r="J459" s="171"/>
      <c r="K459" s="70"/>
      <c r="L459" s="61" t="str">
        <f>Price!A459</f>
        <v>Samostatná příčka, 50/100mm, hedvábně bílá</v>
      </c>
      <c r="M459" s="15" t="str">
        <f>Price!B459</f>
        <v>ZC7Q010SS</v>
      </c>
      <c r="N459" s="15" t="str">
        <f>Price!C459</f>
        <v>SW-M</v>
      </c>
      <c r="O459" s="525" t="str">
        <f>Price!D459</f>
        <v>!</v>
      </c>
      <c r="P459" s="16"/>
      <c r="Q459" s="17">
        <f>Price!F459</f>
        <v>99.606099999999998</v>
      </c>
      <c r="R459" s="318"/>
      <c r="S459" s="318"/>
      <c r="T459" s="12">
        <f>Price!G459</f>
        <v>5291776</v>
      </c>
      <c r="U459" s="252">
        <f>Price!H459</f>
        <v>227647</v>
      </c>
      <c r="V459" s="13"/>
      <c r="W459" s="13"/>
      <c r="X459" s="19"/>
      <c r="Y459" s="19"/>
    </row>
    <row r="460" spans="1:25" x14ac:dyDescent="0.35">
      <c r="A460" s="77"/>
      <c r="B460" s="160"/>
      <c r="C460" s="160"/>
      <c r="D460" s="528"/>
      <c r="E460" s="78"/>
      <c r="F460" s="65"/>
      <c r="G460" s="65"/>
      <c r="H460" s="65"/>
      <c r="I460" s="171"/>
      <c r="J460" s="171"/>
      <c r="K460" s="70"/>
      <c r="L460" s="61" t="str">
        <f>Price!A460</f>
        <v>Samostatná příčka, 50/100mm, Terra černá</v>
      </c>
      <c r="M460" s="15" t="str">
        <f>Price!B460</f>
        <v>ZC7Q010SS</v>
      </c>
      <c r="N460" s="15" t="str">
        <f>Price!C460</f>
        <v>TS-M</v>
      </c>
      <c r="O460" s="525" t="str">
        <f>Price!D460</f>
        <v>!</v>
      </c>
      <c r="P460" s="16"/>
      <c r="Q460" s="17">
        <f>Price!F460</f>
        <v>99.606099999999998</v>
      </c>
      <c r="R460" s="318"/>
      <c r="S460" s="318"/>
      <c r="T460" s="12">
        <f>Price!G460</f>
        <v>2118580</v>
      </c>
      <c r="U460" s="252">
        <f>Price!H460</f>
        <v>227649</v>
      </c>
      <c r="V460" s="13"/>
      <c r="W460" s="13"/>
      <c r="X460" s="19"/>
      <c r="Y460" s="19"/>
    </row>
    <row r="461" spans="1:25" x14ac:dyDescent="0.35">
      <c r="A461" s="77"/>
      <c r="B461" s="161"/>
      <c r="C461" s="161"/>
      <c r="D461" s="529"/>
      <c r="E461" s="83"/>
      <c r="F461" s="65"/>
      <c r="G461" s="65"/>
      <c r="H461" s="65"/>
      <c r="I461" s="170"/>
      <c r="J461" s="170"/>
      <c r="K461" s="70"/>
      <c r="L461" s="61">
        <f>Price!A461</f>
        <v>0</v>
      </c>
      <c r="M461" s="15">
        <f>Price!B461</f>
        <v>0</v>
      </c>
      <c r="N461" s="15">
        <f>Price!C461</f>
        <v>0</v>
      </c>
      <c r="O461" s="525">
        <f>Price!D461</f>
        <v>0</v>
      </c>
      <c r="P461" s="16"/>
      <c r="Q461" s="17">
        <f>Price!F461</f>
        <v>0</v>
      </c>
      <c r="R461" s="318"/>
      <c r="S461" s="318"/>
      <c r="T461" s="12">
        <f>Price!G461</f>
        <v>0</v>
      </c>
      <c r="U461" s="252">
        <f>Price!H461</f>
        <v>0</v>
      </c>
      <c r="V461" s="13"/>
      <c r="W461" s="13"/>
      <c r="X461" s="19"/>
      <c r="Y461" s="19"/>
    </row>
    <row r="462" spans="1:25" ht="15" thickBot="1" x14ac:dyDescent="0.4">
      <c r="A462" s="320" t="str">
        <f>IF(OR($C$2=1, $C$2=4),L462,IF($C$2=2,L463,IF($C$2=3,L464,IF($C$2=5,L464,"  chyba"))))</f>
        <v>Zásuvkové rámečky široké, 450mm, Orion šedá</v>
      </c>
      <c r="B462" s="324" t="str">
        <f t="shared" ref="B462" si="411">IF(OR($C$2=1, $C$2=4),M462,IF($C$2=2,M463,IF($C$2=3,M464,IF($C$2=5,M464,"  chyba"))))</f>
        <v>ZC7S450RS2</v>
      </c>
      <c r="C462" s="324" t="str">
        <f t="shared" ref="C462" si="412">IF(OR($C$2=1, $C$2=4),N462,IF($C$2=2,N463,IF($C$2=3,N464,IF($C$2=5,N464,"  chyba"))))</f>
        <v>OG-M</v>
      </c>
      <c r="D462" s="324">
        <f t="shared" ref="D462" si="413">IF(OR($C$2=1, $C$2=4),O462,IF($C$2=2,O463,IF($C$2=3,O464,IF($C$2=5,O464,"  chyba"))))</f>
        <v>0</v>
      </c>
      <c r="E462" s="321">
        <f t="shared" ref="E462" si="414">IF(OR($C$2=1, $C$2=4),P462,IF($C$2=2,P463,IF($C$2=3,P464,IF($C$2=5,P464,"  chyba"))))</f>
        <v>0</v>
      </c>
      <c r="F462" s="322">
        <f t="shared" ref="F462" si="415">IF(OR($C$2=1, $C$2=4),Q462,IF($C$2=2,Q463,IF($C$2=3,Q464,IF($C$2=5,Q464,"  chyba"))))</f>
        <v>746.71677999999997</v>
      </c>
      <c r="G462" s="323"/>
      <c r="H462" s="323"/>
      <c r="I462" s="325">
        <f t="shared" ref="I462" si="416">IF(OR($C$2=1, $C$2=4),T462,IF($C$2=2,T463,IF($C$2=3,T464,IF($C$2=5,T464,"  chyba"))))</f>
        <v>2903985</v>
      </c>
      <c r="J462" s="325">
        <f t="shared" ref="J462" si="417">IF(OR($C$2=1, $C$2=4),U462,IF($C$2=2,U463,IF($C$2=3,U464,IF($C$2=5,U464,"  chyba"))))</f>
        <v>227651</v>
      </c>
      <c r="K462" s="70"/>
      <c r="L462" s="61" t="str">
        <f>Price!A462</f>
        <v>Zásuvkové rámečky široké, 450mm, Orion šedá</v>
      </c>
      <c r="M462" s="15" t="str">
        <f>Price!B462</f>
        <v>ZC7S450RS2</v>
      </c>
      <c r="N462" s="15" t="str">
        <f>Price!C462</f>
        <v>OG-M</v>
      </c>
      <c r="O462" s="525">
        <f>Price!D462</f>
        <v>0</v>
      </c>
      <c r="P462" s="16"/>
      <c r="Q462" s="17">
        <f>Price!F462</f>
        <v>746.71677999999997</v>
      </c>
      <c r="R462" s="318"/>
      <c r="S462" s="318"/>
      <c r="T462" s="12">
        <f>Price!G462</f>
        <v>2903985</v>
      </c>
      <c r="U462" s="252">
        <f>Price!H462</f>
        <v>227651</v>
      </c>
      <c r="V462" s="13"/>
      <c r="W462" s="13"/>
      <c r="X462" s="19"/>
      <c r="Y462" s="19"/>
    </row>
    <row r="463" spans="1:25" x14ac:dyDescent="0.35">
      <c r="A463" s="77"/>
      <c r="B463" s="160"/>
      <c r="C463" s="160"/>
      <c r="D463" s="528"/>
      <c r="E463" s="78"/>
      <c r="F463" s="65"/>
      <c r="G463" s="65"/>
      <c r="H463" s="65"/>
      <c r="I463" s="171"/>
      <c r="J463" s="171"/>
      <c r="K463" s="70"/>
      <c r="L463" s="61" t="str">
        <f>Price!A463</f>
        <v>Zásuvkové rámečky široké, 450mm, hedvábně bílá</v>
      </c>
      <c r="M463" s="15" t="str">
        <f>Price!B463</f>
        <v>ZC7S450RS2</v>
      </c>
      <c r="N463" s="15" t="str">
        <f>Price!C463</f>
        <v>SW-M</v>
      </c>
      <c r="O463" s="525">
        <f>Price!D463</f>
        <v>0</v>
      </c>
      <c r="P463" s="16"/>
      <c r="Q463" s="17">
        <f>Price!F463</f>
        <v>746.71677999999997</v>
      </c>
      <c r="R463" s="318"/>
      <c r="S463" s="318"/>
      <c r="T463" s="12">
        <f>Price!G463</f>
        <v>3896104</v>
      </c>
      <c r="U463" s="252">
        <f>Price!H463</f>
        <v>227650</v>
      </c>
      <c r="V463" s="13"/>
      <c r="W463" s="13"/>
      <c r="X463" s="19"/>
      <c r="Y463" s="19"/>
    </row>
    <row r="464" spans="1:25" x14ac:dyDescent="0.35">
      <c r="A464" s="79"/>
      <c r="B464" s="161"/>
      <c r="C464" s="161"/>
      <c r="D464" s="529"/>
      <c r="E464" s="78"/>
      <c r="F464" s="67"/>
      <c r="G464" s="67"/>
      <c r="H464" s="67"/>
      <c r="I464" s="170"/>
      <c r="J464" s="170"/>
      <c r="K464" s="70"/>
      <c r="L464" s="61" t="str">
        <f>Price!A464</f>
        <v>Zásuvkové rámečky široké, 450mm, Terra černá</v>
      </c>
      <c r="M464" s="15" t="str">
        <f>Price!B464</f>
        <v>ZC7S450RS2</v>
      </c>
      <c r="N464" s="15" t="str">
        <f>Price!C464</f>
        <v>TS-M</v>
      </c>
      <c r="O464" s="525">
        <f>Price!D464</f>
        <v>0</v>
      </c>
      <c r="P464" s="16"/>
      <c r="Q464" s="17">
        <f>Price!F464</f>
        <v>746.71677999999997</v>
      </c>
      <c r="R464" s="318"/>
      <c r="S464" s="318"/>
      <c r="T464" s="12">
        <f>Price!G464</f>
        <v>8885527</v>
      </c>
      <c r="U464" s="252">
        <f>Price!H464</f>
        <v>227652</v>
      </c>
      <c r="V464" s="13"/>
      <c r="W464" s="13"/>
      <c r="X464" s="19"/>
      <c r="Y464" s="19"/>
    </row>
    <row r="465" spans="1:25" ht="15" thickBot="1" x14ac:dyDescent="0.4">
      <c r="A465" s="320" t="str">
        <f>IF(OR($C$2=1, $C$2=4),L465,IF($C$2=2,L466,IF($C$2=3,L467,IF($C$2=5,L467,"  chyba"))))</f>
        <v>Zásuvkové rámečky široké, 500mm, Orion šedá</v>
      </c>
      <c r="B465" s="324" t="str">
        <f t="shared" ref="B465" si="418">IF(OR($C$2=1, $C$2=4),M465,IF($C$2=2,M466,IF($C$2=3,M467,IF($C$2=5,M467,"  chyba"))))</f>
        <v>ZC7S500RS2</v>
      </c>
      <c r="C465" s="324" t="str">
        <f t="shared" ref="C465" si="419">IF(OR($C$2=1, $C$2=4),N465,IF($C$2=2,N466,IF($C$2=3,N467,IF($C$2=5,N467,"  chyba"))))</f>
        <v>OG-M</v>
      </c>
      <c r="D465" s="324">
        <f t="shared" ref="D465" si="420">IF(OR($C$2=1, $C$2=4),O465,IF($C$2=2,O466,IF($C$2=3,O467,IF($C$2=5,O467,"  chyba"))))</f>
        <v>0</v>
      </c>
      <c r="E465" s="321">
        <f t="shared" ref="E465" si="421">IF(OR($C$2=1, $C$2=4),P465,IF($C$2=2,P466,IF($C$2=3,P467,IF($C$2=5,P467,"  chyba"))))</f>
        <v>0</v>
      </c>
      <c r="F465" s="322">
        <f t="shared" ref="F465" si="422">IF(OR($C$2=1, $C$2=4),Q465,IF($C$2=2,Q466,IF($C$2=3,Q467,IF($C$2=5,Q467,"  chyba"))))</f>
        <v>755.64283</v>
      </c>
      <c r="G465" s="323"/>
      <c r="H465" s="323"/>
      <c r="I465" s="325">
        <f t="shared" ref="I465" si="423">IF(OR($C$2=1, $C$2=4),T465,IF($C$2=2,T466,IF($C$2=3,T467,IF($C$2=5,T467,"  chyba"))))</f>
        <v>4595319</v>
      </c>
      <c r="J465" s="325">
        <f t="shared" ref="J465" si="424">IF(OR($C$2=1, $C$2=4),U465,IF($C$2=2,U466,IF($C$2=3,U467,IF($C$2=5,U467,"  chyba"))))</f>
        <v>227654</v>
      </c>
      <c r="K465" s="62"/>
      <c r="L465" s="61" t="str">
        <f>Price!A465</f>
        <v>Zásuvkové rámečky široké, 500mm, Orion šedá</v>
      </c>
      <c r="M465" s="15" t="str">
        <f>Price!B465</f>
        <v>ZC7S500RS2</v>
      </c>
      <c r="N465" s="15" t="str">
        <f>Price!C465</f>
        <v>OG-M</v>
      </c>
      <c r="O465" s="525">
        <f>Price!D465</f>
        <v>0</v>
      </c>
      <c r="P465" s="16"/>
      <c r="Q465" s="17">
        <f>Price!F465</f>
        <v>755.64283</v>
      </c>
      <c r="R465" s="318"/>
      <c r="S465" s="318"/>
      <c r="T465" s="12">
        <f>Price!G465</f>
        <v>4595319</v>
      </c>
      <c r="U465" s="252">
        <f>Price!H465</f>
        <v>227654</v>
      </c>
      <c r="V465" s="13"/>
      <c r="W465" s="13"/>
      <c r="X465" s="19"/>
      <c r="Y465" s="19"/>
    </row>
    <row r="466" spans="1:25" x14ac:dyDescent="0.35">
      <c r="A466" s="77"/>
      <c r="B466" s="160"/>
      <c r="C466" s="160"/>
      <c r="D466" s="528"/>
      <c r="E466" s="78"/>
      <c r="F466" s="65"/>
      <c r="G466" s="65"/>
      <c r="H466" s="65"/>
      <c r="I466" s="171"/>
      <c r="J466" s="171"/>
      <c r="K466" s="70"/>
      <c r="L466" s="61" t="str">
        <f>Price!A466</f>
        <v>Zásuvkové rámečky široké, 500mm, hedvábně bílá</v>
      </c>
      <c r="M466" s="15" t="str">
        <f>Price!B466</f>
        <v>ZC7S500RS2</v>
      </c>
      <c r="N466" s="15" t="str">
        <f>Price!C466</f>
        <v>SW-M</v>
      </c>
      <c r="O466" s="525">
        <f>Price!D466</f>
        <v>0</v>
      </c>
      <c r="P466" s="16"/>
      <c r="Q466" s="17">
        <f>Price!F466</f>
        <v>755.64283</v>
      </c>
      <c r="R466" s="318"/>
      <c r="S466" s="318"/>
      <c r="T466" s="12">
        <f>Price!G466</f>
        <v>2921190</v>
      </c>
      <c r="U466" s="252">
        <f>Price!H466</f>
        <v>227653</v>
      </c>
      <c r="V466" s="13"/>
      <c r="X466" s="19"/>
      <c r="Y466" s="19"/>
    </row>
    <row r="467" spans="1:25" x14ac:dyDescent="0.35">
      <c r="A467" s="79"/>
      <c r="B467" s="161"/>
      <c r="C467" s="161"/>
      <c r="D467" s="529"/>
      <c r="E467" s="78"/>
      <c r="F467" s="67"/>
      <c r="G467" s="67"/>
      <c r="H467" s="67"/>
      <c r="I467" s="170"/>
      <c r="J467" s="170"/>
      <c r="K467" s="70"/>
      <c r="L467" s="61" t="str">
        <f>Price!A467</f>
        <v>Zásuvkové rámečky široké, 500mm, Terra černá</v>
      </c>
      <c r="M467" s="15" t="str">
        <f>Price!B467</f>
        <v>ZC7S500RS2</v>
      </c>
      <c r="N467" s="15" t="str">
        <f>Price!C467</f>
        <v>TS-M</v>
      </c>
      <c r="O467" s="525">
        <f>Price!D467</f>
        <v>0</v>
      </c>
      <c r="P467" s="16"/>
      <c r="Q467" s="17">
        <f>Price!F467</f>
        <v>755.64283</v>
      </c>
      <c r="R467" s="318"/>
      <c r="S467" s="318"/>
      <c r="T467" s="12">
        <f>Price!G467</f>
        <v>8524202</v>
      </c>
      <c r="U467" s="252">
        <f>Price!H467</f>
        <v>227655</v>
      </c>
      <c r="V467" s="13"/>
      <c r="W467" s="13"/>
      <c r="X467" s="19"/>
      <c r="Y467" s="19"/>
    </row>
    <row r="468" spans="1:25" ht="15" thickBot="1" x14ac:dyDescent="0.4">
      <c r="A468" s="320" t="str">
        <f>IF(OR($C$2=1, $C$2=4),L468,IF($C$2=2,L469,IF($C$2=3,L470,IF($C$2=5,L470,"  chyba"))))</f>
        <v>Zásuvkové rámečky široké, 550mm, Orion šedá</v>
      </c>
      <c r="B468" s="324" t="str">
        <f t="shared" ref="B468" si="425">IF(OR($C$2=1, $C$2=4),M468,IF($C$2=2,M469,IF($C$2=3,M470,IF($C$2=5,M470,"  chyba"))))</f>
        <v>ZC7S550RS2</v>
      </c>
      <c r="C468" s="324" t="str">
        <f t="shared" ref="C468" si="426">IF(OR($C$2=1, $C$2=4),N468,IF($C$2=2,N469,IF($C$2=3,N470,IF($C$2=5,N470,"  chyba"))))</f>
        <v>OG-M</v>
      </c>
      <c r="D468" s="324">
        <f t="shared" ref="D468" si="427">IF(OR($C$2=1, $C$2=4),O468,IF($C$2=2,O469,IF($C$2=3,O470,IF($C$2=5,O470,"  chyba"))))</f>
        <v>0</v>
      </c>
      <c r="E468" s="321">
        <f t="shared" ref="E468" si="428">IF(OR($C$2=1, $C$2=4),P468,IF($C$2=2,P469,IF($C$2=3,P470,IF($C$2=5,P470,"  chyba"))))</f>
        <v>0</v>
      </c>
      <c r="F468" s="322">
        <f t="shared" ref="F468" si="429">IF(OR($C$2=1, $C$2=4),Q468,IF($C$2=2,Q469,IF($C$2=3,Q470,IF($C$2=5,Q470,"  chyba"))))</f>
        <v>771.43943999999999</v>
      </c>
      <c r="G468" s="323"/>
      <c r="H468" s="323"/>
      <c r="I468" s="325">
        <f t="shared" ref="I468" si="430">IF(OR($C$2=1, $C$2=4),T468,IF($C$2=2,T469,IF($C$2=3,T470,IF($C$2=5,T470,"  chyba"))))</f>
        <v>4777342</v>
      </c>
      <c r="J468" s="325">
        <f t="shared" ref="J468" si="431">IF(OR($C$2=1, $C$2=4),U468,IF($C$2=2,U469,IF($C$2=3,U470,IF($C$2=5,U470,"  chyba"))))</f>
        <v>227657</v>
      </c>
      <c r="K468" s="62"/>
      <c r="L468" s="61" t="str">
        <f>Price!A468</f>
        <v>Zásuvkové rámečky široké, 550mm, Orion šedá</v>
      </c>
      <c r="M468" s="15" t="str">
        <f>Price!B468</f>
        <v>ZC7S550RS2</v>
      </c>
      <c r="N468" s="15" t="str">
        <f>Price!C468</f>
        <v>OG-M</v>
      </c>
      <c r="O468" s="525">
        <f>Price!D468</f>
        <v>0</v>
      </c>
      <c r="P468" s="16"/>
      <c r="Q468" s="17">
        <f>Price!F468</f>
        <v>771.43943999999999</v>
      </c>
      <c r="R468" s="318"/>
      <c r="S468" s="318"/>
      <c r="T468" s="12">
        <f>Price!G468</f>
        <v>4777342</v>
      </c>
      <c r="U468" s="252">
        <f>Price!H468</f>
        <v>227657</v>
      </c>
      <c r="V468" s="13"/>
      <c r="W468" s="13"/>
      <c r="X468" s="19"/>
      <c r="Y468" s="19"/>
    </row>
    <row r="469" spans="1:25" x14ac:dyDescent="0.35">
      <c r="A469" s="77"/>
      <c r="B469" s="160"/>
      <c r="C469" s="160"/>
      <c r="D469" s="528"/>
      <c r="E469" s="83"/>
      <c r="F469" s="65"/>
      <c r="G469" s="65"/>
      <c r="H469" s="65"/>
      <c r="I469" s="171"/>
      <c r="J469" s="171"/>
      <c r="K469" s="69"/>
      <c r="L469" s="61" t="str">
        <f>Price!A469</f>
        <v>Zásuvkové rámečky široké, 550mm, hedvábně bílá</v>
      </c>
      <c r="M469" s="15" t="str">
        <f>Price!B469</f>
        <v>ZC7S550RS2</v>
      </c>
      <c r="N469" s="15" t="str">
        <f>Price!C469</f>
        <v>SW-M</v>
      </c>
      <c r="O469" s="525">
        <f>Price!D469</f>
        <v>0</v>
      </c>
      <c r="P469" s="16"/>
      <c r="Q469" s="17">
        <f>Price!F469</f>
        <v>771.43943999999999</v>
      </c>
      <c r="R469" s="318"/>
      <c r="S469" s="318"/>
      <c r="T469" s="12">
        <f>Price!G469</f>
        <v>9635420</v>
      </c>
      <c r="U469" s="252">
        <f>Price!H469</f>
        <v>227656</v>
      </c>
      <c r="V469" s="13"/>
      <c r="W469" s="13"/>
      <c r="X469" s="19"/>
      <c r="Y469" s="19"/>
    </row>
    <row r="470" spans="1:25" x14ac:dyDescent="0.35">
      <c r="A470" s="77"/>
      <c r="B470" s="160"/>
      <c r="C470" s="160"/>
      <c r="D470" s="528"/>
      <c r="E470" s="83"/>
      <c r="F470" s="65"/>
      <c r="G470" s="65"/>
      <c r="H470" s="65"/>
      <c r="I470" s="171"/>
      <c r="J470" s="171"/>
      <c r="K470" s="69"/>
      <c r="L470" s="61" t="str">
        <f>Price!A470</f>
        <v>Zásuvkové rámečky široké, 550mm, Terra černá</v>
      </c>
      <c r="M470" s="15" t="str">
        <f>Price!B470</f>
        <v>ZC7S550RS2</v>
      </c>
      <c r="N470" s="15" t="str">
        <f>Price!C470</f>
        <v>TS-M</v>
      </c>
      <c r="O470" s="525">
        <f>Price!D470</f>
        <v>0</v>
      </c>
      <c r="P470" s="16"/>
      <c r="Q470" s="17">
        <f>Price!F470</f>
        <v>771.43943999999999</v>
      </c>
      <c r="R470" s="318"/>
      <c r="S470" s="318"/>
      <c r="T470" s="12">
        <f>Price!G470</f>
        <v>6450117</v>
      </c>
      <c r="U470" s="252">
        <f>Price!H470</f>
        <v>227658</v>
      </c>
      <c r="V470" s="13"/>
      <c r="W470" s="13"/>
      <c r="X470" s="19"/>
      <c r="Y470" s="19"/>
    </row>
    <row r="471" spans="1:25" ht="15" thickBot="1" x14ac:dyDescent="0.4">
      <c r="A471" s="320" t="str">
        <f>IF(OR($C$2=1, $C$2=4),L471,IF($C$2=2,L472,IF($C$2=3,L473,IF($C$2=5,L473,"  chyba"))))</f>
        <v>Zásuvkové rámečky široké, 600mm, Orion šedá</v>
      </c>
      <c r="B471" s="324" t="str">
        <f t="shared" ref="B471" si="432">IF(OR($C$2=1, $C$2=4),M471,IF($C$2=2,M472,IF($C$2=3,M473,IF($C$2=5,M473,"  chyba"))))</f>
        <v>ZC7S600RS2</v>
      </c>
      <c r="C471" s="324" t="str">
        <f t="shared" ref="C471" si="433">IF(OR($C$2=1, $C$2=4),N471,IF($C$2=2,N472,IF($C$2=3,N473,IF($C$2=5,N473,"  chyba"))))</f>
        <v>OG-M</v>
      </c>
      <c r="D471" s="324">
        <f t="shared" ref="D471" si="434">IF(OR($C$2=1, $C$2=4),O471,IF($C$2=2,O472,IF($C$2=3,O473,IF($C$2=5,O473,"  chyba"))))</f>
        <v>0</v>
      </c>
      <c r="E471" s="321">
        <f t="shared" ref="E471" si="435">IF(OR($C$2=1, $C$2=4),P471,IF($C$2=2,P472,IF($C$2=3,P473,IF($C$2=5,P473,"  chyba"))))</f>
        <v>0</v>
      </c>
      <c r="F471" s="322">
        <f t="shared" ref="F471" si="436">IF(OR($C$2=1, $C$2=4),Q471,IF($C$2=2,Q472,IF($C$2=3,Q473,IF($C$2=5,Q473,"  chyba"))))</f>
        <v>787.23006999999996</v>
      </c>
      <c r="G471" s="323"/>
      <c r="H471" s="323"/>
      <c r="I471" s="325">
        <f t="shared" ref="I471" si="437">IF(OR($C$2=1, $C$2=4),T471,IF($C$2=2,T472,IF($C$2=3,T473,IF($C$2=5,T473,"  chyba"))))</f>
        <v>6140227</v>
      </c>
      <c r="J471" s="325">
        <f t="shared" ref="J471" si="438">IF(OR($C$2=1, $C$2=4),U471,IF($C$2=2,U472,IF($C$2=3,U473,IF($C$2=5,U473,"  chyba"))))</f>
        <v>227661</v>
      </c>
      <c r="K471" s="69"/>
      <c r="L471" s="61" t="str">
        <f>Price!A471</f>
        <v>Zásuvkové rámečky široké, 600mm, Orion šedá</v>
      </c>
      <c r="M471" s="15" t="str">
        <f>Price!B471</f>
        <v>ZC7S600RS2</v>
      </c>
      <c r="N471" s="15" t="str">
        <f>Price!C471</f>
        <v>OG-M</v>
      </c>
      <c r="O471" s="525">
        <f>Price!D471</f>
        <v>0</v>
      </c>
      <c r="P471" s="16"/>
      <c r="Q471" s="17">
        <f>Price!F471</f>
        <v>787.23006999999996</v>
      </c>
      <c r="R471" s="318"/>
      <c r="S471" s="318"/>
      <c r="T471" s="12">
        <f>Price!G471</f>
        <v>6140227</v>
      </c>
      <c r="U471" s="252">
        <f>Price!H471</f>
        <v>227661</v>
      </c>
      <c r="V471" s="13"/>
      <c r="W471" s="13"/>
      <c r="X471" s="19"/>
      <c r="Y471" s="19"/>
    </row>
    <row r="472" spans="1:25" x14ac:dyDescent="0.35">
      <c r="A472" s="77"/>
      <c r="B472" s="160"/>
      <c r="C472" s="160"/>
      <c r="D472" s="528"/>
      <c r="E472" s="78"/>
      <c r="F472" s="65"/>
      <c r="G472" s="65"/>
      <c r="H472" s="65"/>
      <c r="I472" s="171"/>
      <c r="J472" s="171"/>
      <c r="K472" s="62"/>
      <c r="L472" s="61" t="str">
        <f>Price!A472</f>
        <v>Zásuvkové rámečky široké, 600mm, hedvábně bílá</v>
      </c>
      <c r="M472" s="15" t="str">
        <f>Price!B472</f>
        <v>ZC7S600RS2</v>
      </c>
      <c r="N472" s="15" t="str">
        <f>Price!C472</f>
        <v>SW-M</v>
      </c>
      <c r="O472" s="525">
        <f>Price!D472</f>
        <v>0</v>
      </c>
      <c r="P472" s="16"/>
      <c r="Q472" s="17">
        <f>Price!F472</f>
        <v>787.23006999999996</v>
      </c>
      <c r="R472" s="318"/>
      <c r="S472" s="318"/>
      <c r="T472" s="12">
        <f>Price!G472</f>
        <v>6103455</v>
      </c>
      <c r="U472" s="252">
        <f>Price!H472</f>
        <v>227660</v>
      </c>
      <c r="V472" s="13"/>
      <c r="W472" s="13"/>
      <c r="X472" s="19"/>
      <c r="Y472" s="19"/>
    </row>
    <row r="473" spans="1:25" x14ac:dyDescent="0.35">
      <c r="A473" s="77"/>
      <c r="B473" s="160"/>
      <c r="C473" s="160"/>
      <c r="D473" s="528"/>
      <c r="E473" s="83"/>
      <c r="F473" s="84"/>
      <c r="G473" s="84"/>
      <c r="H473" s="84"/>
      <c r="I473" s="171"/>
      <c r="J473" s="171"/>
      <c r="K473" s="69"/>
      <c r="L473" s="61" t="str">
        <f>Price!A473</f>
        <v>Zásuvkové rámečky široké, 600mm, Terra černá</v>
      </c>
      <c r="M473" s="15" t="str">
        <f>Price!B473</f>
        <v>ZC7S600RS2</v>
      </c>
      <c r="N473" s="15" t="str">
        <f>Price!C473</f>
        <v>TS-M</v>
      </c>
      <c r="O473" s="525">
        <f>Price!D473</f>
        <v>0</v>
      </c>
      <c r="P473" s="16"/>
      <c r="Q473" s="17">
        <f>Price!F473</f>
        <v>787.23006999999996</v>
      </c>
      <c r="R473" s="318"/>
      <c r="S473" s="318"/>
      <c r="T473" s="12">
        <f>Price!G473</f>
        <v>3821805</v>
      </c>
      <c r="U473" s="252">
        <f>Price!H473</f>
        <v>227662</v>
      </c>
      <c r="V473" s="13"/>
      <c r="W473" s="13"/>
      <c r="X473" s="19"/>
      <c r="Y473" s="19"/>
    </row>
    <row r="474" spans="1:25" ht="15" thickBot="1" x14ac:dyDescent="0.4">
      <c r="A474" s="320" t="str">
        <f>IF(OR($C$2=1, $C$2=4),L474,IF($C$2=2,L475,IF($C$2=3,L476,IF($C$2=5,L476,"  chyba"))))</f>
        <v>Zásuvkové rámečky široké, 650mm, Orion šedá</v>
      </c>
      <c r="B474" s="324" t="str">
        <f t="shared" ref="B474" si="439">IF(OR($C$2=1, $C$2=4),M474,IF($C$2=2,M475,IF($C$2=3,M476,IF($C$2=5,M476,"  chyba"))))</f>
        <v>ZC7S650RS2</v>
      </c>
      <c r="C474" s="324" t="str">
        <f t="shared" ref="C474" si="440">IF(OR($C$2=1, $C$2=4),N474,IF($C$2=2,N475,IF($C$2=3,N476,IF($C$2=5,N476,"  chyba"))))</f>
        <v>OG-M</v>
      </c>
      <c r="D474" s="324">
        <f t="shared" ref="D474" si="441">IF(OR($C$2=1, $C$2=4),O474,IF($C$2=2,O475,IF($C$2=3,O476,IF($C$2=5,O476,"  chyba"))))</f>
        <v>0</v>
      </c>
      <c r="E474" s="321">
        <f t="shared" ref="E474" si="442">IF(OR($C$2=1, $C$2=4),P474,IF($C$2=2,P475,IF($C$2=3,P476,IF($C$2=5,P476,"  chyba"))))</f>
        <v>0</v>
      </c>
      <c r="F474" s="322">
        <f t="shared" ref="F474" si="443">IF(OR($C$2=1, $C$2=4),Q474,IF($C$2=2,Q475,IF($C$2=3,Q476,IF($C$2=5,Q476,"  chyba"))))</f>
        <v>803.0213</v>
      </c>
      <c r="G474" s="323"/>
      <c r="H474" s="323"/>
      <c r="I474" s="325">
        <f t="shared" ref="I474" si="444">IF(OR($C$2=1, $C$2=4),T474,IF($C$2=2,T475,IF($C$2=3,T476,IF($C$2=5,T476,"  chyba"))))</f>
        <v>4781572</v>
      </c>
      <c r="J474" s="325">
        <f t="shared" ref="J474" si="445">IF(OR($C$2=1, $C$2=4),U474,IF($C$2=2,U475,IF($C$2=3,U476,IF($C$2=5,U476,"  chyba"))))</f>
        <v>275843</v>
      </c>
      <c r="K474" s="69"/>
      <c r="L474" s="61" t="str">
        <f>Price!A474</f>
        <v>Zásuvkové rámečky široké, 650mm, Orion šedá</v>
      </c>
      <c r="M474" s="15" t="str">
        <f>Price!B474</f>
        <v>ZC7S650RS2</v>
      </c>
      <c r="N474" s="15" t="str">
        <f>Price!C474</f>
        <v>OG-M</v>
      </c>
      <c r="O474" s="525">
        <f>Price!D474</f>
        <v>0</v>
      </c>
      <c r="P474" s="16"/>
      <c r="Q474" s="17">
        <f>Price!F474</f>
        <v>803.0213</v>
      </c>
      <c r="R474" s="318"/>
      <c r="S474" s="318"/>
      <c r="T474" s="12">
        <f>Price!G474</f>
        <v>4781572</v>
      </c>
      <c r="U474" s="252">
        <f>Price!H474</f>
        <v>275843</v>
      </c>
      <c r="V474" s="13"/>
      <c r="W474" s="13"/>
      <c r="X474" s="19"/>
      <c r="Y474" s="19"/>
    </row>
    <row r="475" spans="1:25" x14ac:dyDescent="0.35">
      <c r="A475" s="77"/>
      <c r="B475" s="160"/>
      <c r="C475" s="160"/>
      <c r="D475" s="528"/>
      <c r="E475" s="78"/>
      <c r="F475" s="65"/>
      <c r="G475" s="65"/>
      <c r="H475" s="65"/>
      <c r="I475" s="171"/>
      <c r="J475" s="171"/>
      <c r="K475" s="62"/>
      <c r="L475" s="61" t="str">
        <f>Price!A475</f>
        <v>Zásuvkové rámečky široké, 650mm, hedvábně bílá</v>
      </c>
      <c r="M475" s="15" t="str">
        <f>Price!B475</f>
        <v>ZC7S650RS2</v>
      </c>
      <c r="N475" s="15" t="str">
        <f>Price!C475</f>
        <v>SW-M</v>
      </c>
      <c r="O475" s="525">
        <f>Price!D475</f>
        <v>0</v>
      </c>
      <c r="P475" s="16"/>
      <c r="Q475" s="17">
        <f>Price!F475</f>
        <v>803.0213</v>
      </c>
      <c r="R475" s="318"/>
      <c r="S475" s="318"/>
      <c r="T475" s="12">
        <f>Price!G475</f>
        <v>4468538</v>
      </c>
      <c r="U475" s="252">
        <f>Price!H475</f>
        <v>279412</v>
      </c>
      <c r="V475" s="13"/>
      <c r="W475" s="13"/>
      <c r="X475" s="19"/>
      <c r="Y475" s="19"/>
    </row>
    <row r="476" spans="1:25" x14ac:dyDescent="0.35">
      <c r="A476" s="77"/>
      <c r="B476" s="160"/>
      <c r="C476" s="160"/>
      <c r="D476" s="528"/>
      <c r="E476" s="83"/>
      <c r="F476" s="84"/>
      <c r="G476" s="84"/>
      <c r="H476" s="84"/>
      <c r="I476" s="171"/>
      <c r="J476" s="171"/>
      <c r="K476" s="69"/>
      <c r="L476" s="61" t="str">
        <f>Price!A476</f>
        <v>Zásuvkové rámečky široké, 650mm, Terra černá</v>
      </c>
      <c r="M476" s="15" t="str">
        <f>Price!B476</f>
        <v>ZC7S650RS2</v>
      </c>
      <c r="N476" s="15" t="str">
        <f>Price!C476</f>
        <v>TS-M</v>
      </c>
      <c r="O476" s="525">
        <f>Price!D476</f>
        <v>0</v>
      </c>
      <c r="P476" s="16"/>
      <c r="Q476" s="17">
        <f>Price!F476</f>
        <v>803.0213</v>
      </c>
      <c r="R476" s="318"/>
      <c r="S476" s="318"/>
      <c r="T476" s="12">
        <f>Price!G476</f>
        <v>5398172</v>
      </c>
      <c r="U476" s="252">
        <f>Price!H476</f>
        <v>279413</v>
      </c>
      <c r="V476" s="13"/>
      <c r="W476" s="13"/>
      <c r="X476" s="19"/>
      <c r="Y476" s="19"/>
    </row>
    <row r="477" spans="1:25" ht="15" thickBot="1" x14ac:dyDescent="0.4">
      <c r="A477" s="320" t="str">
        <f>IF(OR($C$2=1, $C$2=4),L477,IF($C$2=2,L478,IF($C$2=3,L479,IF($C$2=5,L479,"  chyba"))))</f>
        <v>Samostatná příčka, 50/200mm, Orion šedá</v>
      </c>
      <c r="B477" s="324" t="str">
        <f t="shared" ref="B477" si="446">IF(OR($C$2=1, $C$2=4),M477,IF($C$2=2,M478,IF($C$2=3,M479,IF($C$2=5,M479,"  chyba"))))</f>
        <v>ZC7Q020SS</v>
      </c>
      <c r="C477" s="324" t="str">
        <f t="shared" ref="C477" si="447">IF(OR($C$2=1, $C$2=4),N477,IF($C$2=2,N478,IF($C$2=3,N479,IF($C$2=5,N479,"  chyba"))))</f>
        <v>OG-M</v>
      </c>
      <c r="D477" s="324" t="str">
        <f t="shared" ref="D477" si="448">IF(OR($C$2=1, $C$2=4),O477,IF($C$2=2,O478,IF($C$2=3,O479,IF($C$2=5,O479,"  chyba"))))</f>
        <v>!</v>
      </c>
      <c r="E477" s="321">
        <f t="shared" ref="E477" si="449">IF(OR($C$2=1, $C$2=4),P477,IF($C$2=2,P478,IF($C$2=3,P479,IF($C$2=5,P479,"  chyba"))))</f>
        <v>0</v>
      </c>
      <c r="F477" s="322">
        <f t="shared" ref="F477" si="450">IF(OR($C$2=1, $C$2=4),Q477,IF($C$2=2,Q478,IF($C$2=3,Q479,IF($C$2=5,Q479,"  chyba"))))</f>
        <v>140.82409999999999</v>
      </c>
      <c r="G477" s="323"/>
      <c r="H477" s="323"/>
      <c r="I477" s="325">
        <f t="shared" ref="I477" si="451">IF(OR($C$2=1, $C$2=4),T477,IF($C$2=2,T478,IF($C$2=3,T479,IF($C$2=5,T479,"  chyba"))))</f>
        <v>1587698</v>
      </c>
      <c r="J477" s="325">
        <f t="shared" ref="J477" si="452">IF(OR($C$2=1, $C$2=4),U477,IF($C$2=2,U478,IF($C$2=3,U479,IF($C$2=5,U479,"  chyba"))))</f>
        <v>227664</v>
      </c>
      <c r="K477" s="69"/>
      <c r="L477" s="61" t="str">
        <f>Price!A477</f>
        <v>Samostatná příčka, 50/200mm, Orion šedá</v>
      </c>
      <c r="M477" s="15" t="str">
        <f>Price!B477</f>
        <v>ZC7Q020SS</v>
      </c>
      <c r="N477" s="15" t="str">
        <f>Price!C477</f>
        <v>OG-M</v>
      </c>
      <c r="O477" s="525" t="str">
        <f>Price!D477</f>
        <v>!</v>
      </c>
      <c r="P477" s="16"/>
      <c r="Q477" s="17">
        <f>Price!F477</f>
        <v>140.82409999999999</v>
      </c>
      <c r="R477" s="318"/>
      <c r="S477" s="318"/>
      <c r="T477" s="12">
        <f>Price!G477</f>
        <v>1587698</v>
      </c>
      <c r="U477" s="252">
        <f>Price!H477</f>
        <v>227664</v>
      </c>
      <c r="V477" s="13"/>
      <c r="W477" s="13"/>
      <c r="X477" s="19"/>
      <c r="Y477" s="19"/>
    </row>
    <row r="478" spans="1:25" x14ac:dyDescent="0.35">
      <c r="A478" s="79"/>
      <c r="B478" s="161"/>
      <c r="C478" s="161"/>
      <c r="D478" s="529"/>
      <c r="E478" s="78"/>
      <c r="F478" s="67"/>
      <c r="G478" s="67"/>
      <c r="H478" s="67"/>
      <c r="I478" s="170"/>
      <c r="J478" s="170"/>
      <c r="K478" s="62"/>
      <c r="L478" s="61" t="str">
        <f>Price!A478</f>
        <v>Samostatná příčka, 50/200mm, hedvábně bílá</v>
      </c>
      <c r="M478" s="15" t="str">
        <f>Price!B478</f>
        <v>ZC7Q020SS</v>
      </c>
      <c r="N478" s="15" t="str">
        <f>Price!C478</f>
        <v>SW-M</v>
      </c>
      <c r="O478" s="525" t="str">
        <f>Price!D478</f>
        <v>!</v>
      </c>
      <c r="P478" s="16"/>
      <c r="Q478" s="17">
        <f>Price!F478</f>
        <v>140.82409999999999</v>
      </c>
      <c r="R478" s="318"/>
      <c r="S478" s="318"/>
      <c r="T478" s="12">
        <f>Price!G478</f>
        <v>7267832</v>
      </c>
      <c r="U478" s="252">
        <f>Price!H478</f>
        <v>227663</v>
      </c>
      <c r="V478" s="13"/>
      <c r="X478" s="19"/>
      <c r="Y478" s="19"/>
    </row>
    <row r="479" spans="1:25" x14ac:dyDescent="0.35">
      <c r="A479" s="77"/>
      <c r="B479" s="160"/>
      <c r="C479" s="160"/>
      <c r="D479" s="528"/>
      <c r="E479" s="83"/>
      <c r="F479" s="84"/>
      <c r="G479" s="84"/>
      <c r="H479" s="84"/>
      <c r="I479" s="171"/>
      <c r="J479" s="171"/>
      <c r="K479" s="69"/>
      <c r="L479" s="61" t="str">
        <f>Price!A479</f>
        <v>Samostatná příčka, 50/200mm, Terra černá</v>
      </c>
      <c r="M479" s="15" t="str">
        <f>Price!B479</f>
        <v>ZC7Q020SS</v>
      </c>
      <c r="N479" s="15" t="str">
        <f>Price!C479</f>
        <v>TS-M</v>
      </c>
      <c r="O479" s="525" t="str">
        <f>Price!D479</f>
        <v>!</v>
      </c>
      <c r="P479" s="16"/>
      <c r="Q479" s="17">
        <f>Price!F479</f>
        <v>140.82409999999999</v>
      </c>
      <c r="R479" s="318"/>
      <c r="S479" s="318"/>
      <c r="T479" s="12">
        <f>Price!G479</f>
        <v>8291579</v>
      </c>
      <c r="U479" s="252">
        <f>Price!H479</f>
        <v>227666</v>
      </c>
      <c r="V479" s="13"/>
      <c r="W479" s="13"/>
      <c r="X479" s="19"/>
      <c r="Y479" s="19"/>
    </row>
    <row r="480" spans="1:25" x14ac:dyDescent="0.35">
      <c r="A480" s="77"/>
      <c r="B480" s="160"/>
      <c r="C480" s="160"/>
      <c r="D480" s="528"/>
      <c r="E480" s="83"/>
      <c r="F480" s="84"/>
      <c r="G480" s="84"/>
      <c r="H480" s="84"/>
      <c r="I480" s="171"/>
      <c r="J480" s="171"/>
      <c r="K480" s="69"/>
      <c r="L480" s="61">
        <f>Price!A480</f>
        <v>0</v>
      </c>
      <c r="M480" s="15">
        <f>Price!B480</f>
        <v>0</v>
      </c>
      <c r="N480" s="15">
        <f>Price!C480</f>
        <v>0</v>
      </c>
      <c r="O480" s="525">
        <f>Price!D480</f>
        <v>0</v>
      </c>
      <c r="P480" s="16"/>
      <c r="Q480" s="17">
        <f>Price!F480</f>
        <v>0</v>
      </c>
      <c r="R480" s="318"/>
      <c r="S480" s="318"/>
      <c r="T480" s="12">
        <f>Price!G480</f>
        <v>0</v>
      </c>
      <c r="U480" s="252">
        <f>Price!H480</f>
        <v>0</v>
      </c>
      <c r="V480" s="13"/>
      <c r="W480" s="13"/>
      <c r="X480" s="19"/>
      <c r="Y480" s="19"/>
    </row>
    <row r="481" spans="1:25" ht="15" thickBot="1" x14ac:dyDescent="0.4">
      <c r="A481" s="320" t="str">
        <f>IF(OR($C$2=1, $C$2=4),L481,IF($C$2=2,L482,IF($C$2=3,L483,IF($C$2=5,L483,"  chyba"))))</f>
        <v>Zásuvkové rámečky, od 270mm, Orion šedá</v>
      </c>
      <c r="B481" s="324" t="str">
        <f t="shared" ref="B481" si="453">IF(OR($C$2=1, $C$2=4),M481,IF($C$2=2,M482,IF($C$2=3,M483,IF($C$2=5,M483,"  chyba"))))</f>
        <v>ZC7S300RSU</v>
      </c>
      <c r="C481" s="324" t="str">
        <f t="shared" ref="C481" si="454">IF(OR($C$2=1, $C$2=4),N481,IF($C$2=2,N482,IF($C$2=3,N483,IF($C$2=5,N483,"  chyba"))))</f>
        <v>OG-M</v>
      </c>
      <c r="D481" s="324">
        <f t="shared" ref="D481" si="455">IF(OR($C$2=1, $C$2=4),O481,IF($C$2=2,O482,IF($C$2=3,O483,IF($C$2=5,O483,"  chyba"))))</f>
        <v>0</v>
      </c>
      <c r="E481" s="321">
        <f t="shared" ref="E481" si="456">IF(OR($C$2=1, $C$2=4),P481,IF($C$2=2,P482,IF($C$2=3,P483,IF($C$2=5,P483,"  chyba"))))</f>
        <v>0</v>
      </c>
      <c r="F481" s="322">
        <f t="shared" ref="F481" si="457">IF(OR($C$2=1, $C$2=4),Q481,IF($C$2=2,Q482,IF($C$2=3,Q483,IF($C$2=5,Q483,"  chyba"))))</f>
        <v>961.73096999999996</v>
      </c>
      <c r="G481" s="323"/>
      <c r="H481" s="323"/>
      <c r="I481" s="325">
        <f t="shared" ref="I481" si="458">IF(OR($C$2=1, $C$2=4),T481,IF($C$2=2,T482,IF($C$2=3,T483,IF($C$2=5,T483,"  chyba"))))</f>
        <v>1392076</v>
      </c>
      <c r="J481" s="325">
        <f t="shared" ref="J481" si="459">IF(OR($C$2=1, $C$2=4),U481,IF($C$2=2,U482,IF($C$2=3,U483,IF($C$2=5,U483,"  chyba"))))</f>
        <v>227627</v>
      </c>
      <c r="K481" s="69"/>
      <c r="L481" s="61" t="str">
        <f>Price!A481</f>
        <v>Zásuvkové rámečky, od 270mm, Orion šedá</v>
      </c>
      <c r="M481" s="15" t="str">
        <f>Price!B481</f>
        <v>ZC7S300RSU</v>
      </c>
      <c r="N481" s="15" t="str">
        <f>Price!C481</f>
        <v>OG-M</v>
      </c>
      <c r="O481" s="525">
        <f>Price!D481</f>
        <v>0</v>
      </c>
      <c r="P481" s="16"/>
      <c r="Q481" s="17">
        <f>Price!F481</f>
        <v>961.73096999999996</v>
      </c>
      <c r="R481" s="318"/>
      <c r="S481" s="318"/>
      <c r="T481" s="12">
        <f>Price!G481</f>
        <v>1392076</v>
      </c>
      <c r="U481" s="252">
        <f>Price!H481</f>
        <v>227627</v>
      </c>
      <c r="V481" s="13"/>
      <c r="W481" s="13"/>
      <c r="X481" s="19"/>
      <c r="Y481" s="19"/>
    </row>
    <row r="482" spans="1:25" x14ac:dyDescent="0.35">
      <c r="A482" s="77"/>
      <c r="B482" s="160"/>
      <c r="C482" s="160"/>
      <c r="D482" s="528"/>
      <c r="E482" s="83"/>
      <c r="F482" s="84"/>
      <c r="G482" s="84"/>
      <c r="H482" s="84"/>
      <c r="I482" s="84"/>
      <c r="J482" s="84"/>
      <c r="K482" s="62"/>
      <c r="L482" s="61" t="str">
        <f>Price!A482</f>
        <v>Zásuvkové rámečky, od 270mm, hedvábně bílá</v>
      </c>
      <c r="M482" s="15" t="str">
        <f>Price!B482</f>
        <v>ZC7S300RSU</v>
      </c>
      <c r="N482" s="15" t="str">
        <f>Price!C482</f>
        <v>SW-M</v>
      </c>
      <c r="O482" s="525">
        <f>Price!D482</f>
        <v>0</v>
      </c>
      <c r="P482" s="16"/>
      <c r="Q482" s="17">
        <f>Price!F482</f>
        <v>961.73096999999996</v>
      </c>
      <c r="R482" s="318"/>
      <c r="S482" s="318"/>
      <c r="T482" s="12">
        <f>Price!G482</f>
        <v>6886598</v>
      </c>
      <c r="U482" s="252">
        <f>Price!H482</f>
        <v>227626</v>
      </c>
      <c r="V482" s="13"/>
      <c r="W482" s="13"/>
      <c r="X482" s="19"/>
      <c r="Y482" s="19"/>
    </row>
    <row r="483" spans="1:25" x14ac:dyDescent="0.35">
      <c r="A483" s="319"/>
      <c r="B483" s="160"/>
      <c r="C483" s="160"/>
      <c r="D483" s="528"/>
      <c r="E483" s="83"/>
      <c r="F483" s="84"/>
      <c r="G483" s="84"/>
      <c r="H483" s="84"/>
      <c r="I483" s="84"/>
      <c r="J483" s="84"/>
      <c r="K483" s="69"/>
      <c r="L483" s="61" t="str">
        <f>Price!A483</f>
        <v>Zásuvkové rámečky, od 270mm, Terra černá</v>
      </c>
      <c r="M483" s="15" t="str">
        <f>Price!B483</f>
        <v>ZC7S300RSU</v>
      </c>
      <c r="N483" s="15" t="str">
        <f>Price!C483</f>
        <v>TS-M</v>
      </c>
      <c r="O483" s="525">
        <f>Price!D483</f>
        <v>0</v>
      </c>
      <c r="P483" s="16"/>
      <c r="Q483" s="17">
        <f>Price!F483</f>
        <v>961.73096999999996</v>
      </c>
      <c r="R483" s="318"/>
      <c r="S483" s="318"/>
      <c r="T483" s="12">
        <f>Price!G483</f>
        <v>5010600</v>
      </c>
      <c r="U483" s="252">
        <f>Price!H483</f>
        <v>227628</v>
      </c>
      <c r="V483" s="13"/>
      <c r="W483" s="13"/>
      <c r="X483" s="19"/>
      <c r="Y483" s="19"/>
    </row>
    <row r="484" spans="1:25" ht="15" thickBot="1" x14ac:dyDescent="0.4">
      <c r="A484" s="320" t="str">
        <f>IF(OR($C$2=1, $C$2=4),L484,IF($C$2=2,L485,IF($C$2=3,L486,IF($C$2=5,L486,"  chyba"))))</f>
        <v>Adaptér pro dřevěná záda M, Orion šedá</v>
      </c>
      <c r="B484" s="324" t="str">
        <f t="shared" ref="B484" si="460">IF(OR($C$2=1, $C$2=4),M484,IF($C$2=2,M485,IF($C$2=3,M486,IF($C$2=5,M486,"  chyba"))))</f>
        <v>ZC7A0U0M</v>
      </c>
      <c r="C484" s="324" t="str">
        <f t="shared" ref="C484" si="461">IF(OR($C$2=1, $C$2=4),N484,IF($C$2=2,N485,IF($C$2=3,N486,IF($C$2=5,N486,"  chyba"))))</f>
        <v>OG-M</v>
      </c>
      <c r="D484" s="324">
        <f t="shared" ref="D484" si="462">IF(OR($C$2=1, $C$2=4),O484,IF($C$2=2,O485,IF($C$2=3,O486,IF($C$2=5,O486,"  chyba"))))</f>
        <v>0</v>
      </c>
      <c r="E484" s="321">
        <f t="shared" ref="E484" si="463">IF(OR($C$2=1, $C$2=4),P484,IF($C$2=2,P485,IF($C$2=3,P486,IF($C$2=5,P486,"  chyba"))))</f>
        <v>0</v>
      </c>
      <c r="F484" s="322">
        <f t="shared" ref="F484" si="464">IF(OR($C$2=1, $C$2=4),Q484,IF($C$2=2,Q485,IF($C$2=3,Q486,IF($C$2=5,Q486,"  chyba"))))</f>
        <v>123.65338</v>
      </c>
      <c r="G484" s="323"/>
      <c r="H484" s="323"/>
      <c r="I484" s="325">
        <f t="shared" ref="I484" si="465">IF(OR($C$2=1, $C$2=4),T484,IF($C$2=2,T485,IF($C$2=3,T486,IF($C$2=5,T486,"  chyba"))))</f>
        <v>3486858</v>
      </c>
      <c r="J484" s="325">
        <f t="shared" ref="J484" si="466">IF(OR($C$2=1, $C$2=4),U484,IF($C$2=2,U485,IF($C$2=3,U486,IF($C$2=5,U486,"  chyba"))))</f>
        <v>227630</v>
      </c>
      <c r="K484" s="69"/>
      <c r="L484" s="61" t="str">
        <f>Price!A484</f>
        <v>Adaptér pro dřevěná záda M, Orion šedá</v>
      </c>
      <c r="M484" s="15" t="str">
        <f>Price!B484</f>
        <v>ZC7A0U0M</v>
      </c>
      <c r="N484" s="15" t="str">
        <f>Price!C484</f>
        <v>OG-M</v>
      </c>
      <c r="O484" s="525">
        <f>Price!D484</f>
        <v>0</v>
      </c>
      <c r="P484" s="16"/>
      <c r="Q484" s="17">
        <f>Price!F484</f>
        <v>123.65338</v>
      </c>
      <c r="R484" s="318"/>
      <c r="S484" s="318"/>
      <c r="T484" s="12">
        <f>Price!G484</f>
        <v>3486858</v>
      </c>
      <c r="U484" s="252">
        <f>Price!H484</f>
        <v>227630</v>
      </c>
      <c r="V484" s="13"/>
      <c r="W484" s="13"/>
      <c r="X484" s="19"/>
      <c r="Y484" s="19"/>
    </row>
    <row r="485" spans="1:25" x14ac:dyDescent="0.35">
      <c r="A485" s="77"/>
      <c r="B485" s="160"/>
      <c r="C485" s="160"/>
      <c r="D485" s="528"/>
      <c r="E485" s="83"/>
      <c r="F485" s="84"/>
      <c r="G485" s="84"/>
      <c r="H485" s="84"/>
      <c r="I485" s="84"/>
      <c r="J485" s="84"/>
      <c r="K485" s="69"/>
      <c r="L485" s="61" t="str">
        <f>Price!A485</f>
        <v>Adaptér pro dřevěná záda M, hedvábně bílá</v>
      </c>
      <c r="M485" s="15" t="str">
        <f>Price!B485</f>
        <v>ZC7A0U0M</v>
      </c>
      <c r="N485" s="15" t="str">
        <f>Price!C485</f>
        <v>SW-M</v>
      </c>
      <c r="O485" s="525">
        <f>Price!D485</f>
        <v>0</v>
      </c>
      <c r="P485" s="16"/>
      <c r="Q485" s="17">
        <f>Price!F485</f>
        <v>123.65338</v>
      </c>
      <c r="R485" s="318"/>
      <c r="S485" s="318"/>
      <c r="T485" s="12">
        <f>Price!G485</f>
        <v>6523848</v>
      </c>
      <c r="U485" s="252">
        <f>Price!H485</f>
        <v>227629</v>
      </c>
      <c r="V485" s="13"/>
      <c r="W485" s="13"/>
      <c r="X485" s="19"/>
      <c r="Y485" s="19"/>
    </row>
    <row r="486" spans="1:25" x14ac:dyDescent="0.35">
      <c r="A486" s="79"/>
      <c r="B486" s="161"/>
      <c r="C486" s="161"/>
      <c r="D486" s="529"/>
      <c r="E486" s="78"/>
      <c r="F486" s="67"/>
      <c r="G486" s="67"/>
      <c r="H486" s="67"/>
      <c r="I486" s="67"/>
      <c r="J486" s="67"/>
      <c r="K486" s="62"/>
      <c r="L486" s="61" t="str">
        <f>Price!A486</f>
        <v>Adaptér pro dřevěná záda M, Terra černý</v>
      </c>
      <c r="M486" s="15" t="str">
        <f>Price!B486</f>
        <v>ZC7A0U0M</v>
      </c>
      <c r="N486" s="15" t="str">
        <f>Price!C486</f>
        <v>TS-M</v>
      </c>
      <c r="O486" s="525">
        <f>Price!D486</f>
        <v>0</v>
      </c>
      <c r="P486" s="16"/>
      <c r="Q486" s="17">
        <f>Price!F486</f>
        <v>123.65338</v>
      </c>
      <c r="R486" s="318"/>
      <c r="S486" s="318"/>
      <c r="T486" s="12">
        <f>Price!G486</f>
        <v>5700456</v>
      </c>
      <c r="U486" s="252">
        <f>Price!H486</f>
        <v>227631</v>
      </c>
      <c r="V486" s="13"/>
      <c r="W486" s="13"/>
      <c r="X486" s="19"/>
      <c r="Y486" s="19"/>
    </row>
    <row r="487" spans="1:25" ht="15" thickBot="1" x14ac:dyDescent="0.4">
      <c r="A487" s="320" t="str">
        <f>IF(OR($C$2=1, $C$2=4),L487,IF($C$2=2,L488,IF($C$2=3,L489,IF($C$2=5,L489,"  chyba"))))</f>
        <v>Adaptér pro dřevěná záda K, Orion šedá</v>
      </c>
      <c r="B487" s="324" t="str">
        <f t="shared" ref="B487" si="467">IF(OR($C$2=1, $C$2=4),M487,IF($C$2=2,M488,IF($C$2=3,M489,IF($C$2=5,M489,"  chyba"))))</f>
        <v>ZC7A0U0K</v>
      </c>
      <c r="C487" s="324" t="str">
        <f t="shared" ref="C487" si="468">IF(OR($C$2=1, $C$2=4),N487,IF($C$2=2,N488,IF($C$2=3,N489,IF($C$2=5,N489,"  chyba"))))</f>
        <v>OG-M</v>
      </c>
      <c r="D487" s="324" t="str">
        <f t="shared" ref="D487" si="469">IF(OR($C$2=1, $C$2=4),O487,IF($C$2=2,O488,IF($C$2=3,O489,IF($C$2=5,O489,"  chyba"))))</f>
        <v>!</v>
      </c>
      <c r="E487" s="321">
        <f t="shared" ref="E487" si="470">IF(OR($C$2=1, $C$2=4),P487,IF($C$2=2,P488,IF($C$2=3,P489,IF($C$2=5,P489,"  chyba"))))</f>
        <v>0</v>
      </c>
      <c r="F487" s="322">
        <f t="shared" ref="F487" si="471">IF(OR($C$2=1, $C$2=4),Q487,IF($C$2=2,Q488,IF($C$2=3,Q489,IF($C$2=5,Q489,"  chyba"))))</f>
        <v>137.38853</v>
      </c>
      <c r="G487" s="323"/>
      <c r="H487" s="323"/>
      <c r="I487" s="325">
        <f t="shared" ref="I487" si="472">IF(OR($C$2=1, $C$2=4),T487,IF($C$2=2,T488,IF($C$2=3,T489,IF($C$2=5,T489,"  chyba"))))</f>
        <v>9566186</v>
      </c>
      <c r="J487" s="325">
        <f t="shared" ref="J487" si="473">IF(OR($C$2=1, $C$2=4),U487,IF($C$2=2,U488,IF($C$2=3,U489,IF($C$2=5,U489,"  chyba"))))</f>
        <v>279415</v>
      </c>
      <c r="K487" s="69"/>
      <c r="L487" s="61" t="str">
        <f>Price!A487</f>
        <v>Adaptér pro dřevěná záda K, Orion šedá</v>
      </c>
      <c r="M487" s="15" t="str">
        <f>Price!B487</f>
        <v>ZC7A0U0K</v>
      </c>
      <c r="N487" s="15" t="str">
        <f>Price!C487</f>
        <v>OG-M</v>
      </c>
      <c r="O487" s="525" t="str">
        <f>Price!D487</f>
        <v>!</v>
      </c>
      <c r="P487" s="16"/>
      <c r="Q487" s="17">
        <f>Price!F487</f>
        <v>137.38853</v>
      </c>
      <c r="R487" s="318"/>
      <c r="S487" s="318"/>
      <c r="T487" s="12">
        <f>Price!G487</f>
        <v>9566186</v>
      </c>
      <c r="U487" s="252">
        <f>Price!H487</f>
        <v>279415</v>
      </c>
      <c r="V487" s="13"/>
      <c r="X487" s="19"/>
      <c r="Y487" s="19"/>
    </row>
    <row r="488" spans="1:25" x14ac:dyDescent="0.35">
      <c r="A488" s="79"/>
      <c r="B488" s="161"/>
      <c r="C488" s="161"/>
      <c r="D488" s="529"/>
      <c r="E488" s="78"/>
      <c r="F488" s="67"/>
      <c r="G488" s="67"/>
      <c r="H488" s="67"/>
      <c r="I488" s="67"/>
      <c r="J488" s="67"/>
      <c r="K488" s="69"/>
      <c r="L488" s="61" t="str">
        <f>Price!A488</f>
        <v>Adaptér pro dřevěná záda K, hedvábně bílá</v>
      </c>
      <c r="M488" s="15" t="str">
        <f>Price!B488</f>
        <v>ZC7A0U0K</v>
      </c>
      <c r="N488" s="15" t="str">
        <f>Price!C488</f>
        <v>SW-M</v>
      </c>
      <c r="O488" s="525" t="str">
        <f>Price!D488</f>
        <v>!</v>
      </c>
      <c r="P488" s="16"/>
      <c r="Q488" s="17">
        <f>Price!F488</f>
        <v>137.38853</v>
      </c>
      <c r="R488" s="318"/>
      <c r="S488" s="318"/>
      <c r="T488" s="12">
        <f>Price!G488</f>
        <v>1248692</v>
      </c>
      <c r="U488" s="252">
        <f>Price!H488</f>
        <v>279414</v>
      </c>
      <c r="V488" s="13"/>
      <c r="W488" s="13"/>
      <c r="X488" s="19"/>
      <c r="Y488" s="19"/>
    </row>
    <row r="489" spans="1:25" x14ac:dyDescent="0.35">
      <c r="A489" s="79"/>
      <c r="B489" s="161"/>
      <c r="C489" s="161"/>
      <c r="D489" s="529"/>
      <c r="E489" s="78"/>
      <c r="F489" s="67"/>
      <c r="G489" s="67"/>
      <c r="H489" s="67"/>
      <c r="I489" s="67"/>
      <c r="J489" s="67"/>
      <c r="K489" s="69"/>
      <c r="L489" s="61" t="str">
        <f>Price!A489</f>
        <v>Adaptér pro dřevěná záda K, Terra černý</v>
      </c>
      <c r="M489" s="15" t="str">
        <f>Price!B489</f>
        <v>ZC7A0U0K</v>
      </c>
      <c r="N489" s="15" t="str">
        <f>Price!C489</f>
        <v>TS-M</v>
      </c>
      <c r="O489" s="525" t="str">
        <f>Price!D489</f>
        <v>!</v>
      </c>
      <c r="P489" s="16"/>
      <c r="Q489" s="17">
        <f>Price!F489</f>
        <v>137.38853</v>
      </c>
      <c r="R489" s="318"/>
      <c r="S489" s="318"/>
      <c r="T489" s="12">
        <f>Price!G489</f>
        <v>8875217</v>
      </c>
      <c r="U489" s="252">
        <f>Price!H489</f>
        <v>279416</v>
      </c>
      <c r="V489" s="13"/>
      <c r="W489" s="13"/>
      <c r="X489" s="19"/>
      <c r="Y489" s="19"/>
    </row>
    <row r="490" spans="1:25" ht="15" thickBot="1" x14ac:dyDescent="0.4">
      <c r="A490" s="320" t="str">
        <f>IF(OR($C$2=1, $C$2=4),L490,IF($C$2=2,L491,IF($C$2=3,L492,IF($C$2=5,L492,"  chyba"))))</f>
        <v>Samostatná příčka, 50/242mm, Orion šedá</v>
      </c>
      <c r="B490" s="324" t="str">
        <f t="shared" ref="B490" si="474">IF(OR($C$2=1, $C$2=4),M490,IF($C$2=2,M491,IF($C$2=3,M492,IF($C$2=5,M492,"  chyba"))))</f>
        <v>ZC7Q0U0SS</v>
      </c>
      <c r="C490" s="324" t="str">
        <f t="shared" ref="C490" si="475">IF(OR($C$2=1, $C$2=4),N490,IF($C$2=2,N491,IF($C$2=3,N492,IF($C$2=5,N492,"  chyba"))))</f>
        <v>OG-M</v>
      </c>
      <c r="D490" s="324" t="str">
        <f t="shared" ref="D490" si="476">IF(OR($C$2=1, $C$2=4),O490,IF($C$2=2,O491,IF($C$2=3,O492,IF($C$2=5,O492,"  chyba"))))</f>
        <v>!</v>
      </c>
      <c r="E490" s="321">
        <f t="shared" ref="E490" si="477">IF(OR($C$2=1, $C$2=4),P490,IF($C$2=2,P491,IF($C$2=3,P492,IF($C$2=5,P492,"  chyba"))))</f>
        <v>0</v>
      </c>
      <c r="F490" s="322">
        <f t="shared" ref="F490" si="478">IF(OR($C$2=1, $C$2=4),Q490,IF($C$2=2,Q491,IF($C$2=3,Q492,IF($C$2=5,Q492,"  chyba"))))</f>
        <v>151.12965</v>
      </c>
      <c r="G490" s="323"/>
      <c r="H490" s="323"/>
      <c r="I490" s="325">
        <f t="shared" ref="I490" si="479">IF(OR($C$2=1, $C$2=4),T490,IF($C$2=2,T491,IF($C$2=3,T492,IF($C$2=5,T492,"  chyba"))))</f>
        <v>8022610</v>
      </c>
      <c r="J490" s="325">
        <f t="shared" ref="J490" si="480">IF(OR($C$2=1, $C$2=4),U490,IF($C$2=2,U491,IF($C$2=3,U492,IF($C$2=5,U492,"  chyba"))))</f>
        <v>227633</v>
      </c>
      <c r="K490" s="62"/>
      <c r="L490" s="61" t="str">
        <f>Price!A490</f>
        <v>Samostatná příčka, 50/242mm, Orion šedá</v>
      </c>
      <c r="M490" s="15" t="str">
        <f>Price!B490</f>
        <v>ZC7Q0U0SS</v>
      </c>
      <c r="N490" s="15" t="str">
        <f>Price!C490</f>
        <v>OG-M</v>
      </c>
      <c r="O490" s="525" t="str">
        <f>Price!D490</f>
        <v>!</v>
      </c>
      <c r="P490" s="16"/>
      <c r="Q490" s="17">
        <f>Price!F490</f>
        <v>151.12965</v>
      </c>
      <c r="R490" s="318"/>
      <c r="S490" s="318"/>
      <c r="T490" s="12">
        <f>Price!G490</f>
        <v>8022610</v>
      </c>
      <c r="U490" s="252">
        <f>Price!H490</f>
        <v>227633</v>
      </c>
      <c r="V490" s="13"/>
      <c r="W490" s="13"/>
      <c r="X490" s="19"/>
      <c r="Y490" s="19"/>
    </row>
    <row r="491" spans="1:25" x14ac:dyDescent="0.35">
      <c r="A491" s="77"/>
      <c r="B491" s="160"/>
      <c r="C491" s="160"/>
      <c r="D491" s="528"/>
      <c r="E491" s="83"/>
      <c r="F491" s="84"/>
      <c r="G491" s="84"/>
      <c r="H491" s="84"/>
      <c r="I491" s="84"/>
      <c r="J491" s="84"/>
      <c r="K491" s="69"/>
      <c r="L491" s="61" t="str">
        <f>Price!A491</f>
        <v>Samostatná příčka, 50/242mm, hedvábně bílá</v>
      </c>
      <c r="M491" s="15" t="str">
        <f>Price!B491</f>
        <v>ZC7Q0U0SS</v>
      </c>
      <c r="N491" s="15" t="str">
        <f>Price!C491</f>
        <v>SW-M</v>
      </c>
      <c r="O491" s="525" t="str">
        <f>Price!D491</f>
        <v>!</v>
      </c>
      <c r="P491" s="16"/>
      <c r="Q491" s="17">
        <f>Price!F491</f>
        <v>151.12965</v>
      </c>
      <c r="R491" s="318"/>
      <c r="S491" s="318"/>
      <c r="T491" s="12">
        <f>Price!G491</f>
        <v>8790467</v>
      </c>
      <c r="U491" s="252">
        <f>Price!H491</f>
        <v>227632</v>
      </c>
      <c r="V491" s="13"/>
      <c r="W491" s="13"/>
      <c r="X491" s="19"/>
      <c r="Y491" s="19"/>
    </row>
    <row r="492" spans="1:25" x14ac:dyDescent="0.35">
      <c r="A492" s="79"/>
      <c r="B492" s="161"/>
      <c r="C492" s="161"/>
      <c r="D492" s="529"/>
      <c r="E492" s="78"/>
      <c r="F492" s="67"/>
      <c r="G492" s="67"/>
      <c r="H492" s="67"/>
      <c r="I492" s="67"/>
      <c r="J492" s="67"/>
      <c r="K492" s="69"/>
      <c r="L492" s="61" t="str">
        <f>Price!A492</f>
        <v>Samostatná příčka, 50/242mm, Terra černá</v>
      </c>
      <c r="M492" s="15" t="str">
        <f>Price!B492</f>
        <v>ZC7Q0U0SS</v>
      </c>
      <c r="N492" s="15" t="str">
        <f>Price!C492</f>
        <v>TS-M</v>
      </c>
      <c r="O492" s="525" t="str">
        <f>Price!D492</f>
        <v>!</v>
      </c>
      <c r="P492" s="16"/>
      <c r="Q492" s="17">
        <f>Price!F492</f>
        <v>151.12965</v>
      </c>
      <c r="R492" s="318"/>
      <c r="S492" s="318"/>
      <c r="T492" s="12">
        <f>Price!G492</f>
        <v>2120285</v>
      </c>
      <c r="U492" s="252">
        <f>Price!H492</f>
        <v>227634</v>
      </c>
      <c r="V492" s="13"/>
      <c r="W492" s="13"/>
      <c r="X492" s="19"/>
      <c r="Y492" s="19"/>
    </row>
    <row r="493" spans="1:25" x14ac:dyDescent="0.35">
      <c r="A493" s="79"/>
      <c r="B493" s="161"/>
      <c r="C493" s="161"/>
      <c r="D493" s="529"/>
      <c r="E493" s="78"/>
      <c r="F493" s="67"/>
      <c r="G493" s="67"/>
      <c r="H493" s="67"/>
      <c r="I493" s="67"/>
      <c r="J493" s="67"/>
      <c r="K493" s="69"/>
      <c r="L493" s="61">
        <f>Price!A493</f>
        <v>0</v>
      </c>
      <c r="M493" s="15">
        <f>Price!B493</f>
        <v>0</v>
      </c>
      <c r="N493" s="15">
        <f>Price!C493</f>
        <v>0</v>
      </c>
      <c r="O493" s="525">
        <f>Price!D493</f>
        <v>0</v>
      </c>
      <c r="P493" s="16"/>
      <c r="Q493" s="17">
        <f>Price!F493</f>
        <v>0</v>
      </c>
      <c r="R493" s="318"/>
      <c r="S493" s="318"/>
      <c r="T493" s="12">
        <f>Price!G493</f>
        <v>0</v>
      </c>
      <c r="U493" s="252">
        <f>Price!H493</f>
        <v>0</v>
      </c>
      <c r="V493" s="13"/>
      <c r="W493" s="13"/>
      <c r="X493" s="19"/>
      <c r="Y493" s="19"/>
    </row>
    <row r="494" spans="1:25" x14ac:dyDescent="0.35">
      <c r="A494" s="79"/>
      <c r="B494" s="161"/>
      <c r="C494" s="161"/>
      <c r="D494" s="529"/>
      <c r="E494" s="78"/>
      <c r="F494" s="67"/>
      <c r="G494" s="67"/>
      <c r="H494" s="67"/>
      <c r="I494" s="67"/>
      <c r="J494" s="67"/>
      <c r="K494" s="62"/>
      <c r="L494" s="61">
        <f>Price!A494</f>
        <v>0</v>
      </c>
      <c r="M494" s="15">
        <f>Price!B494</f>
        <v>0</v>
      </c>
      <c r="N494" s="15">
        <f>Price!C494</f>
        <v>0</v>
      </c>
      <c r="O494" s="525">
        <f>Price!D494</f>
        <v>0</v>
      </c>
      <c r="P494" s="16"/>
      <c r="Q494" s="17">
        <f>Price!F494</f>
        <v>0</v>
      </c>
      <c r="R494" s="318"/>
      <c r="S494" s="318"/>
      <c r="T494" s="12">
        <f>Price!G494</f>
        <v>0</v>
      </c>
      <c r="U494" s="252">
        <f>Price!H494</f>
        <v>0</v>
      </c>
      <c r="V494" s="13"/>
      <c r="W494" s="13"/>
      <c r="X494" s="19"/>
      <c r="Y494" s="19"/>
    </row>
    <row r="495" spans="1:25" x14ac:dyDescent="0.35">
      <c r="A495" s="79"/>
      <c r="B495" s="161"/>
      <c r="C495" s="161"/>
      <c r="D495" s="529"/>
      <c r="E495" s="78"/>
      <c r="F495" s="67"/>
      <c r="G495" s="67"/>
      <c r="H495" s="67"/>
      <c r="I495" s="67"/>
      <c r="J495" s="67"/>
      <c r="K495" s="69"/>
      <c r="L495" s="61" t="str">
        <f>Price!A495</f>
        <v xml:space="preserve">  AMBIA-LINE pro čelní výsuvy, kovový design</v>
      </c>
      <c r="M495" s="15">
        <f>Price!B495</f>
        <v>0</v>
      </c>
      <c r="N495" s="15">
        <f>Price!C495</f>
        <v>0</v>
      </c>
      <c r="O495" s="525">
        <f>Price!D495</f>
        <v>0</v>
      </c>
      <c r="P495" s="16"/>
      <c r="Q495" s="17">
        <f>Price!F495</f>
        <v>0</v>
      </c>
      <c r="R495" s="318"/>
      <c r="S495" s="318"/>
      <c r="T495" s="12">
        <f>Price!G495</f>
        <v>0</v>
      </c>
      <c r="U495" s="252">
        <f>Price!H495</f>
        <v>0</v>
      </c>
      <c r="V495" s="13"/>
      <c r="W495" s="13"/>
      <c r="X495" s="19"/>
      <c r="Y495" s="19"/>
    </row>
    <row r="496" spans="1:25" ht="15" thickBot="1" x14ac:dyDescent="0.4">
      <c r="A496" s="320" t="str">
        <f>IF(OR($C$2=1, $C$2=4),L496,IF($C$2=2,L497,IF($C$2=3,L498,IF($C$2=5,L498,"  chyba"))))</f>
        <v>Rámečky pro čel. výsuvy, od 270mm, Orion šedá</v>
      </c>
      <c r="B496" s="324" t="str">
        <f t="shared" ref="B496" si="481">IF(OR($C$2=1, $C$2=4),M496,IF($C$2=2,M497,IF($C$2=3,M498,IF($C$2=5,M498,"  chyba"))))</f>
        <v>ZC7F300RSU</v>
      </c>
      <c r="C496" s="324" t="str">
        <f t="shared" ref="C496" si="482">IF(OR($C$2=1, $C$2=4),N496,IF($C$2=2,N497,IF($C$2=3,N498,IF($C$2=5,N498,"  chyba"))))</f>
        <v>OG-M</v>
      </c>
      <c r="D496" s="324">
        <f t="shared" ref="D496" si="483">IF(OR($C$2=1, $C$2=4),O496,IF($C$2=2,O497,IF($C$2=3,O498,IF($C$2=5,O498,"  chyba"))))</f>
        <v>0</v>
      </c>
      <c r="E496" s="321">
        <f t="shared" ref="E496" si="484">IF(OR($C$2=1, $C$2=4),P496,IF($C$2=2,P497,IF($C$2=3,P498,IF($C$2=5,P498,"  chyba"))))</f>
        <v>0</v>
      </c>
      <c r="F496" s="322">
        <f t="shared" ref="F496" si="485">IF(OR($C$2=1, $C$2=4),Q496,IF($C$2=2,Q497,IF($C$2=3,Q498,IF($C$2=5,Q498,"  chyba"))))</f>
        <v>1236.50802</v>
      </c>
      <c r="G496" s="323"/>
      <c r="H496" s="323"/>
      <c r="I496" s="325">
        <f t="shared" ref="I496" si="486">IF(OR($C$2=1, $C$2=4),T496,IF($C$2=2,T497,IF($C$2=3,T498,IF($C$2=5,T498,"  chyba"))))</f>
        <v>7830344</v>
      </c>
      <c r="J496" s="325">
        <f t="shared" ref="J496" si="487">IF(OR($C$2=1, $C$2=4),U496,IF($C$2=2,U497,IF($C$2=3,U498,IF($C$2=5,U498,"  chyba"))))</f>
        <v>227668</v>
      </c>
      <c r="K496" s="69"/>
      <c r="L496" s="61" t="str">
        <f>Price!A496</f>
        <v>Rámečky pro čel. výsuvy, od 270mm, Orion šedá</v>
      </c>
      <c r="M496" s="15" t="str">
        <f>Price!B496</f>
        <v>ZC7F300RSU</v>
      </c>
      <c r="N496" s="15" t="str">
        <f>Price!C496</f>
        <v>OG-M</v>
      </c>
      <c r="O496" s="525">
        <f>Price!D496</f>
        <v>0</v>
      </c>
      <c r="P496" s="16"/>
      <c r="Q496" s="17">
        <f>Price!F496</f>
        <v>1236.50802</v>
      </c>
      <c r="R496" s="318"/>
      <c r="S496" s="318"/>
      <c r="T496" s="12">
        <f>Price!G496</f>
        <v>7830344</v>
      </c>
      <c r="U496" s="252">
        <f>Price!H496</f>
        <v>227668</v>
      </c>
      <c r="V496" s="13"/>
      <c r="W496" s="13"/>
      <c r="X496" s="19"/>
      <c r="Y496" s="19"/>
    </row>
    <row r="497" spans="1:25" x14ac:dyDescent="0.35">
      <c r="A497" s="77"/>
      <c r="B497" s="160"/>
      <c r="C497" s="160"/>
      <c r="D497" s="528"/>
      <c r="E497" s="78"/>
      <c r="F497" s="65"/>
      <c r="G497" s="65"/>
      <c r="H497" s="65"/>
      <c r="I497" s="171"/>
      <c r="J497" s="171"/>
      <c r="K497" s="69"/>
      <c r="L497" s="61" t="str">
        <f>Price!A497</f>
        <v>Rámečky pro čel. výsuvy, od 270mm, hedvábně bílá</v>
      </c>
      <c r="M497" s="15" t="str">
        <f>Price!B497</f>
        <v>ZC7F300RSU</v>
      </c>
      <c r="N497" s="15" t="str">
        <f>Price!C497</f>
        <v>SW-M</v>
      </c>
      <c r="O497" s="525">
        <f>Price!D497</f>
        <v>0</v>
      </c>
      <c r="P497" s="16"/>
      <c r="Q497" s="17">
        <f>Price!F497</f>
        <v>1236.50802</v>
      </c>
      <c r="R497" s="318"/>
      <c r="S497" s="318"/>
      <c r="T497" s="12">
        <f>Price!G497</f>
        <v>6278039</v>
      </c>
      <c r="U497" s="252">
        <f>Price!H497</f>
        <v>227667</v>
      </c>
      <c r="V497" s="13"/>
      <c r="W497" s="13"/>
      <c r="X497" s="19"/>
      <c r="Y497" s="19"/>
    </row>
    <row r="498" spans="1:25" x14ac:dyDescent="0.35">
      <c r="A498" s="77"/>
      <c r="B498" s="160"/>
      <c r="C498" s="160"/>
      <c r="D498" s="528"/>
      <c r="E498" s="78"/>
      <c r="F498" s="65"/>
      <c r="G498" s="65"/>
      <c r="H498" s="65"/>
      <c r="I498" s="171"/>
      <c r="J498" s="171"/>
      <c r="K498" s="63"/>
      <c r="L498" s="61" t="str">
        <f>Price!A498</f>
        <v>Rámečky pro čel. výsuvy, od 270mm, Terra černá</v>
      </c>
      <c r="M498" s="15" t="str">
        <f>Price!B498</f>
        <v>ZC7F300RSU</v>
      </c>
      <c r="N498" s="15" t="str">
        <f>Price!C498</f>
        <v>TS-M</v>
      </c>
      <c r="O498" s="525" t="str">
        <f>Price!D498</f>
        <v>!</v>
      </c>
      <c r="P498" s="16"/>
      <c r="Q498" s="17">
        <f>Price!F498</f>
        <v>1236.50802</v>
      </c>
      <c r="R498" s="318"/>
      <c r="S498" s="318"/>
      <c r="T498" s="12">
        <f>Price!G498</f>
        <v>6379696</v>
      </c>
      <c r="U498" s="252">
        <f>Price!H498</f>
        <v>227669</v>
      </c>
      <c r="V498" s="13"/>
      <c r="W498" s="13"/>
      <c r="X498" s="19"/>
      <c r="Y498" s="19"/>
    </row>
    <row r="499" spans="1:25" ht="15" thickBot="1" x14ac:dyDescent="0.4">
      <c r="A499" s="320" t="str">
        <f>IF(OR($C$2=1, $C$2=4),L499,IF($C$2=2,L500,IF($C$2=3,L501,IF($C$2=5,L501,"  chyba"))))</f>
        <v>Adaptér pro dřevěná záda, š.242mm, Orion šedá</v>
      </c>
      <c r="B499" s="324" t="str">
        <f t="shared" ref="B499" si="488">IF(OR($C$2=1, $C$2=4),M499,IF($C$2=2,M500,IF($C$2=3,M501,IF($C$2=5,M501,"  chyba"))))</f>
        <v>ZC7A0U0C</v>
      </c>
      <c r="C499" s="324" t="str">
        <f t="shared" ref="C499" si="489">IF(OR($C$2=1, $C$2=4),N499,IF($C$2=2,N500,IF($C$2=3,N501,IF($C$2=5,N501,"  chyba"))))</f>
        <v>OG-M</v>
      </c>
      <c r="D499" s="324">
        <f t="shared" ref="D499" si="490">IF(OR($C$2=1, $C$2=4),O499,IF($C$2=2,O500,IF($C$2=3,O501,IF($C$2=5,O501,"  chyba"))))</f>
        <v>0</v>
      </c>
      <c r="E499" s="321">
        <f t="shared" ref="E499" si="491">IF(OR($C$2=1, $C$2=4),P499,IF($C$2=2,P500,IF($C$2=3,P501,IF($C$2=5,P501,"  chyba"))))</f>
        <v>0</v>
      </c>
      <c r="F499" s="322">
        <f t="shared" ref="F499" si="492">IF(OR($C$2=1, $C$2=4),Q499,IF($C$2=2,Q500,IF($C$2=3,Q501,IF($C$2=5,Q501,"  chyba"))))</f>
        <v>147.69466</v>
      </c>
      <c r="G499" s="323"/>
      <c r="H499" s="323"/>
      <c r="I499" s="325">
        <f t="shared" ref="I499" si="493">IF(OR($C$2=1, $C$2=4),T499,IF($C$2=2,T500,IF($C$2=3,T501,IF($C$2=5,T501,"  chyba"))))</f>
        <v>4293657</v>
      </c>
      <c r="J499" s="325">
        <f t="shared" ref="J499" si="494">IF(OR($C$2=1, $C$2=4),U499,IF($C$2=2,U500,IF($C$2=3,U501,IF($C$2=5,U501,"  chyba"))))</f>
        <v>227671</v>
      </c>
      <c r="K499" s="20"/>
      <c r="L499" s="61" t="str">
        <f>Price!A499</f>
        <v>Adaptér pro dřevěná záda, š.242mm, Orion šedá</v>
      </c>
      <c r="M499" s="15" t="str">
        <f>Price!B499</f>
        <v>ZC7A0U0C</v>
      </c>
      <c r="N499" s="15" t="str">
        <f>Price!C499</f>
        <v>OG-M</v>
      </c>
      <c r="O499" s="525">
        <f>Price!D499</f>
        <v>0</v>
      </c>
      <c r="P499" s="16"/>
      <c r="Q499" s="17">
        <f>Price!F499</f>
        <v>147.69466</v>
      </c>
      <c r="R499" s="318"/>
      <c r="S499" s="318"/>
      <c r="T499" s="12">
        <f>Price!G499</f>
        <v>4293657</v>
      </c>
      <c r="U499" s="252">
        <f>Price!H499</f>
        <v>227671</v>
      </c>
      <c r="V499" s="13"/>
      <c r="W499" s="13"/>
      <c r="X499" s="19"/>
      <c r="Y499" s="19"/>
    </row>
    <row r="500" spans="1:25" x14ac:dyDescent="0.35">
      <c r="A500" s="77"/>
      <c r="B500" s="160"/>
      <c r="C500" s="160"/>
      <c r="D500" s="528"/>
      <c r="E500" s="78"/>
      <c r="F500" s="65"/>
      <c r="G500" s="65"/>
      <c r="H500" s="65"/>
      <c r="I500" s="171"/>
      <c r="J500" s="171"/>
      <c r="K500" s="20"/>
      <c r="L500" s="61" t="str">
        <f>Price!A500</f>
        <v>Adaptér pro dřevěná záda, š.242mm, hedvábně bílá</v>
      </c>
      <c r="M500" s="15" t="str">
        <f>Price!B500</f>
        <v>ZC7A0U0C</v>
      </c>
      <c r="N500" s="15" t="str">
        <f>Price!C500</f>
        <v>SW-M</v>
      </c>
      <c r="O500" s="525">
        <f>Price!D500</f>
        <v>0</v>
      </c>
      <c r="P500" s="16"/>
      <c r="Q500" s="17">
        <f>Price!F500</f>
        <v>147.69466</v>
      </c>
      <c r="R500" s="318"/>
      <c r="S500" s="318"/>
      <c r="T500" s="12">
        <f>Price!G500</f>
        <v>1135009</v>
      </c>
      <c r="U500" s="252">
        <f>Price!H500</f>
        <v>227670</v>
      </c>
      <c r="V500" s="13"/>
      <c r="W500" s="13"/>
      <c r="X500" s="19"/>
      <c r="Y500" s="19"/>
    </row>
    <row r="501" spans="1:25" x14ac:dyDescent="0.35">
      <c r="A501" s="77"/>
      <c r="B501" s="160"/>
      <c r="C501" s="160"/>
      <c r="D501" s="528"/>
      <c r="E501" s="78"/>
      <c r="F501" s="65"/>
      <c r="G501" s="65"/>
      <c r="H501" s="65"/>
      <c r="I501" s="171"/>
      <c r="J501" s="171"/>
      <c r="K501" s="62"/>
      <c r="L501" s="61" t="str">
        <f>Price!A501</f>
        <v>Adaptér pro dřevěná záda, š.242mm, Terra černý</v>
      </c>
      <c r="M501" s="15" t="str">
        <f>Price!B501</f>
        <v>ZC7A0U0C</v>
      </c>
      <c r="N501" s="15" t="str">
        <f>Price!C501</f>
        <v>TS-M</v>
      </c>
      <c r="O501" s="525" t="str">
        <f>Price!D501</f>
        <v>!</v>
      </c>
      <c r="P501" s="16"/>
      <c r="Q501" s="17">
        <f>Price!F501</f>
        <v>147.69466</v>
      </c>
      <c r="R501" s="318"/>
      <c r="S501" s="318"/>
      <c r="T501" s="12">
        <f>Price!G501</f>
        <v>8886957</v>
      </c>
      <c r="U501" s="252">
        <f>Price!H501</f>
        <v>227672</v>
      </c>
      <c r="V501" s="13"/>
      <c r="W501" s="13"/>
      <c r="X501" s="19"/>
      <c r="Y501" s="19"/>
    </row>
    <row r="502" spans="1:25" ht="15" thickBot="1" x14ac:dyDescent="0.4">
      <c r="A502" s="320" t="str">
        <f>IF(OR($C$2=1, $C$2=4),L502,IF($C$2=2,L503,IF($C$2=3,L504,IF($C$2=5,L504,"  chyba"))))</f>
        <v>Samostatná příčka,110/242mm, Orion šedá</v>
      </c>
      <c r="B502" s="324" t="str">
        <f t="shared" ref="B502" si="495">IF(OR($C$2=1, $C$2=4),M502,IF($C$2=2,M503,IF($C$2=3,M504,IF($C$2=5,M504,"  chyba"))))</f>
        <v>ZC7Q0U0FS</v>
      </c>
      <c r="C502" s="324" t="str">
        <f t="shared" ref="C502" si="496">IF(OR($C$2=1, $C$2=4),N502,IF($C$2=2,N503,IF($C$2=3,N504,IF($C$2=5,N504,"  chyba"))))</f>
        <v>OG-M</v>
      </c>
      <c r="D502" s="324" t="str">
        <f t="shared" ref="D502" si="497">IF(OR($C$2=1, $C$2=4),O502,IF($C$2=2,O503,IF($C$2=3,O504,IF($C$2=5,O504,"  chyba"))))</f>
        <v>!</v>
      </c>
      <c r="E502" s="321">
        <f t="shared" ref="E502" si="498">IF(OR($C$2=1, $C$2=4),P502,IF($C$2=2,P503,IF($C$2=3,P504,IF($C$2=5,P504,"  chyba"))))</f>
        <v>0</v>
      </c>
      <c r="F502" s="322">
        <f t="shared" ref="F502" si="499">IF(OR($C$2=1, $C$2=4),Q502,IF($C$2=2,Q503,IF($C$2=3,Q504,IF($C$2=5,Q504,"  chyba"))))</f>
        <v>182.04149000000001</v>
      </c>
      <c r="G502" s="323"/>
      <c r="H502" s="323"/>
      <c r="I502" s="325">
        <f t="shared" ref="I502" si="500">IF(OR($C$2=1, $C$2=4),T502,IF($C$2=2,T503,IF($C$2=3,T504,IF($C$2=5,T504,"  chyba"))))</f>
        <v>9384548</v>
      </c>
      <c r="J502" s="325">
        <f t="shared" ref="J502" si="501">IF(OR($C$2=1, $C$2=4),U502,IF($C$2=2,U503,IF($C$2=3,U504,IF($C$2=5,U504,"  chyba"))))</f>
        <v>227674</v>
      </c>
      <c r="K502" s="63"/>
      <c r="L502" s="61" t="str">
        <f>Price!A502</f>
        <v>Samostatná příčka,110/242mm, Orion šedá</v>
      </c>
      <c r="M502" s="15" t="str">
        <f>Price!B502</f>
        <v>ZC7Q0U0FS</v>
      </c>
      <c r="N502" s="15" t="str">
        <f>Price!C502</f>
        <v>OG-M</v>
      </c>
      <c r="O502" s="525" t="str">
        <f>Price!D502</f>
        <v>!</v>
      </c>
      <c r="P502" s="16"/>
      <c r="Q502" s="17">
        <f>Price!F502</f>
        <v>182.04149000000001</v>
      </c>
      <c r="R502" s="318"/>
      <c r="S502" s="318"/>
      <c r="T502" s="12">
        <f>Price!G502</f>
        <v>9384548</v>
      </c>
      <c r="U502" s="252">
        <f>Price!H502</f>
        <v>227674</v>
      </c>
      <c r="V502" s="13"/>
      <c r="W502" s="13"/>
      <c r="X502" s="19"/>
      <c r="Y502" s="19"/>
    </row>
    <row r="503" spans="1:25" x14ac:dyDescent="0.35">
      <c r="A503" s="77"/>
      <c r="B503" s="160"/>
      <c r="C503" s="160"/>
      <c r="D503" s="528"/>
      <c r="E503" s="78"/>
      <c r="F503" s="65"/>
      <c r="G503" s="65"/>
      <c r="H503" s="65"/>
      <c r="I503" s="171"/>
      <c r="J503" s="171"/>
      <c r="K503" s="69"/>
      <c r="L503" s="61" t="str">
        <f>Price!A503</f>
        <v>Samostatná příčka,110/242mm, hedvábně bílá</v>
      </c>
      <c r="M503" s="15" t="str">
        <f>Price!B503</f>
        <v>ZC7Q0U0FS</v>
      </c>
      <c r="N503" s="15" t="str">
        <f>Price!C503</f>
        <v>SW-M</v>
      </c>
      <c r="O503" s="525" t="str">
        <f>Price!D503</f>
        <v>!</v>
      </c>
      <c r="P503" s="16"/>
      <c r="Q503" s="17">
        <f>Price!F503</f>
        <v>182.04149000000001</v>
      </c>
      <c r="R503" s="318"/>
      <c r="S503" s="318"/>
      <c r="T503" s="12">
        <f>Price!G503</f>
        <v>7313912</v>
      </c>
      <c r="U503" s="252">
        <f>Price!H503</f>
        <v>227673</v>
      </c>
      <c r="V503" s="13"/>
      <c r="W503" s="13"/>
      <c r="X503" s="19"/>
      <c r="Y503" s="19"/>
    </row>
    <row r="504" spans="1:25" x14ac:dyDescent="0.35">
      <c r="A504" s="77"/>
      <c r="B504" s="160"/>
      <c r="C504" s="160"/>
      <c r="D504" s="528"/>
      <c r="E504" s="78"/>
      <c r="F504" s="65"/>
      <c r="G504" s="65"/>
      <c r="H504" s="65"/>
      <c r="I504" s="171"/>
      <c r="J504" s="171"/>
      <c r="K504" s="69"/>
      <c r="L504" s="61" t="str">
        <f>Price!A504</f>
        <v>Samostatná příčka,110/242mm, Terra černá</v>
      </c>
      <c r="M504" s="15" t="str">
        <f>Price!B504</f>
        <v>ZC7Q0U0FS</v>
      </c>
      <c r="N504" s="15" t="str">
        <f>Price!C504</f>
        <v>TS-M</v>
      </c>
      <c r="O504" s="525" t="str">
        <f>Price!D504</f>
        <v>!</v>
      </c>
      <c r="P504" s="16"/>
      <c r="Q504" s="17">
        <f>Price!F504</f>
        <v>182.04149000000001</v>
      </c>
      <c r="R504" s="318"/>
      <c r="S504" s="318"/>
      <c r="T504" s="12">
        <f>Price!G504</f>
        <v>1792344</v>
      </c>
      <c r="U504" s="252">
        <f>Price!H504</f>
        <v>227675</v>
      </c>
      <c r="V504" s="13"/>
      <c r="W504" s="13"/>
      <c r="X504" s="25"/>
      <c r="Y504" s="19"/>
    </row>
    <row r="505" spans="1:25" x14ac:dyDescent="0.35">
      <c r="A505" s="77"/>
      <c r="B505" s="160"/>
      <c r="C505" s="160"/>
      <c r="D505" s="528"/>
      <c r="E505" s="78"/>
      <c r="F505" s="65"/>
      <c r="G505" s="65"/>
      <c r="H505" s="65"/>
      <c r="I505" s="171"/>
      <c r="J505" s="171"/>
      <c r="K505" s="69"/>
      <c r="L505" s="61">
        <f>Price!A505</f>
        <v>0</v>
      </c>
      <c r="M505" s="15">
        <f>Price!B505</f>
        <v>0</v>
      </c>
      <c r="N505" s="15">
        <f>Price!C505</f>
        <v>0</v>
      </c>
      <c r="O505" s="525">
        <f>Price!D505</f>
        <v>0</v>
      </c>
      <c r="P505" s="16"/>
      <c r="Q505" s="17">
        <f>Price!F505</f>
        <v>0</v>
      </c>
      <c r="R505" s="318"/>
      <c r="S505" s="318"/>
      <c r="T505" s="12">
        <f>Price!G505</f>
        <v>0</v>
      </c>
      <c r="U505" s="252">
        <f>Price!H505</f>
        <v>0</v>
      </c>
      <c r="V505" s="13"/>
      <c r="W505" s="13"/>
      <c r="X505" s="25"/>
      <c r="Y505" s="19"/>
    </row>
    <row r="506" spans="1:25" ht="15" thickBot="1" x14ac:dyDescent="0.4">
      <c r="A506" s="320" t="str">
        <f>IF(OR($C$2=1, $C$2=4),L506,IF($C$2=2,L507,IF($C$2=3,L508,IF($C$2=5,L508,"  chyba"))))</f>
        <v>Rámečky pro čel. výsuvy, od 400mm, Orion šedá</v>
      </c>
      <c r="B506" s="324" t="str">
        <f t="shared" ref="B506" si="502">IF(OR($C$2=1, $C$2=4),M506,IF($C$2=2,M507,IF($C$2=3,M508,IF($C$2=5,M508,"  chyba"))))</f>
        <v>ZC7F400RSP</v>
      </c>
      <c r="C506" s="324" t="str">
        <f t="shared" ref="C506" si="503">IF(OR($C$2=1, $C$2=4),N506,IF($C$2=2,N507,IF($C$2=3,N508,IF($C$2=5,N508,"  chyba"))))</f>
        <v>OG-M</v>
      </c>
      <c r="D506" s="324">
        <f t="shared" ref="D506" si="504">IF(OR($C$2=1, $C$2=4),O506,IF($C$2=2,O507,IF($C$2=3,O508,IF($C$2=5,O508,"  chyba"))))</f>
        <v>0</v>
      </c>
      <c r="E506" s="321">
        <f t="shared" ref="E506" si="505">IF(OR($C$2=1, $C$2=4),P506,IF($C$2=2,P507,IF($C$2=3,P508,IF($C$2=5,P508,"  chyba"))))</f>
        <v>0</v>
      </c>
      <c r="F506" s="322">
        <f t="shared" ref="F506" si="506">IF(OR($C$2=1, $C$2=4),Q506,IF($C$2=2,Q507,IF($C$2=3,Q508,IF($C$2=5,Q508,"  chyba"))))</f>
        <v>1305.20226</v>
      </c>
      <c r="G506" s="323"/>
      <c r="H506" s="323"/>
      <c r="I506" s="325">
        <f t="shared" ref="I506" si="507">IF(OR($C$2=1, $C$2=4),T506,IF($C$2=2,T507,IF($C$2=3,T508,IF($C$2=5,T508,"  chyba"))))</f>
        <v>7649432</v>
      </c>
      <c r="J506" s="325">
        <f t="shared" ref="J506" si="508">IF(OR($C$2=1, $C$2=4),U506,IF($C$2=2,U507,IF($C$2=3,U508,IF($C$2=5,U508,"  chyba"))))</f>
        <v>227677</v>
      </c>
      <c r="K506" s="69"/>
      <c r="L506" s="61" t="str">
        <f>Price!A506</f>
        <v>Rámečky pro čel. výsuvy, od 400mm, Orion šedá</v>
      </c>
      <c r="M506" s="15" t="str">
        <f>Price!B506</f>
        <v>ZC7F400RSP</v>
      </c>
      <c r="N506" s="15" t="str">
        <f>Price!C506</f>
        <v>OG-M</v>
      </c>
      <c r="O506" s="525">
        <f>Price!D506</f>
        <v>0</v>
      </c>
      <c r="P506" s="16"/>
      <c r="Q506" s="17">
        <f>Price!F506</f>
        <v>1305.20226</v>
      </c>
      <c r="R506" s="318"/>
      <c r="S506" s="318"/>
      <c r="T506" s="12">
        <f>Price!G506</f>
        <v>7649432</v>
      </c>
      <c r="U506" s="252">
        <f>Price!H506</f>
        <v>227677</v>
      </c>
      <c r="V506" s="13"/>
      <c r="W506" s="13"/>
      <c r="X506" s="26"/>
      <c r="Y506" s="19"/>
    </row>
    <row r="507" spans="1:25" x14ac:dyDescent="0.35">
      <c r="A507" s="77"/>
      <c r="B507" s="160"/>
      <c r="C507" s="160"/>
      <c r="D507" s="528"/>
      <c r="E507" s="78"/>
      <c r="F507" s="65"/>
      <c r="G507" s="65"/>
      <c r="H507" s="65"/>
      <c r="I507" s="171"/>
      <c r="J507" s="171"/>
      <c r="K507" s="69"/>
      <c r="L507" s="61" t="str">
        <f>Price!A507</f>
        <v>Rámečky pro čel. výsuvy, od 400mm, hedvábně bílá</v>
      </c>
      <c r="M507" s="15" t="str">
        <f>Price!B507</f>
        <v>ZC7F400RSP</v>
      </c>
      <c r="N507" s="15" t="str">
        <f>Price!C507</f>
        <v>SW-M</v>
      </c>
      <c r="O507" s="525">
        <f>Price!D507</f>
        <v>0</v>
      </c>
      <c r="P507" s="16"/>
      <c r="Q507" s="17">
        <f>Price!F507</f>
        <v>1305.20226</v>
      </c>
      <c r="R507" s="318"/>
      <c r="S507" s="318"/>
      <c r="T507" s="12">
        <f>Price!G507</f>
        <v>2195450</v>
      </c>
      <c r="U507" s="252">
        <f>Price!H507</f>
        <v>227676</v>
      </c>
      <c r="V507" s="13"/>
      <c r="W507" s="13"/>
      <c r="X507" s="26"/>
      <c r="Y507" s="19"/>
    </row>
    <row r="508" spans="1:25" x14ac:dyDescent="0.35">
      <c r="A508" s="77"/>
      <c r="B508" s="160"/>
      <c r="C508" s="160"/>
      <c r="D508" s="528"/>
      <c r="E508" s="83"/>
      <c r="F508" s="65"/>
      <c r="G508" s="65"/>
      <c r="H508" s="65"/>
      <c r="I508" s="171"/>
      <c r="J508" s="171"/>
      <c r="K508" s="69"/>
      <c r="L508" s="61" t="str">
        <f>Price!A508</f>
        <v>Rámečky pro čel. výsuvy, od 400mm, Terra černá</v>
      </c>
      <c r="M508" s="15" t="str">
        <f>Price!B508</f>
        <v>ZC7F400RSP</v>
      </c>
      <c r="N508" s="15" t="str">
        <f>Price!C508</f>
        <v>TS-M</v>
      </c>
      <c r="O508" s="525" t="str">
        <f>Price!D508</f>
        <v>!</v>
      </c>
      <c r="P508" s="16"/>
      <c r="Q508" s="17">
        <f>Price!F508</f>
        <v>1305.20226</v>
      </c>
      <c r="R508" s="318"/>
      <c r="S508" s="318"/>
      <c r="T508" s="12">
        <f>Price!G508</f>
        <v>9241686</v>
      </c>
      <c r="U508" s="252">
        <f>Price!H508</f>
        <v>227678</v>
      </c>
      <c r="V508" s="13"/>
      <c r="W508" s="13"/>
      <c r="X508" s="26"/>
      <c r="Y508" s="19"/>
    </row>
    <row r="509" spans="1:25" ht="15" thickBot="1" x14ac:dyDescent="0.4">
      <c r="A509" s="320" t="str">
        <f>IF(OR($C$2=1, $C$2=4),L509,IF($C$2=2,L510,IF($C$2=3,L511,IF($C$2=5,L511,"  chyba"))))</f>
        <v>Adaptér pro dřevěná záda C, Orion šedá</v>
      </c>
      <c r="B509" s="324" t="str">
        <f t="shared" ref="B509" si="509">IF(OR($C$2=1, $C$2=4),M509,IF($C$2=2,M510,IF($C$2=3,M511,IF($C$2=5,M511,"  chyba"))))</f>
        <v>ZC7A0P0C</v>
      </c>
      <c r="C509" s="324" t="str">
        <f t="shared" ref="C509" si="510">IF(OR($C$2=1, $C$2=4),N509,IF($C$2=2,N510,IF($C$2=3,N511,IF($C$2=5,N511,"  chyba"))))</f>
        <v>OG-M</v>
      </c>
      <c r="D509" s="324">
        <f t="shared" ref="D509" si="511">IF(OR($C$2=1, $C$2=4),O509,IF($C$2=2,O510,IF($C$2=3,O511,IF($C$2=5,O511,"  chyba"))))</f>
        <v>0</v>
      </c>
      <c r="E509" s="321">
        <f t="shared" ref="E509" si="512">IF(OR($C$2=1, $C$2=4),P509,IF($C$2=2,P510,IF($C$2=3,P511,IF($C$2=5,P511,"  chyba"))))</f>
        <v>0</v>
      </c>
      <c r="F509" s="322">
        <f t="shared" ref="F509" si="513">IF(OR($C$2=1, $C$2=4),Q509,IF($C$2=2,Q510,IF($C$2=3,Q511,IF($C$2=5,Q511,"  chyba"))))</f>
        <v>147.69466</v>
      </c>
      <c r="G509" s="323"/>
      <c r="H509" s="323"/>
      <c r="I509" s="325">
        <f t="shared" ref="I509" si="514">IF(OR($C$2=1, $C$2=4),T509,IF($C$2=2,T510,IF($C$2=3,T511,IF($C$2=5,T511,"  chyba"))))</f>
        <v>2258290</v>
      </c>
      <c r="J509" s="325">
        <f t="shared" ref="J509" si="515">IF(OR($C$2=1, $C$2=4),U509,IF($C$2=2,U510,IF($C$2=3,U511,IF($C$2=5,U511,"  chyba"))))</f>
        <v>227680</v>
      </c>
      <c r="K509" s="63"/>
      <c r="L509" s="61" t="str">
        <f>Price!A509</f>
        <v>Adaptér pro dřevěná záda C, Orion šedá</v>
      </c>
      <c r="M509" s="15" t="str">
        <f>Price!B509</f>
        <v>ZC7A0P0C</v>
      </c>
      <c r="N509" s="15" t="str">
        <f>Price!C509</f>
        <v>OG-M</v>
      </c>
      <c r="O509" s="525">
        <f>Price!D509</f>
        <v>0</v>
      </c>
      <c r="P509" s="16"/>
      <c r="Q509" s="17">
        <f>Price!F509</f>
        <v>147.69466</v>
      </c>
      <c r="R509" s="318"/>
      <c r="S509" s="318"/>
      <c r="T509" s="12">
        <f>Price!G509</f>
        <v>2258290</v>
      </c>
      <c r="U509" s="252">
        <f>Price!H509</f>
        <v>227680</v>
      </c>
      <c r="V509" s="13"/>
      <c r="W509" s="13"/>
      <c r="X509" s="26"/>
      <c r="Y509" s="19"/>
    </row>
    <row r="510" spans="1:25" x14ac:dyDescent="0.35">
      <c r="A510" s="77"/>
      <c r="B510" s="160"/>
      <c r="C510" s="160"/>
      <c r="D510" s="528"/>
      <c r="E510" s="83"/>
      <c r="F510" s="65"/>
      <c r="G510" s="65"/>
      <c r="H510" s="65"/>
      <c r="I510" s="171"/>
      <c r="J510" s="171"/>
      <c r="K510" s="20"/>
      <c r="L510" s="61" t="str">
        <f>Price!A510</f>
        <v>Adaptér pro dřevěná záda C, hedvábně bílá</v>
      </c>
      <c r="M510" s="15" t="str">
        <f>Price!B510</f>
        <v>ZC7A0P0C</v>
      </c>
      <c r="N510" s="15" t="str">
        <f>Price!C510</f>
        <v>SW-M</v>
      </c>
      <c r="O510" s="525">
        <f>Price!D510</f>
        <v>0</v>
      </c>
      <c r="P510" s="16"/>
      <c r="Q510" s="17">
        <f>Price!F510</f>
        <v>147.69466</v>
      </c>
      <c r="R510" s="318"/>
      <c r="S510" s="318"/>
      <c r="T510" s="12">
        <f>Price!G510</f>
        <v>8408859</v>
      </c>
      <c r="U510" s="252">
        <f>Price!H510</f>
        <v>227679</v>
      </c>
      <c r="V510" s="13"/>
      <c r="W510" s="13"/>
      <c r="X510" s="27"/>
      <c r="Y510" s="19"/>
    </row>
    <row r="511" spans="1:25" x14ac:dyDescent="0.35">
      <c r="A511" s="77"/>
      <c r="B511" s="160"/>
      <c r="C511" s="160"/>
      <c r="D511" s="528"/>
      <c r="E511" s="78"/>
      <c r="F511" s="65"/>
      <c r="G511" s="65"/>
      <c r="H511" s="65"/>
      <c r="I511" s="171"/>
      <c r="J511" s="171"/>
      <c r="K511" s="20"/>
      <c r="L511" s="61" t="str">
        <f>Price!A511</f>
        <v>Adaptér pro dřevěná záda C, Terra černý</v>
      </c>
      <c r="M511" s="15" t="str">
        <f>Price!B511</f>
        <v>ZC7A0P0C</v>
      </c>
      <c r="N511" s="15" t="str">
        <f>Price!C511</f>
        <v>TS-M</v>
      </c>
      <c r="O511" s="525" t="str">
        <f>Price!D511</f>
        <v>!</v>
      </c>
      <c r="P511" s="16"/>
      <c r="Q511" s="17">
        <f>Price!F511</f>
        <v>0</v>
      </c>
      <c r="R511" s="318"/>
      <c r="S511" s="318"/>
      <c r="T511" s="12">
        <f>Price!G511</f>
        <v>6898225</v>
      </c>
      <c r="U511" s="252">
        <f>Price!H511</f>
        <v>227681</v>
      </c>
      <c r="V511" s="13"/>
      <c r="W511" s="13"/>
      <c r="X511" s="25"/>
      <c r="Y511" s="19"/>
    </row>
    <row r="512" spans="1:25" ht="15" thickBot="1" x14ac:dyDescent="0.4">
      <c r="A512" s="320" t="str">
        <f>IF(OR($C$2=1, $C$2=4),L512,IF($C$2=2,L513,IF($C$2=3,L514,IF($C$2=5,L514,"  chyba"))))</f>
        <v>Adaptér pro dřevěná záda F, Orion šedá</v>
      </c>
      <c r="B512" s="324" t="str">
        <f t="shared" ref="B512" si="516">IF(OR($C$2=1, $C$2=4),M512,IF($C$2=2,M513,IF($C$2=3,M514,IF($C$2=5,M514,"  chyba"))))</f>
        <v>ZC7A0P0F</v>
      </c>
      <c r="C512" s="324" t="str">
        <f t="shared" ref="C512" si="517">IF(OR($C$2=1, $C$2=4),N512,IF($C$2=2,N513,IF($C$2=3,N514,IF($C$2=5,N514,"  chyba"))))</f>
        <v>OG-M</v>
      </c>
      <c r="D512" s="324">
        <f t="shared" ref="D512" si="518">IF(OR($C$2=1, $C$2=4),O512,IF($C$2=2,O513,IF($C$2=3,O514,IF($C$2=5,O514,"  chyba"))))</f>
        <v>0</v>
      </c>
      <c r="E512" s="321">
        <f t="shared" ref="E512" si="519">IF(OR($C$2=1, $C$2=4),P512,IF($C$2=2,P513,IF($C$2=3,P514,IF($C$2=5,P514,"  chyba"))))</f>
        <v>0</v>
      </c>
      <c r="F512" s="322">
        <f t="shared" ref="F512" si="520">IF(OR($C$2=1, $C$2=4),Q512,IF($C$2=2,Q513,IF($C$2=3,Q514,IF($C$2=5,Q514,"  chyba"))))</f>
        <v>164.87076999999999</v>
      </c>
      <c r="G512" s="323"/>
      <c r="H512" s="323"/>
      <c r="I512" s="325">
        <f t="shared" ref="I512" si="521">IF(OR($C$2=1, $C$2=4),T512,IF($C$2=2,T513,IF($C$2=3,T514,IF($C$2=5,T514,"  chyba"))))</f>
        <v>3677745</v>
      </c>
      <c r="J512" s="325">
        <f t="shared" ref="J512" si="522">IF(OR($C$2=1, $C$2=4),U512,IF($C$2=2,U513,IF($C$2=3,U514,IF($C$2=5,U514,"  chyba"))))</f>
        <v>227683</v>
      </c>
      <c r="K512" s="20"/>
      <c r="L512" s="61" t="str">
        <f>Price!A512</f>
        <v>Adaptér pro dřevěná záda F, Orion šedá</v>
      </c>
      <c r="M512" s="15" t="str">
        <f>Price!B512</f>
        <v>ZC7A0P0F</v>
      </c>
      <c r="N512" s="15" t="str">
        <f>Price!C512</f>
        <v>OG-M</v>
      </c>
      <c r="O512" s="525">
        <f>Price!D512</f>
        <v>0</v>
      </c>
      <c r="P512" s="16"/>
      <c r="Q512" s="17">
        <f>Price!F512</f>
        <v>164.87076999999999</v>
      </c>
      <c r="R512" s="318"/>
      <c r="S512" s="318"/>
      <c r="T512" s="12">
        <f>Price!G512</f>
        <v>3677745</v>
      </c>
      <c r="U512" s="252">
        <f>Price!H512</f>
        <v>227683</v>
      </c>
      <c r="V512" s="13"/>
      <c r="W512" s="13"/>
      <c r="X512" s="25"/>
      <c r="Y512" s="19"/>
    </row>
    <row r="513" spans="1:25" x14ac:dyDescent="0.35">
      <c r="A513" s="77"/>
      <c r="B513" s="160"/>
      <c r="C513" s="160"/>
      <c r="D513" s="528"/>
      <c r="E513" s="78"/>
      <c r="F513" s="65"/>
      <c r="G513" s="65"/>
      <c r="H513" s="65"/>
      <c r="I513" s="171"/>
      <c r="J513" s="171"/>
      <c r="K513" s="20"/>
      <c r="L513" s="61" t="str">
        <f>Price!A513</f>
        <v>Adaptér pro dřevěná záda F, hedvábně bílá</v>
      </c>
      <c r="M513" s="15" t="str">
        <f>Price!B513</f>
        <v>ZC7A0P0F</v>
      </c>
      <c r="N513" s="15" t="str">
        <f>Price!C513</f>
        <v>SW-M</v>
      </c>
      <c r="O513" s="525">
        <f>Price!D513</f>
        <v>0</v>
      </c>
      <c r="P513" s="16"/>
      <c r="Q513" s="17">
        <f>Price!F513</f>
        <v>164.87076999999999</v>
      </c>
      <c r="R513" s="318"/>
      <c r="S513" s="318"/>
      <c r="T513" s="12">
        <f>Price!G513</f>
        <v>6946065</v>
      </c>
      <c r="U513" s="252">
        <f>Price!H513</f>
        <v>227682</v>
      </c>
      <c r="V513" s="13"/>
      <c r="W513" s="13"/>
      <c r="X513" s="19"/>
      <c r="Y513" s="19"/>
    </row>
    <row r="514" spans="1:25" x14ac:dyDescent="0.35">
      <c r="A514" s="77"/>
      <c r="B514" s="160"/>
      <c r="C514" s="160"/>
      <c r="D514" s="528"/>
      <c r="E514" s="78"/>
      <c r="F514" s="65"/>
      <c r="G514" s="65"/>
      <c r="H514" s="65"/>
      <c r="I514" s="171"/>
      <c r="J514" s="171"/>
      <c r="K514" s="20"/>
      <c r="L514" s="61" t="str">
        <f>Price!A514</f>
        <v>Adaptér pro dřevěná záda F, Terra černý</v>
      </c>
      <c r="M514" s="15" t="str">
        <f>Price!B514</f>
        <v>ZC7A0P0F</v>
      </c>
      <c r="N514" s="15" t="str">
        <f>Price!C514</f>
        <v>TS-M</v>
      </c>
      <c r="O514" s="525" t="str">
        <f>Price!D514</f>
        <v>!</v>
      </c>
      <c r="P514" s="16"/>
      <c r="Q514" s="17">
        <f>Price!F514</f>
        <v>164.87076999999999</v>
      </c>
      <c r="R514" s="318"/>
      <c r="S514" s="318"/>
      <c r="T514" s="12">
        <f>Price!G514</f>
        <v>4854839</v>
      </c>
      <c r="U514" s="252">
        <f>Price!H514</f>
        <v>227684</v>
      </c>
      <c r="V514" s="13"/>
      <c r="W514" s="13"/>
      <c r="X514" s="19"/>
      <c r="Y514" s="19"/>
    </row>
    <row r="515" spans="1:25" ht="15" thickBot="1" x14ac:dyDescent="0.4">
      <c r="A515" s="320" t="str">
        <f>IF(OR($C$2=1, $C$2=4),L515,IF($C$2=2,L516,IF($C$2=3,L517,IF($C$2=5,L517,"  chyba"))))</f>
        <v>Samostatná příčka,110/218mm, Orion šedá</v>
      </c>
      <c r="B515" s="324" t="str">
        <f t="shared" ref="B515" si="523">IF(OR($C$2=1, $C$2=4),M515,IF($C$2=2,M516,IF($C$2=3,M517,IF($C$2=5,M517,"  chyba"))))</f>
        <v>ZC7Q0P0FS</v>
      </c>
      <c r="C515" s="324" t="str">
        <f t="shared" ref="C515" si="524">IF(OR($C$2=1, $C$2=4),N515,IF($C$2=2,N516,IF($C$2=3,N517,IF($C$2=5,N517,"  chyba"))))</f>
        <v>OG-M</v>
      </c>
      <c r="D515" s="324" t="str">
        <f t="shared" ref="D515" si="525">IF(OR($C$2=1, $C$2=4),O515,IF($C$2=2,O516,IF($C$2=3,O517,IF($C$2=5,O517,"  chyba"))))</f>
        <v>!</v>
      </c>
      <c r="E515" s="321">
        <f t="shared" ref="E515" si="526">IF(OR($C$2=1, $C$2=4),P515,IF($C$2=2,P516,IF($C$2=3,P517,IF($C$2=5,P517,"  chyba"))))</f>
        <v>0</v>
      </c>
      <c r="F515" s="322">
        <f t="shared" ref="F515" si="527">IF(OR($C$2=1, $C$2=4),Q515,IF($C$2=2,Q516,IF($C$2=3,Q517,IF($C$2=5,Q517,"  chyba"))))</f>
        <v>182.04149000000001</v>
      </c>
      <c r="G515" s="323"/>
      <c r="H515" s="323"/>
      <c r="I515" s="325">
        <f t="shared" ref="I515" si="528">IF(OR($C$2=1, $C$2=4),T515,IF($C$2=2,T516,IF($C$2=3,T517,IF($C$2=5,T517,"  chyba"))))</f>
        <v>8999239</v>
      </c>
      <c r="J515" s="325">
        <f t="shared" ref="J515" si="529">IF(OR($C$2=1, $C$2=4),U515,IF($C$2=2,U516,IF($C$2=3,U517,IF($C$2=5,U517,"  chyba"))))</f>
        <v>227686</v>
      </c>
      <c r="K515" s="71"/>
      <c r="L515" s="61" t="str">
        <f>Price!A515</f>
        <v>Samostatná příčka,110/218mm, Orion šedá</v>
      </c>
      <c r="M515" s="15" t="str">
        <f>Price!B515</f>
        <v>ZC7Q0P0FS</v>
      </c>
      <c r="N515" s="15" t="str">
        <f>Price!C515</f>
        <v>OG-M</v>
      </c>
      <c r="O515" s="525" t="str">
        <f>Price!D515</f>
        <v>!</v>
      </c>
      <c r="P515" s="16"/>
      <c r="Q515" s="17">
        <f>Price!F515</f>
        <v>182.04149000000001</v>
      </c>
      <c r="R515" s="318"/>
      <c r="S515" s="318"/>
      <c r="T515" s="12">
        <f>Price!G515</f>
        <v>8999239</v>
      </c>
      <c r="U515" s="252">
        <f>Price!H515</f>
        <v>227686</v>
      </c>
      <c r="V515" s="13"/>
      <c r="W515" s="13"/>
      <c r="X515" s="19"/>
      <c r="Y515" s="19"/>
    </row>
    <row r="516" spans="1:25" x14ac:dyDescent="0.35">
      <c r="A516" s="77"/>
      <c r="B516" s="160"/>
      <c r="C516" s="160"/>
      <c r="D516" s="528"/>
      <c r="E516" s="78"/>
      <c r="F516" s="65"/>
      <c r="G516" s="65"/>
      <c r="H516" s="65"/>
      <c r="I516" s="171"/>
      <c r="J516" s="171"/>
      <c r="K516" s="71"/>
      <c r="L516" s="61" t="str">
        <f>Price!A516</f>
        <v>Samostatná příčka,110/218mm, hedvábně bílá</v>
      </c>
      <c r="M516" s="15" t="str">
        <f>Price!B516</f>
        <v>ZC7Q0P0FS</v>
      </c>
      <c r="N516" s="15" t="str">
        <f>Price!C516</f>
        <v>SW-M</v>
      </c>
      <c r="O516" s="525" t="str">
        <f>Price!D516</f>
        <v>!</v>
      </c>
      <c r="P516" s="16"/>
      <c r="Q516" s="17">
        <f>Price!F516</f>
        <v>182.04149000000001</v>
      </c>
      <c r="R516" s="318"/>
      <c r="S516" s="318"/>
      <c r="T516" s="12">
        <f>Price!G516</f>
        <v>9570082</v>
      </c>
      <c r="U516" s="252">
        <f>Price!H516</f>
        <v>227685</v>
      </c>
      <c r="V516" s="13"/>
      <c r="W516" s="13"/>
      <c r="X516" s="19"/>
      <c r="Y516" s="19"/>
    </row>
    <row r="517" spans="1:25" x14ac:dyDescent="0.35">
      <c r="A517" s="77"/>
      <c r="B517" s="160"/>
      <c r="C517" s="160"/>
      <c r="D517" s="528"/>
      <c r="E517" s="78"/>
      <c r="F517" s="65"/>
      <c r="G517" s="65"/>
      <c r="H517" s="65"/>
      <c r="I517" s="171"/>
      <c r="J517" s="171"/>
      <c r="K517" s="71"/>
      <c r="L517" s="61" t="str">
        <f>Price!A517</f>
        <v>Samostatná příčka,110/218mm, Terra černá</v>
      </c>
      <c r="M517" s="15" t="str">
        <f>Price!B517</f>
        <v>ZC7Q0P0FS</v>
      </c>
      <c r="N517" s="15" t="str">
        <f>Price!C517</f>
        <v>TS-M</v>
      </c>
      <c r="O517" s="525" t="str">
        <f>Price!D517</f>
        <v>!</v>
      </c>
      <c r="P517" s="16"/>
      <c r="Q517" s="17">
        <f>Price!F517</f>
        <v>182.04149000000001</v>
      </c>
      <c r="R517" s="318"/>
      <c r="S517" s="318"/>
      <c r="T517" s="12">
        <f>Price!G517</f>
        <v>6429035</v>
      </c>
      <c r="U517" s="252">
        <f>Price!H517</f>
        <v>227687</v>
      </c>
      <c r="V517" s="13"/>
      <c r="W517" s="13"/>
      <c r="X517" s="19"/>
      <c r="Y517" s="19"/>
    </row>
    <row r="518" spans="1:25" x14ac:dyDescent="0.35">
      <c r="A518" s="77"/>
      <c r="B518" s="160"/>
      <c r="C518" s="160"/>
      <c r="D518" s="528"/>
      <c r="E518" s="83"/>
      <c r="F518" s="65"/>
      <c r="G518" s="65"/>
      <c r="H518" s="65"/>
      <c r="I518" s="171"/>
      <c r="J518" s="171"/>
      <c r="K518" s="63"/>
      <c r="L518" s="61">
        <f>Price!A518</f>
        <v>0</v>
      </c>
      <c r="M518" s="15">
        <f>Price!B518</f>
        <v>0</v>
      </c>
      <c r="N518" s="15">
        <f>Price!C518</f>
        <v>0</v>
      </c>
      <c r="O518" s="525">
        <f>Price!D518</f>
        <v>0</v>
      </c>
      <c r="P518" s="16"/>
      <c r="Q518" s="17">
        <f>Price!F518</f>
        <v>0</v>
      </c>
      <c r="R518" s="318"/>
      <c r="S518" s="318"/>
      <c r="T518" s="12">
        <f>Price!G518</f>
        <v>0</v>
      </c>
      <c r="U518" s="252">
        <f>Price!H518</f>
        <v>0</v>
      </c>
      <c r="V518" s="13"/>
      <c r="W518" s="13"/>
      <c r="X518" s="19"/>
      <c r="Y518" s="19"/>
    </row>
    <row r="519" spans="1:25" x14ac:dyDescent="0.35">
      <c r="A519" s="77" t="s">
        <v>1263</v>
      </c>
      <c r="B519" s="160"/>
      <c r="C519" s="160"/>
      <c r="D519" s="528"/>
      <c r="E519" s="83"/>
      <c r="F519" s="65"/>
      <c r="G519" s="65"/>
      <c r="H519" s="65"/>
      <c r="I519" s="171"/>
      <c r="J519" s="171"/>
      <c r="K519" s="69"/>
      <c r="L519" s="61">
        <f>Price!A519</f>
        <v>0</v>
      </c>
      <c r="M519" s="15">
        <f>Price!B519</f>
        <v>0</v>
      </c>
      <c r="N519" s="15">
        <f>Price!C519</f>
        <v>0</v>
      </c>
      <c r="O519" s="525">
        <f>Price!D519</f>
        <v>0</v>
      </c>
      <c r="P519" s="16"/>
      <c r="Q519" s="17">
        <f>Price!F519</f>
        <v>0</v>
      </c>
      <c r="R519" s="318"/>
      <c r="S519" s="318"/>
      <c r="T519" s="12">
        <f>Price!G519</f>
        <v>0</v>
      </c>
      <c r="U519" s="252">
        <f>Price!H519</f>
        <v>0</v>
      </c>
      <c r="V519" s="13"/>
      <c r="W519" s="13"/>
      <c r="X519" s="19"/>
      <c r="Y519" s="19"/>
    </row>
    <row r="520" spans="1:25" ht="15" thickBot="1" x14ac:dyDescent="0.4">
      <c r="A520" s="754" t="str">
        <f>IF($C$2=1, L520, IF($C$2=2, L521, IF(OR($C$2=3, $C$2=5), L522, IF($C$2=4, L523, "  chyba"))))</f>
        <v>Držák příčného relingu pro pure, Orion šedá</v>
      </c>
      <c r="B520" s="754" t="str">
        <f t="shared" ref="B520" si="530">IF($C$2=1, M520, IF($C$2=2, M521, IF(OR($C$2=3, $C$2=5), M522, IF($C$2=4, M523, "  chyba"))))</f>
        <v>ZC7U10E0</v>
      </c>
      <c r="C520" s="754" t="str">
        <f t="shared" ref="C520" si="531">IF($C$2=1, N520, IF($C$2=2, N521, IF(OR($C$2=3, $C$2=5), N522, IF($C$2=4, N523, "  chyba"))))</f>
        <v>OG-M</v>
      </c>
      <c r="D520" s="755">
        <f t="shared" ref="D520" si="532">IF($C$2=1, O520, IF($C$2=2, O521, IF(OR($C$2=3, $C$2=5), O522, IF($C$2=4, O523, "  chyba"))))</f>
        <v>0</v>
      </c>
      <c r="E520" s="754">
        <f t="shared" ref="E520" si="533">IF($C$2=1, P520, IF($C$2=2, P521, IF(OR($C$2=3, $C$2=5), P522, IF($C$2=4, P523, "  chyba"))))</f>
        <v>0</v>
      </c>
      <c r="F520" s="756">
        <f t="shared" ref="F520" si="534">IF($C$2=1, Q520, IF($C$2=2, Q521, IF(OR($C$2=3, $C$2=5), Q522, IF($C$2=4, Q523, "  chyba"))))</f>
        <v>61.823700000000002</v>
      </c>
      <c r="G520" s="754"/>
      <c r="H520" s="754"/>
      <c r="I520" s="755">
        <f t="shared" ref="I520" si="535">IF($C$2=1, T520, IF($C$2=2, T521, IF(OR($C$2=3, $C$2=5), T522, IF($C$2=4, T523, "  chyba"))))</f>
        <v>6678082</v>
      </c>
      <c r="J520" s="755">
        <f t="shared" ref="J520" si="536">IF($C$2=1, U520, IF($C$2=2, U521, IF(OR($C$2=3, $C$2=5), U522, IF($C$2=4, U523, "  chyba"))))</f>
        <v>265028</v>
      </c>
      <c r="K520" s="63"/>
      <c r="L520" s="61" t="str">
        <f>Price!A520</f>
        <v>Držák příčného relingu pro pure, Orion šedá</v>
      </c>
      <c r="M520" s="15" t="str">
        <f>Price!B520</f>
        <v>ZC7U10E0</v>
      </c>
      <c r="N520" s="15" t="str">
        <f>Price!C520</f>
        <v>OG-M</v>
      </c>
      <c r="O520" s="525">
        <f>Price!D520</f>
        <v>0</v>
      </c>
      <c r="P520" s="16"/>
      <c r="Q520" s="17">
        <f>Price!F520</f>
        <v>61.823700000000002</v>
      </c>
      <c r="R520" s="318"/>
      <c r="S520" s="318"/>
      <c r="T520" s="12">
        <f>Price!G520</f>
        <v>6678082</v>
      </c>
      <c r="U520" s="252">
        <f>Price!H520</f>
        <v>265028</v>
      </c>
      <c r="V520" s="13"/>
      <c r="W520" s="13"/>
      <c r="X520" s="19"/>
      <c r="Y520" s="19"/>
    </row>
    <row r="521" spans="1:25" x14ac:dyDescent="0.35">
      <c r="A521" s="77"/>
      <c r="B521" s="160"/>
      <c r="C521" s="160"/>
      <c r="D521" s="528"/>
      <c r="E521" s="83"/>
      <c r="F521" s="65"/>
      <c r="G521" s="65"/>
      <c r="H521" s="65"/>
      <c r="I521" s="171"/>
      <c r="J521" s="171"/>
      <c r="K521" s="63"/>
      <c r="L521" s="61" t="str">
        <f>Price!A521</f>
        <v>Držák příčného relingu pro pure, hedvábně bílá</v>
      </c>
      <c r="M521" s="15" t="str">
        <f>Price!B521</f>
        <v>ZC7U10E0</v>
      </c>
      <c r="N521" s="15" t="str">
        <f>Price!C521</f>
        <v>SW-M</v>
      </c>
      <c r="O521" s="525">
        <f>Price!D521</f>
        <v>0</v>
      </c>
      <c r="P521" s="16"/>
      <c r="Q521" s="17">
        <f>Price!F521</f>
        <v>61.823700000000002</v>
      </c>
      <c r="R521" s="318"/>
      <c r="S521" s="318"/>
      <c r="T521" s="12">
        <f>Price!G521</f>
        <v>9779494</v>
      </c>
      <c r="U521" s="252">
        <f>Price!H521</f>
        <v>265217</v>
      </c>
      <c r="V521" s="13"/>
      <c r="W521" s="13"/>
      <c r="X521" s="19"/>
      <c r="Y521" s="19"/>
    </row>
    <row r="522" spans="1:25" x14ac:dyDescent="0.35">
      <c r="A522" s="77"/>
      <c r="B522" s="160"/>
      <c r="C522" s="160"/>
      <c r="D522" s="528"/>
      <c r="E522" s="83"/>
      <c r="F522" s="65"/>
      <c r="G522" s="65"/>
      <c r="H522" s="65"/>
      <c r="I522" s="171"/>
      <c r="J522" s="171"/>
      <c r="K522" s="63"/>
      <c r="L522" s="61" t="str">
        <f>Price!A522</f>
        <v>Držák příčného relingu pro pure, Terra černá</v>
      </c>
      <c r="M522" s="15" t="str">
        <f>Price!B522</f>
        <v>ZC7U10E0</v>
      </c>
      <c r="N522" s="15" t="str">
        <f>Price!C522</f>
        <v>TS-M</v>
      </c>
      <c r="O522" s="525" t="str">
        <f>Price!D522</f>
        <v>!</v>
      </c>
      <c r="P522" s="16"/>
      <c r="Q522" s="17">
        <f>Price!F522</f>
        <v>61.823700000000002</v>
      </c>
      <c r="R522" s="318"/>
      <c r="S522" s="318"/>
      <c r="T522" s="12">
        <f>Price!G522</f>
        <v>6858779</v>
      </c>
      <c r="U522" s="252">
        <f>Price!H522</f>
        <v>283037</v>
      </c>
      <c r="V522" s="13"/>
      <c r="W522" s="13"/>
      <c r="X522" s="19"/>
      <c r="Y522" s="19"/>
    </row>
    <row r="523" spans="1:25" x14ac:dyDescent="0.35">
      <c r="A523" s="77"/>
      <c r="B523" s="160"/>
      <c r="C523" s="160"/>
      <c r="D523" s="528"/>
      <c r="E523" s="83"/>
      <c r="F523" s="65"/>
      <c r="G523" s="65"/>
      <c r="H523" s="65"/>
      <c r="I523" s="171"/>
      <c r="J523" s="171"/>
      <c r="K523" s="63"/>
      <c r="L523" s="61" t="str">
        <f>Price!A523</f>
        <v>Držák příčného relingu pro pure, Polar stříbrná</v>
      </c>
      <c r="M523" s="15" t="str">
        <f>Price!B523</f>
        <v>ZC7U10E0</v>
      </c>
      <c r="N523" s="15" t="str">
        <f>Price!C523</f>
        <v>PS-M</v>
      </c>
      <c r="O523" s="525" t="str">
        <f>Price!D523</f>
        <v>!</v>
      </c>
      <c r="P523" s="16"/>
      <c r="Q523" s="17">
        <f>Price!F523</f>
        <v>61.82</v>
      </c>
      <c r="R523" s="318"/>
      <c r="S523" s="318"/>
      <c r="T523" s="12">
        <f>Price!G523</f>
        <v>2119890</v>
      </c>
      <c r="U523" s="252">
        <f>Price!H523</f>
        <v>349465</v>
      </c>
      <c r="V523" s="13"/>
      <c r="W523" s="13"/>
      <c r="X523" s="19"/>
      <c r="Y523" s="19"/>
    </row>
    <row r="524" spans="1:25" ht="15" thickBot="1" x14ac:dyDescent="0.4">
      <c r="A524" s="754" t="str">
        <f>IF($C$2=1, L524, IF($C$2=2, L525, IF(OR($C$2=3, $C$2=5), L526, IF($C$2=4, L527, "  chyba"))))</f>
        <v>Držák příčného relingu pro free, Orion šedá</v>
      </c>
      <c r="B524" s="754" t="str">
        <f t="shared" ref="B524" si="537">IF($C$2=1, M524, IF($C$2=2, M525, IF(OR($C$2=3, $C$2=5), M526, IF($C$2=4, M527, "  chyba"))))</f>
        <v>ZC7U11E0</v>
      </c>
      <c r="C524" s="754" t="str">
        <f t="shared" ref="C524" si="538">IF($C$2=1, N524, IF($C$2=2, N525, IF(OR($C$2=3, $C$2=5), N526, IF($C$2=4, N527, "  chyba"))))</f>
        <v>OG-M</v>
      </c>
      <c r="D524" s="755">
        <f t="shared" ref="D524" si="539">IF($C$2=1, O524, IF($C$2=2, O525, IF(OR($C$2=3, $C$2=5), O526, IF($C$2=4, O527, "  chyba"))))</f>
        <v>0</v>
      </c>
      <c r="E524" s="754">
        <f t="shared" ref="E524" si="540">IF($C$2=1, P524, IF($C$2=2, P525, IF(OR($C$2=3, $C$2=5), P526, IF($C$2=4, P527, "  chyba"))))</f>
        <v>0</v>
      </c>
      <c r="F524" s="756">
        <f t="shared" ref="F524" si="541">IF($C$2=1, Q524, IF($C$2=2, Q525, IF(OR($C$2=3, $C$2=5), Q526, IF($C$2=4, Q527, "  chyba"))))</f>
        <v>92.849100000000007</v>
      </c>
      <c r="G524" s="754"/>
      <c r="H524" s="754"/>
      <c r="I524" s="755">
        <f t="shared" ref="I524" si="542">IF($C$2=1, T524, IF($C$2=2, T525, IF(OR($C$2=3, $C$2=5), T526, IF($C$2=4, T527, "  chyba"))))</f>
        <v>1032061</v>
      </c>
      <c r="J524" s="755">
        <f t="shared" ref="J524" si="543">IF($C$2=1, U524, IF($C$2=2, U525, IF(OR($C$2=3, $C$2=5), U526, IF($C$2=4, U527, "  chyba"))))</f>
        <v>279375</v>
      </c>
      <c r="K524" s="63"/>
      <c r="L524" s="61" t="str">
        <f>Price!A524</f>
        <v>Držák příčného relingu pro free, Orion šedá</v>
      </c>
      <c r="M524" s="15" t="str">
        <f>Price!B524</f>
        <v>ZC7U11E0</v>
      </c>
      <c r="N524" s="15" t="str">
        <f>Price!C524</f>
        <v>OG-M</v>
      </c>
      <c r="O524" s="525">
        <f>Price!D524</f>
        <v>0</v>
      </c>
      <c r="P524" s="16"/>
      <c r="Q524" s="17">
        <f>Price!F524</f>
        <v>92.849100000000007</v>
      </c>
      <c r="R524" s="318"/>
      <c r="S524" s="318"/>
      <c r="T524" s="12">
        <f>Price!G524</f>
        <v>1032061</v>
      </c>
      <c r="U524" s="252">
        <f>Price!H524</f>
        <v>279375</v>
      </c>
      <c r="V524" s="13"/>
      <c r="W524" s="13"/>
      <c r="X524" s="19"/>
      <c r="Y524" s="19"/>
    </row>
    <row r="525" spans="1:25" x14ac:dyDescent="0.35">
      <c r="A525" s="77"/>
      <c r="B525" s="160"/>
      <c r="C525" s="160"/>
      <c r="D525" s="528"/>
      <c r="E525" s="83"/>
      <c r="F525" s="65"/>
      <c r="G525" s="65"/>
      <c r="H525" s="65"/>
      <c r="I525" s="171"/>
      <c r="J525" s="171"/>
      <c r="K525" s="63"/>
      <c r="L525" s="61" t="str">
        <f>Price!A525</f>
        <v>Držák příčného relingu pro free, hedvábně bílá</v>
      </c>
      <c r="M525" s="15" t="str">
        <f>Price!B525</f>
        <v>ZC7U11E0</v>
      </c>
      <c r="N525" s="15" t="str">
        <f>Price!C525</f>
        <v>SW-M</v>
      </c>
      <c r="O525" s="525">
        <f>Price!D525</f>
        <v>0</v>
      </c>
      <c r="P525" s="16"/>
      <c r="Q525" s="17">
        <f>Price!F525</f>
        <v>92.849100000000007</v>
      </c>
      <c r="R525" s="318"/>
      <c r="S525" s="318"/>
      <c r="T525" s="12">
        <f>Price!G525</f>
        <v>3748865</v>
      </c>
      <c r="U525" s="252">
        <f>Price!H525</f>
        <v>279376</v>
      </c>
      <c r="V525" s="13"/>
      <c r="W525" s="13"/>
      <c r="X525" s="19"/>
      <c r="Y525" s="19"/>
    </row>
    <row r="526" spans="1:25" x14ac:dyDescent="0.35">
      <c r="A526" s="77"/>
      <c r="B526" s="160"/>
      <c r="C526" s="160"/>
      <c r="D526" s="528"/>
      <c r="E526" s="83"/>
      <c r="F526" s="65"/>
      <c r="G526" s="65"/>
      <c r="H526" s="65"/>
      <c r="I526" s="171"/>
      <c r="J526" s="171"/>
      <c r="K526" s="63"/>
      <c r="L526" s="61" t="str">
        <f>Price!A526</f>
        <v>Držák příčného relingu pro free, Terra černá</v>
      </c>
      <c r="M526" s="15" t="str">
        <f>Price!B526</f>
        <v>ZC7U11E0</v>
      </c>
      <c r="N526" s="15" t="str">
        <f>Price!C526</f>
        <v>TS-M</v>
      </c>
      <c r="O526" s="525" t="str">
        <f>Price!D526</f>
        <v>!</v>
      </c>
      <c r="P526" s="16"/>
      <c r="Q526" s="17">
        <f>Price!F526</f>
        <v>92.849100000000007</v>
      </c>
      <c r="R526" s="318"/>
      <c r="S526" s="318"/>
      <c r="T526" s="12">
        <f>Price!G526</f>
        <v>2006173</v>
      </c>
      <c r="U526" s="252">
        <f>Price!H526</f>
        <v>283038</v>
      </c>
      <c r="V526" s="13"/>
      <c r="W526" s="13"/>
      <c r="X526" s="19"/>
      <c r="Y526" s="19"/>
    </row>
    <row r="527" spans="1:25" x14ac:dyDescent="0.35">
      <c r="A527" s="77"/>
      <c r="B527" s="160"/>
      <c r="C527" s="160"/>
      <c r="D527" s="528"/>
      <c r="E527" s="83"/>
      <c r="F527" s="65"/>
      <c r="G527" s="65"/>
      <c r="H527" s="65"/>
      <c r="I527" s="171"/>
      <c r="J527" s="171"/>
      <c r="K527" s="63"/>
      <c r="L527" s="61" t="str">
        <f>Price!A527</f>
        <v>Držák příčného relingu pro free, Polar stříbrná</v>
      </c>
      <c r="M527" s="15" t="str">
        <f>Price!B527</f>
        <v>ZC7U11E0</v>
      </c>
      <c r="N527" s="15" t="str">
        <f>Price!C527</f>
        <v>PS-M</v>
      </c>
      <c r="O527" s="525" t="str">
        <f>Price!D527</f>
        <v>!</v>
      </c>
      <c r="P527" s="16"/>
      <c r="Q527" s="17">
        <f>Price!F527</f>
        <v>92.85</v>
      </c>
      <c r="R527" s="318"/>
      <c r="S527" s="318"/>
      <c r="T527" s="12">
        <f>Price!G527</f>
        <v>5664111</v>
      </c>
      <c r="U527" s="252">
        <f>Price!H527</f>
        <v>349466</v>
      </c>
      <c r="V527" s="13"/>
      <c r="W527" s="13"/>
      <c r="X527" s="19"/>
      <c r="Y527" s="19"/>
    </row>
    <row r="528" spans="1:25" ht="15" thickBot="1" x14ac:dyDescent="0.4">
      <c r="A528" s="754" t="str">
        <f>IF($C$2=1, L528, IF($C$2=2, L529, IF(OR($C$2=3, $C$2=5), L530, IF($C$2=4, L531, "  chyba"))))</f>
        <v>Podélné dělení pro reling, Orion šedá</v>
      </c>
      <c r="B528" s="754" t="str">
        <f t="shared" ref="B528" si="544">IF($C$2=1, M528, IF($C$2=2, M529, IF(OR($C$2=3, $C$2=5), M530, IF($C$2=4, M531, "  chyba"))))</f>
        <v>ZC7U10F0</v>
      </c>
      <c r="C528" s="754" t="str">
        <f t="shared" ref="C528" si="545">IF($C$2=1, N528, IF($C$2=2, N529, IF(OR($C$2=3, $C$2=5), N530, IF($C$2=4, N531, "  chyba"))))</f>
        <v>OG-M</v>
      </c>
      <c r="D528" s="755">
        <f t="shared" ref="D528" si="546">IF($C$2=1, O528, IF($C$2=2, O529, IF(OR($C$2=3, $C$2=5), O530, IF($C$2=4, O531, "  chyba"))))</f>
        <v>0</v>
      </c>
      <c r="E528" s="754">
        <f t="shared" ref="E528" si="547">IF($C$2=1, P528, IF($C$2=2, P529, IF(OR($C$2=3, $C$2=5), P530, IF($C$2=4, P531, "  chyba"))))</f>
        <v>0</v>
      </c>
      <c r="F528" s="756">
        <f t="shared" ref="F528" si="548">IF($C$2=1, Q528, IF($C$2=2, Q529, IF(OR($C$2=3, $C$2=5), Q530, IF($C$2=4, Q531, "  chyba"))))</f>
        <v>27.476870000000002</v>
      </c>
      <c r="G528" s="754"/>
      <c r="H528" s="754"/>
      <c r="I528" s="755">
        <f t="shared" ref="I528" si="549">IF($C$2=1, T528, IF($C$2=2, T529, IF(OR($C$2=3, $C$2=5), T530, IF($C$2=4, T531, "  chyba"))))</f>
        <v>6297748</v>
      </c>
      <c r="J528" s="755">
        <f t="shared" ref="J528" si="550">IF($C$2=1, U528, IF($C$2=2, U529, IF(OR($C$2=3, $C$2=5), U530, IF($C$2=4, U531, "  chyba"))))</f>
        <v>267756</v>
      </c>
      <c r="K528" s="63"/>
      <c r="L528" s="61" t="str">
        <f>Price!A528</f>
        <v>Podélné dělení pro reling, Orion šedá</v>
      </c>
      <c r="M528" s="15" t="str">
        <f>Price!B528</f>
        <v>ZC7U10F0</v>
      </c>
      <c r="N528" s="15" t="str">
        <f>Price!C528</f>
        <v>OG-M</v>
      </c>
      <c r="O528" s="525">
        <f>Price!D528</f>
        <v>0</v>
      </c>
      <c r="P528" s="16"/>
      <c r="Q528" s="17">
        <f>Price!F528</f>
        <v>27.476870000000002</v>
      </c>
      <c r="R528" s="318"/>
      <c r="S528" s="318"/>
      <c r="T528" s="12">
        <f>Price!G528</f>
        <v>6297748</v>
      </c>
      <c r="U528" s="252">
        <f>Price!H528</f>
        <v>267756</v>
      </c>
      <c r="V528" s="13"/>
      <c r="W528" s="13"/>
      <c r="X528" s="19"/>
      <c r="Y528" s="19"/>
    </row>
    <row r="529" spans="1:25" x14ac:dyDescent="0.35">
      <c r="A529" s="77"/>
      <c r="B529" s="160"/>
      <c r="C529" s="160"/>
      <c r="D529" s="528"/>
      <c r="E529" s="83"/>
      <c r="F529" s="65"/>
      <c r="G529" s="65"/>
      <c r="H529" s="65"/>
      <c r="I529" s="171"/>
      <c r="J529" s="171"/>
      <c r="K529" s="63"/>
      <c r="L529" s="61" t="str">
        <f>Price!A529</f>
        <v>Podélné dělení pro reling, hedvábně bílá</v>
      </c>
      <c r="M529" s="15" t="str">
        <f>Price!B529</f>
        <v>ZC7U10F0</v>
      </c>
      <c r="N529" s="15" t="str">
        <f>Price!C529</f>
        <v>SW-M</v>
      </c>
      <c r="O529" s="525">
        <f>Price!D529</f>
        <v>0</v>
      </c>
      <c r="P529" s="16"/>
      <c r="Q529" s="17">
        <f>Price!F529</f>
        <v>27.476870000000002</v>
      </c>
      <c r="R529" s="318"/>
      <c r="S529" s="318"/>
      <c r="T529" s="12">
        <f>Price!G529</f>
        <v>4189322</v>
      </c>
      <c r="U529" s="252">
        <f>Price!H529</f>
        <v>275351</v>
      </c>
      <c r="V529" s="13"/>
      <c r="W529" s="13"/>
      <c r="X529" s="19"/>
      <c r="Y529" s="19"/>
    </row>
    <row r="530" spans="1:25" x14ac:dyDescent="0.35">
      <c r="A530" s="77"/>
      <c r="B530" s="160"/>
      <c r="C530" s="160"/>
      <c r="D530" s="528"/>
      <c r="E530" s="83"/>
      <c r="F530" s="65"/>
      <c r="G530" s="65"/>
      <c r="H530" s="65"/>
      <c r="I530" s="171"/>
      <c r="J530" s="171"/>
      <c r="K530" s="63"/>
      <c r="L530" s="61" t="str">
        <f>Price!A530</f>
        <v>Podélné dělení pro reling, Terra černá</v>
      </c>
      <c r="M530" s="15" t="str">
        <f>Price!B530</f>
        <v>ZC7U10F0</v>
      </c>
      <c r="N530" s="15" t="str">
        <f>Price!C530</f>
        <v>TS-M</v>
      </c>
      <c r="O530" s="525" t="str">
        <f>Price!D530</f>
        <v>!</v>
      </c>
      <c r="P530" s="16"/>
      <c r="Q530" s="17">
        <f>Price!F530</f>
        <v>27.476870000000002</v>
      </c>
      <c r="R530" s="318"/>
      <c r="S530" s="318"/>
      <c r="T530" s="12">
        <f>Price!G530</f>
        <v>4873606</v>
      </c>
      <c r="U530" s="252">
        <f>Price!H530</f>
        <v>283039</v>
      </c>
      <c r="V530" s="13"/>
      <c r="W530" s="13"/>
      <c r="X530" s="19"/>
      <c r="Y530" s="19"/>
    </row>
    <row r="531" spans="1:25" x14ac:dyDescent="0.35">
      <c r="A531" s="77"/>
      <c r="B531" s="160"/>
      <c r="C531" s="160"/>
      <c r="D531" s="528"/>
      <c r="E531" s="83"/>
      <c r="F531" s="65"/>
      <c r="G531" s="65"/>
      <c r="H531" s="65"/>
      <c r="I531" s="171"/>
      <c r="J531" s="171"/>
      <c r="K531" s="63"/>
      <c r="L531" s="61" t="str">
        <f>Price!A531</f>
        <v>Podélné dělení pro reling, Polar stříbrná</v>
      </c>
      <c r="M531" s="15" t="str">
        <f>Price!B531</f>
        <v>ZC7U10F0</v>
      </c>
      <c r="N531" s="15" t="str">
        <f>Price!C531</f>
        <v>PS-M</v>
      </c>
      <c r="O531" s="525" t="str">
        <f>Price!D531</f>
        <v>!</v>
      </c>
      <c r="P531" s="16"/>
      <c r="Q531" s="17">
        <f>Price!F531</f>
        <v>27.48</v>
      </c>
      <c r="R531" s="318"/>
      <c r="S531" s="318"/>
      <c r="T531" s="12">
        <f>Price!G531</f>
        <v>9703260</v>
      </c>
      <c r="U531" s="252">
        <f>Price!H531</f>
        <v>349464</v>
      </c>
      <c r="V531" s="13"/>
      <c r="W531" s="13"/>
      <c r="X531" s="19"/>
      <c r="Y531" s="19"/>
    </row>
    <row r="532" spans="1:25" x14ac:dyDescent="0.35">
      <c r="A532" s="77"/>
      <c r="B532" s="160"/>
      <c r="C532" s="160"/>
      <c r="D532" s="528"/>
      <c r="E532" s="78"/>
      <c r="F532" s="65"/>
      <c r="G532" s="65"/>
      <c r="H532" s="65"/>
      <c r="I532" s="171"/>
      <c r="J532" s="171"/>
      <c r="K532" s="63"/>
      <c r="L532" s="61">
        <f>Price!A532</f>
        <v>0</v>
      </c>
      <c r="M532" s="15">
        <f>Price!B532</f>
        <v>0</v>
      </c>
      <c r="N532" s="15">
        <f>Price!C532</f>
        <v>0</v>
      </c>
      <c r="O532" s="525">
        <f>Price!D532</f>
        <v>0</v>
      </c>
      <c r="P532" s="16"/>
      <c r="Q532" s="17">
        <f>Price!F532</f>
        <v>0</v>
      </c>
      <c r="R532" s="318"/>
      <c r="S532" s="318"/>
      <c r="T532" s="12">
        <f>Price!G532</f>
        <v>0</v>
      </c>
      <c r="U532" s="252">
        <f>Price!H532</f>
        <v>0</v>
      </c>
      <c r="V532" s="13"/>
      <c r="W532" s="13"/>
      <c r="X532" s="19"/>
      <c r="Y532" s="19"/>
    </row>
    <row r="533" spans="1:25" x14ac:dyDescent="0.35">
      <c r="A533" s="77"/>
      <c r="B533" s="160"/>
      <c r="C533" s="160"/>
      <c r="D533" s="528"/>
      <c r="E533" s="83"/>
      <c r="F533" s="65"/>
      <c r="G533" s="65"/>
      <c r="H533" s="65"/>
      <c r="I533" s="171"/>
      <c r="J533" s="171"/>
      <c r="K533" s="63"/>
      <c r="L533" s="61" t="str">
        <f>Price!A533</f>
        <v xml:space="preserve">   AMBIA-LINE pro zásuvky, dřevěný design</v>
      </c>
      <c r="M533" s="15">
        <f>Price!B533</f>
        <v>0</v>
      </c>
      <c r="N533" s="15">
        <f>Price!C533</f>
        <v>0</v>
      </c>
      <c r="O533" s="525">
        <f>Price!D533</f>
        <v>0</v>
      </c>
      <c r="P533" s="16"/>
      <c r="Q533" s="17">
        <f>Price!F533</f>
        <v>0</v>
      </c>
      <c r="R533" s="318"/>
      <c r="S533" s="318"/>
      <c r="T533" s="12">
        <f>Price!G533</f>
        <v>0</v>
      </c>
      <c r="U533" s="252">
        <f>Price!H533</f>
        <v>0</v>
      </c>
      <c r="V533" s="13"/>
      <c r="W533" s="13"/>
      <c r="X533" s="19"/>
      <c r="Y533" s="19"/>
    </row>
    <row r="534" spans="1:25" ht="15" thickBot="1" x14ac:dyDescent="0.4">
      <c r="A534" s="320" t="str">
        <f>IF(OR($C$2=1, $C$2=4),L534,IF($C$2=2,L535,IF($C$2=3,L536,IF($C$2=5,L536,"  chyba"))))</f>
        <v>Příborník, 450mm, Nebraska dub/OG-M</v>
      </c>
      <c r="B534" s="324" t="str">
        <f t="shared" ref="B534" si="551">IF(OR($C$2=1, $C$2=4),M534,IF($C$2=2,M535,IF($C$2=3,M536,IF($C$2=5,M536,"  chyba"))))</f>
        <v>ZC7S450BH3</v>
      </c>
      <c r="C534" s="324" t="str">
        <f t="shared" ref="C534" si="552">IF(OR($C$2=1, $C$2=4),N534,IF($C$2=2,N535,IF($C$2=3,N536,IF($C$2=5,N536,"  chyba"))))</f>
        <v>E02G</v>
      </c>
      <c r="D534" s="324">
        <f t="shared" ref="D534" si="553">IF(OR($C$2=1, $C$2=4),O534,IF($C$2=2,O535,IF($C$2=3,O536,IF($C$2=5,O536,"  chyba"))))</f>
        <v>0</v>
      </c>
      <c r="E534" s="321">
        <f t="shared" ref="E534" si="554">IF(OR($C$2=1, $C$2=4),P534,IF($C$2=2,P535,IF($C$2=3,P536,IF($C$2=5,P536,"  chyba"))))</f>
        <v>0</v>
      </c>
      <c r="F534" s="322">
        <f t="shared" ref="F534" si="555">IF(OR($C$2=1, $C$2=4),Q534,IF($C$2=2,Q535,IF($C$2=3,Q536,IF($C$2=5,Q536,"  chyba"))))</f>
        <v>1549.76018</v>
      </c>
      <c r="G534" s="323"/>
      <c r="H534" s="323"/>
      <c r="I534" s="325">
        <f t="shared" ref="I534" si="556">IF(OR($C$2=1, $C$2=4),T534,IF($C$2=2,T535,IF($C$2=3,T536,IF($C$2=5,T536,"  chyba"))))</f>
        <v>7178662</v>
      </c>
      <c r="J534" s="325">
        <f t="shared" ref="J534" si="557">IF(OR($C$2=1, $C$2=4),U534,IF($C$2=2,U535,IF($C$2=3,U536,IF($C$2=5,U536,"  chyba"))))</f>
        <v>227696</v>
      </c>
      <c r="K534" s="63"/>
      <c r="L534" s="61" t="str">
        <f>Price!A534</f>
        <v>Příborník, 450mm, Nebraska dub/OG-M</v>
      </c>
      <c r="M534" s="15" t="str">
        <f>Price!B534</f>
        <v>ZC7S450BH3</v>
      </c>
      <c r="N534" s="15" t="str">
        <f>Price!C534</f>
        <v>E02G</v>
      </c>
      <c r="O534" s="525">
        <f>Price!D534</f>
        <v>0</v>
      </c>
      <c r="P534" s="16"/>
      <c r="Q534" s="17">
        <f>Price!F534</f>
        <v>1549.76018</v>
      </c>
      <c r="R534" s="318"/>
      <c r="S534" s="318"/>
      <c r="T534" s="12">
        <f>Price!G534</f>
        <v>7178662</v>
      </c>
      <c r="U534" s="252">
        <f>Price!H534</f>
        <v>227696</v>
      </c>
      <c r="V534" s="13"/>
      <c r="W534" s="13"/>
      <c r="X534" s="19"/>
      <c r="Y534" s="19"/>
    </row>
    <row r="535" spans="1:25" x14ac:dyDescent="0.35">
      <c r="A535" s="77"/>
      <c r="B535" s="160"/>
      <c r="C535" s="160"/>
      <c r="D535" s="528"/>
      <c r="E535" s="83"/>
      <c r="F535" s="65"/>
      <c r="G535" s="65"/>
      <c r="H535" s="65"/>
      <c r="I535" s="171"/>
      <c r="J535" s="171"/>
      <c r="K535" s="63"/>
      <c r="L535" s="61" t="str">
        <f>Price!A535</f>
        <v>Příborník, 450mm, Bardolino dub/SW-M</v>
      </c>
      <c r="M535" s="15" t="str">
        <f>Price!B535</f>
        <v>ZC7S450BH3</v>
      </c>
      <c r="N535" s="15" t="str">
        <f>Price!C535</f>
        <v>E01S</v>
      </c>
      <c r="O535" s="525">
        <f>Price!D535</f>
        <v>0</v>
      </c>
      <c r="P535" s="16"/>
      <c r="Q535" s="17">
        <f>Price!F535</f>
        <v>1549.76018</v>
      </c>
      <c r="R535" s="318"/>
      <c r="S535" s="318"/>
      <c r="T535" s="12">
        <f>Price!G535</f>
        <v>5667052</v>
      </c>
      <c r="U535" s="252">
        <f>Price!H535</f>
        <v>227698</v>
      </c>
      <c r="V535" s="13"/>
      <c r="W535" s="13"/>
      <c r="X535" s="19"/>
      <c r="Y535" s="19"/>
    </row>
    <row r="536" spans="1:25" x14ac:dyDescent="0.35">
      <c r="A536" s="77"/>
      <c r="B536" s="160"/>
      <c r="C536" s="160"/>
      <c r="D536" s="528"/>
      <c r="E536" s="78"/>
      <c r="F536" s="65"/>
      <c r="G536" s="65"/>
      <c r="H536" s="65"/>
      <c r="I536" s="171"/>
      <c r="J536" s="171"/>
      <c r="K536" s="63"/>
      <c r="L536" s="61" t="str">
        <f>Price!A536</f>
        <v>Příborník, 450mm, Tennessee ořech/TS-M</v>
      </c>
      <c r="M536" s="15" t="str">
        <f>Price!B536</f>
        <v>ZC7S450BH3</v>
      </c>
      <c r="N536" s="15" t="str">
        <f>Price!C536</f>
        <v>N01T</v>
      </c>
      <c r="O536" s="525">
        <f>Price!D536</f>
        <v>0</v>
      </c>
      <c r="P536" s="16"/>
      <c r="Q536" s="17">
        <f>Price!F536</f>
        <v>1549.76018</v>
      </c>
      <c r="R536" s="318"/>
      <c r="S536" s="318"/>
      <c r="T536" s="12">
        <f>Price!G536</f>
        <v>9842710</v>
      </c>
      <c r="U536" s="252">
        <f>Price!H536</f>
        <v>227697</v>
      </c>
      <c r="V536" s="13"/>
      <c r="W536" s="13"/>
      <c r="X536" s="19"/>
      <c r="Y536" s="19"/>
    </row>
    <row r="537" spans="1:25" ht="15" thickBot="1" x14ac:dyDescent="0.4">
      <c r="A537" s="320" t="str">
        <f>IF(OR($C$2=1, $C$2=4),L537,IF($C$2=2,L538,IF($C$2=3,L539,IF($C$2=5,L539,"  chyba"))))</f>
        <v>Příborník, 500mm, Nebraska dub/OG-M</v>
      </c>
      <c r="B537" s="324" t="str">
        <f t="shared" ref="B537" si="558">IF(OR($C$2=1, $C$2=4),M537,IF($C$2=2,M538,IF($C$2=3,M539,IF($C$2=5,M539,"  chyba"))))</f>
        <v>ZC7S500BH3</v>
      </c>
      <c r="C537" s="324" t="str">
        <f t="shared" ref="C537" si="559">IF(OR($C$2=1, $C$2=4),N537,IF($C$2=2,N538,IF($C$2=3,N539,IF($C$2=5,N539,"  chyba"))))</f>
        <v>E02G</v>
      </c>
      <c r="D537" s="324">
        <f t="shared" ref="D537" si="560">IF(OR($C$2=1, $C$2=4),O537,IF($C$2=2,O538,IF($C$2=3,O539,IF($C$2=5,O539,"  chyba"))))</f>
        <v>0</v>
      </c>
      <c r="E537" s="321">
        <f t="shared" ref="E537" si="561">IF(OR($C$2=1, $C$2=4),P537,IF($C$2=2,P538,IF($C$2=3,P539,IF($C$2=5,P539,"  chyba"))))</f>
        <v>0</v>
      </c>
      <c r="F537" s="322">
        <f t="shared" ref="F537" si="562">IF(OR($C$2=1, $C$2=4),Q537,IF($C$2=2,Q538,IF($C$2=3,Q539,IF($C$2=5,Q539,"  chyba"))))</f>
        <v>1579.9852900000001</v>
      </c>
      <c r="G537" s="323"/>
      <c r="H537" s="323"/>
      <c r="I537" s="325">
        <f t="shared" ref="I537" si="563">IF(OR($C$2=1, $C$2=4),T537,IF($C$2=2,T538,IF($C$2=3,T539,IF($C$2=5,T539,"  chyba"))))</f>
        <v>1520200</v>
      </c>
      <c r="J537" s="325">
        <f t="shared" ref="J537" si="564">IF(OR($C$2=1, $C$2=4),U537,IF($C$2=2,U538,IF($C$2=3,U539,IF($C$2=5,U539,"  chyba"))))</f>
        <v>227699</v>
      </c>
      <c r="K537" s="63"/>
      <c r="L537" s="61" t="str">
        <f>Price!A537</f>
        <v>Příborník, 500mm, Nebraska dub/OG-M</v>
      </c>
      <c r="M537" s="15" t="str">
        <f>Price!B537</f>
        <v>ZC7S500BH3</v>
      </c>
      <c r="N537" s="15" t="str">
        <f>Price!C537</f>
        <v>E02G</v>
      </c>
      <c r="O537" s="525">
        <f>Price!D537</f>
        <v>0</v>
      </c>
      <c r="P537" s="16"/>
      <c r="Q537" s="17">
        <f>Price!F537</f>
        <v>1579.9852900000001</v>
      </c>
      <c r="R537" s="318"/>
      <c r="S537" s="318"/>
      <c r="T537" s="12">
        <f>Price!G537</f>
        <v>1520200</v>
      </c>
      <c r="U537" s="252">
        <f>Price!H537</f>
        <v>227699</v>
      </c>
      <c r="V537" s="13"/>
      <c r="W537" s="13"/>
      <c r="X537" s="19"/>
      <c r="Y537" s="19"/>
    </row>
    <row r="538" spans="1:25" x14ac:dyDescent="0.35">
      <c r="A538" s="77"/>
      <c r="B538" s="160"/>
      <c r="C538" s="160"/>
      <c r="D538" s="528"/>
      <c r="E538" s="78"/>
      <c r="F538" s="65"/>
      <c r="G538" s="65"/>
      <c r="H538" s="65"/>
      <c r="I538" s="171"/>
      <c r="J538" s="171"/>
      <c r="K538" s="63"/>
      <c r="L538" s="61" t="str">
        <f>Price!A538</f>
        <v>Příborník, 500mm, Bardolino dub/SW-M</v>
      </c>
      <c r="M538" s="15" t="str">
        <f>Price!B538</f>
        <v>ZC7S500BH3</v>
      </c>
      <c r="N538" s="15" t="str">
        <f>Price!C538</f>
        <v>E01S</v>
      </c>
      <c r="O538" s="525">
        <f>Price!D538</f>
        <v>0</v>
      </c>
      <c r="P538" s="16"/>
      <c r="Q538" s="17">
        <f>Price!F538</f>
        <v>1579.9852900000001</v>
      </c>
      <c r="R538" s="318"/>
      <c r="S538" s="318"/>
      <c r="T538" s="12">
        <f>Price!G538</f>
        <v>6608218</v>
      </c>
      <c r="U538" s="252">
        <f>Price!H538</f>
        <v>227701</v>
      </c>
      <c r="V538" s="13"/>
      <c r="W538" s="13"/>
      <c r="X538" s="19"/>
      <c r="Y538" s="19"/>
    </row>
    <row r="539" spans="1:25" x14ac:dyDescent="0.35">
      <c r="A539" s="77"/>
      <c r="B539" s="160"/>
      <c r="C539" s="160"/>
      <c r="D539" s="528"/>
      <c r="E539" s="78"/>
      <c r="F539" s="65"/>
      <c r="G539" s="65"/>
      <c r="H539" s="65"/>
      <c r="I539" s="171"/>
      <c r="J539" s="171"/>
      <c r="K539" s="63"/>
      <c r="L539" s="61" t="str">
        <f>Price!A539</f>
        <v>Příborník, 500mm, Tennessee ořech/TS-M</v>
      </c>
      <c r="M539" s="15" t="str">
        <f>Price!B539</f>
        <v>ZC7S500BH3</v>
      </c>
      <c r="N539" s="15" t="str">
        <f>Price!C539</f>
        <v>N01T</v>
      </c>
      <c r="O539" s="525">
        <f>Price!D539</f>
        <v>0</v>
      </c>
      <c r="P539" s="16"/>
      <c r="Q539" s="17">
        <f>Price!F539</f>
        <v>1579.9852900000001</v>
      </c>
      <c r="R539" s="318"/>
      <c r="S539" s="318"/>
      <c r="T539" s="12">
        <f>Price!G539</f>
        <v>2709332</v>
      </c>
      <c r="U539" s="252">
        <f>Price!H539</f>
        <v>227700</v>
      </c>
      <c r="V539" s="13"/>
      <c r="W539" s="13"/>
      <c r="X539" s="19"/>
      <c r="Y539" s="19"/>
    </row>
    <row r="540" spans="1:25" ht="15" thickBot="1" x14ac:dyDescent="0.4">
      <c r="A540" s="320" t="str">
        <f>IF(OR($C$2=1, $C$2=4),L540,IF($C$2=2,L541,IF($C$2=3,L542,IF($C$2=5,L542,"  chyba"))))</f>
        <v>Příborník, 550mm, Nebraska dub/OG-M</v>
      </c>
      <c r="B540" s="324" t="str">
        <f t="shared" ref="B540" si="565">IF(OR($C$2=1, $C$2=4),M540,IF($C$2=2,M541,IF($C$2=3,M542,IF($C$2=5,M542,"  chyba"))))</f>
        <v>ZC7S550BH3</v>
      </c>
      <c r="C540" s="324" t="str">
        <f t="shared" ref="C540" si="566">IF(OR($C$2=1, $C$2=4),N540,IF($C$2=2,N541,IF($C$2=3,N542,IF($C$2=5,N542,"  chyba"))))</f>
        <v>E02G</v>
      </c>
      <c r="D540" s="324">
        <f t="shared" ref="D540" si="567">IF(OR($C$2=1, $C$2=4),O540,IF($C$2=2,O541,IF($C$2=3,O542,IF($C$2=5,O542,"  chyba"))))</f>
        <v>0</v>
      </c>
      <c r="E540" s="321">
        <f t="shared" ref="E540" si="568">IF(OR($C$2=1, $C$2=4),P540,IF($C$2=2,P541,IF($C$2=3,P542,IF($C$2=5,P542,"  chyba"))))</f>
        <v>0</v>
      </c>
      <c r="F540" s="322">
        <f t="shared" ref="F540" si="569">IF(OR($C$2=1, $C$2=4),Q540,IF($C$2=2,Q541,IF($C$2=3,Q542,IF($C$2=5,Q542,"  chyba"))))</f>
        <v>1623.26415</v>
      </c>
      <c r="G540" s="323"/>
      <c r="H540" s="323"/>
      <c r="I540" s="325">
        <f t="shared" ref="I540" si="570">IF(OR($C$2=1, $C$2=4),T540,IF($C$2=2,T541,IF($C$2=3,T542,IF($C$2=5,T542,"  chyba"))))</f>
        <v>4575860</v>
      </c>
      <c r="J540" s="325">
        <f t="shared" ref="J540" si="571">IF(OR($C$2=1, $C$2=4),U540,IF($C$2=2,U541,IF($C$2=3,U542,IF($C$2=5,U542,"  chyba"))))</f>
        <v>227703</v>
      </c>
      <c r="K540" s="63"/>
      <c r="L540" s="61" t="str">
        <f>Price!A540</f>
        <v>Příborník, 550mm, Nebraska dub/OG-M</v>
      </c>
      <c r="M540" s="15" t="str">
        <f>Price!B540</f>
        <v>ZC7S550BH3</v>
      </c>
      <c r="N540" s="15" t="str">
        <f>Price!C540</f>
        <v>E02G</v>
      </c>
      <c r="O540" s="525">
        <f>Price!D540</f>
        <v>0</v>
      </c>
      <c r="P540" s="16"/>
      <c r="Q540" s="17">
        <f>Price!F540</f>
        <v>1623.26415</v>
      </c>
      <c r="R540" s="318"/>
      <c r="S540" s="318"/>
      <c r="T540" s="12">
        <f>Price!G540</f>
        <v>4575860</v>
      </c>
      <c r="U540" s="252">
        <f>Price!H540</f>
        <v>227703</v>
      </c>
      <c r="V540" s="13"/>
      <c r="W540" s="13"/>
      <c r="X540" s="19"/>
      <c r="Y540" s="19"/>
    </row>
    <row r="541" spans="1:25" x14ac:dyDescent="0.35">
      <c r="A541" s="77"/>
      <c r="B541" s="160"/>
      <c r="C541" s="160"/>
      <c r="D541" s="528"/>
      <c r="E541" s="78"/>
      <c r="F541" s="65"/>
      <c r="G541" s="65"/>
      <c r="H541" s="65"/>
      <c r="I541" s="171"/>
      <c r="J541" s="171"/>
      <c r="K541" s="63"/>
      <c r="L541" s="61" t="str">
        <f>Price!A541</f>
        <v>Příborník, 550mm, Bardolino dub/SW-M</v>
      </c>
      <c r="M541" s="15" t="str">
        <f>Price!B541</f>
        <v>ZC7S550BH3</v>
      </c>
      <c r="N541" s="15" t="str">
        <f>Price!C541</f>
        <v>E01S</v>
      </c>
      <c r="O541" s="525">
        <f>Price!D541</f>
        <v>0</v>
      </c>
      <c r="P541" s="16"/>
      <c r="Q541" s="17">
        <f>Price!F541</f>
        <v>1623.26415</v>
      </c>
      <c r="R541" s="318"/>
      <c r="S541" s="318"/>
      <c r="T541" s="12">
        <f>Price!G541</f>
        <v>8043261</v>
      </c>
      <c r="U541" s="252">
        <f>Price!H541</f>
        <v>227705</v>
      </c>
      <c r="V541" s="13"/>
      <c r="W541" s="13"/>
      <c r="X541" s="19"/>
      <c r="Y541" s="19"/>
    </row>
    <row r="542" spans="1:25" x14ac:dyDescent="0.35">
      <c r="A542" s="77"/>
      <c r="B542" s="160"/>
      <c r="C542" s="160"/>
      <c r="D542" s="528"/>
      <c r="E542" s="83"/>
      <c r="F542" s="65"/>
      <c r="G542" s="65"/>
      <c r="H542" s="65"/>
      <c r="I542" s="65"/>
      <c r="J542" s="65"/>
      <c r="K542" s="63"/>
      <c r="L542" s="61" t="str">
        <f>Price!A542</f>
        <v>Příborník, 550mm, Tennessee ořech/TS-M</v>
      </c>
      <c r="M542" s="15" t="str">
        <f>Price!B542</f>
        <v>ZC7S550BH3</v>
      </c>
      <c r="N542" s="15" t="str">
        <f>Price!C542</f>
        <v>N01T</v>
      </c>
      <c r="O542" s="525">
        <f>Price!D542</f>
        <v>0</v>
      </c>
      <c r="P542" s="16"/>
      <c r="Q542" s="17">
        <f>Price!F542</f>
        <v>1623.26415</v>
      </c>
      <c r="R542" s="318"/>
      <c r="S542" s="318"/>
      <c r="T542" s="12">
        <f>Price!G542</f>
        <v>1860296</v>
      </c>
      <c r="U542" s="252">
        <f>Price!H542</f>
        <v>227704</v>
      </c>
      <c r="V542" s="13"/>
      <c r="W542" s="13"/>
      <c r="X542" s="19"/>
      <c r="Y542" s="19"/>
    </row>
    <row r="543" spans="1:25" ht="15" thickBot="1" x14ac:dyDescent="0.4">
      <c r="A543" s="320" t="str">
        <f>IF(OR($C$2=1, $C$2=4),L543,IF($C$2=2,L544,IF($C$2=3,L545,IF($C$2=5,L545,"  chyba"))))</f>
        <v>Příborník, 600mm, Nebraska dub/OG-M</v>
      </c>
      <c r="B543" s="324" t="str">
        <f t="shared" ref="B543" si="572">IF(OR($C$2=1, $C$2=4),M543,IF($C$2=2,M544,IF($C$2=3,M545,IF($C$2=5,M545,"  chyba"))))</f>
        <v>ZC7S600BH3</v>
      </c>
      <c r="C543" s="324" t="str">
        <f t="shared" ref="C543" si="573">IF(OR($C$2=1, $C$2=4),N543,IF($C$2=2,N544,IF($C$2=3,N545,IF($C$2=5,N545,"  chyba"))))</f>
        <v>E02G</v>
      </c>
      <c r="D543" s="324">
        <f t="shared" ref="D543" si="574">IF(OR($C$2=1, $C$2=4),O543,IF($C$2=2,O544,IF($C$2=3,O545,IF($C$2=5,O545,"  chyba"))))</f>
        <v>0</v>
      </c>
      <c r="E543" s="321">
        <f t="shared" ref="E543" si="575">IF(OR($C$2=1, $C$2=4),P543,IF($C$2=2,P544,IF($C$2=3,P545,IF($C$2=5,P545,"  chyba"))))</f>
        <v>0</v>
      </c>
      <c r="F543" s="322">
        <f t="shared" ref="F543" si="576">IF(OR($C$2=1, $C$2=4),Q543,IF($C$2=2,Q544,IF($C$2=3,Q545,IF($C$2=5,Q545,"  chyba"))))</f>
        <v>1748.9724100000001</v>
      </c>
      <c r="G543" s="323"/>
      <c r="H543" s="323"/>
      <c r="I543" s="325">
        <f t="shared" ref="I543" si="577">IF(OR($C$2=1, $C$2=4),T543,IF($C$2=2,T544,IF($C$2=3,T545,IF($C$2=5,T545,"  chyba"))))</f>
        <v>1717256</v>
      </c>
      <c r="J543" s="325">
        <f t="shared" ref="J543" si="578">IF(OR($C$2=1, $C$2=4),U543,IF($C$2=2,U544,IF($C$2=3,U545,IF($C$2=5,U545,"  chyba"))))</f>
        <v>227707</v>
      </c>
      <c r="K543" s="63"/>
      <c r="L543" s="61" t="str">
        <f>Price!A543</f>
        <v>Příborník, 600mm, Nebraska dub/OG-M</v>
      </c>
      <c r="M543" s="15" t="str">
        <f>Price!B543</f>
        <v>ZC7S600BH3</v>
      </c>
      <c r="N543" s="15" t="str">
        <f>Price!C543</f>
        <v>E02G</v>
      </c>
      <c r="O543" s="525">
        <f>Price!D543</f>
        <v>0</v>
      </c>
      <c r="P543" s="16"/>
      <c r="Q543" s="17">
        <f>Price!F543</f>
        <v>1748.9724100000001</v>
      </c>
      <c r="R543" s="318"/>
      <c r="S543" s="318"/>
      <c r="T543" s="12">
        <f>Price!G543</f>
        <v>1717256</v>
      </c>
      <c r="U543" s="252">
        <f>Price!H543</f>
        <v>227707</v>
      </c>
      <c r="V543" s="13"/>
      <c r="W543" s="13"/>
      <c r="X543" s="19"/>
      <c r="Y543" s="19"/>
    </row>
    <row r="544" spans="1:25" x14ac:dyDescent="0.35">
      <c r="A544" s="319"/>
      <c r="B544" s="160"/>
      <c r="C544" s="160"/>
      <c r="D544" s="528"/>
      <c r="E544" s="83"/>
      <c r="F544" s="84"/>
      <c r="G544" s="84"/>
      <c r="H544" s="84"/>
      <c r="I544" s="84"/>
      <c r="J544" s="84"/>
      <c r="K544" s="63"/>
      <c r="L544" s="61" t="str">
        <f>Price!A544</f>
        <v>Příborník, 600mm, Bardolino dub/SW-M</v>
      </c>
      <c r="M544" s="15" t="str">
        <f>Price!B544</f>
        <v>ZC7S600BH3</v>
      </c>
      <c r="N544" s="15" t="str">
        <f>Price!C544</f>
        <v>E01S</v>
      </c>
      <c r="O544" s="525">
        <f>Price!D544</f>
        <v>0</v>
      </c>
      <c r="P544" s="16"/>
      <c r="Q544" s="17">
        <f>Price!F544</f>
        <v>1748.9724100000001</v>
      </c>
      <c r="R544" s="318"/>
      <c r="S544" s="318"/>
      <c r="T544" s="12">
        <f>Price!G544</f>
        <v>6730043</v>
      </c>
      <c r="U544" s="252">
        <f>Price!H544</f>
        <v>227709</v>
      </c>
      <c r="V544" s="13"/>
      <c r="W544" s="13"/>
      <c r="X544" s="19"/>
      <c r="Y544" s="19"/>
    </row>
    <row r="545" spans="1:25" x14ac:dyDescent="0.35">
      <c r="A545" s="77"/>
      <c r="B545" s="160"/>
      <c r="C545" s="160"/>
      <c r="D545" s="528"/>
      <c r="E545" s="78"/>
      <c r="F545" s="65"/>
      <c r="G545" s="65"/>
      <c r="H545" s="65"/>
      <c r="I545" s="171"/>
      <c r="J545" s="171"/>
      <c r="K545" s="63"/>
      <c r="L545" s="61" t="str">
        <f>Price!A545</f>
        <v>Příborník, 600mm, Tennessee ořech/TS-M</v>
      </c>
      <c r="M545" s="15" t="str">
        <f>Price!B545</f>
        <v>ZC7S600BH3</v>
      </c>
      <c r="N545" s="15" t="str">
        <f>Price!C545</f>
        <v>N01T</v>
      </c>
      <c r="O545" s="525">
        <f>Price!D545</f>
        <v>0</v>
      </c>
      <c r="P545" s="16"/>
      <c r="Q545" s="17">
        <f>Price!F545</f>
        <v>1748.9724100000001</v>
      </c>
      <c r="R545" s="318"/>
      <c r="S545" s="318"/>
      <c r="T545" s="12">
        <f>Price!G545</f>
        <v>2981065</v>
      </c>
      <c r="U545" s="252">
        <f>Price!H545</f>
        <v>227708</v>
      </c>
      <c r="V545" s="13"/>
      <c r="W545" s="13"/>
      <c r="X545" s="19"/>
      <c r="Y545" s="19"/>
    </row>
    <row r="546" spans="1:25" ht="15" thickBot="1" x14ac:dyDescent="0.4">
      <c r="A546" s="320" t="str">
        <f>IF(OR($C$2=1, $C$2=4),L546,IF($C$2=2,L547,IF($C$2=3,L548,IF($C$2=5,L548,"  chyba"))))</f>
        <v>Příborník, 650mm, Nebraska dub/OG-M</v>
      </c>
      <c r="B546" s="324" t="str">
        <f t="shared" ref="B546" si="579">IF(OR($C$2=1, $C$2=4),M546,IF($C$2=2,M547,IF($C$2=3,M548,IF($C$2=5,M548,"  chyba"))))</f>
        <v>ZC7S650BH3</v>
      </c>
      <c r="C546" s="324" t="str">
        <f t="shared" ref="C546" si="580">IF(OR($C$2=1, $C$2=4),N546,IF($C$2=2,N547,IF($C$2=3,N548,IF($C$2=5,N548,"  chyba"))))</f>
        <v>E02G</v>
      </c>
      <c r="D546" s="324">
        <f t="shared" ref="D546" si="581">IF(OR($C$2=1, $C$2=4),O546,IF($C$2=2,O547,IF($C$2=3,O548,IF($C$2=5,O548,"  chyba"))))</f>
        <v>0</v>
      </c>
      <c r="E546" s="321">
        <f t="shared" ref="E546" si="582">IF(OR($C$2=1, $C$2=4),P546,IF($C$2=2,P547,IF($C$2=3,P548,IF($C$2=5,P548,"  chyba"))))</f>
        <v>0</v>
      </c>
      <c r="F546" s="322">
        <f t="shared" ref="F546" si="583">IF(OR($C$2=1, $C$2=4),Q546,IF($C$2=2,Q547,IF($C$2=3,Q548,IF($C$2=5,Q548,"  chyba"))))</f>
        <v>1792.25127</v>
      </c>
      <c r="G546" s="323"/>
      <c r="H546" s="323"/>
      <c r="I546" s="325">
        <f t="shared" ref="I546" si="584">IF(OR($C$2=1, $C$2=4),T546,IF($C$2=2,T547,IF($C$2=3,T548,IF($C$2=5,T548,"  chyba"))))</f>
        <v>6270630</v>
      </c>
      <c r="J546" s="325">
        <f t="shared" ref="J546" si="585">IF(OR($C$2=1, $C$2=4),U546,IF($C$2=2,U547,IF($C$2=3,U548,IF($C$2=5,U548,"  chyba"))))</f>
        <v>279417</v>
      </c>
      <c r="K546" s="63"/>
      <c r="L546" s="61" t="str">
        <f>Price!A546</f>
        <v>Příborník, 650mm, Nebraska dub/OG-M</v>
      </c>
      <c r="M546" s="15" t="str">
        <f>Price!B546</f>
        <v>ZC7S650BH3</v>
      </c>
      <c r="N546" s="15" t="str">
        <f>Price!C546</f>
        <v>E02G</v>
      </c>
      <c r="O546" s="525">
        <f>Price!D546</f>
        <v>0</v>
      </c>
      <c r="P546" s="16"/>
      <c r="Q546" s="17">
        <f>Price!F546</f>
        <v>1792.25127</v>
      </c>
      <c r="R546" s="318"/>
      <c r="S546" s="318"/>
      <c r="T546" s="12">
        <f>Price!G546</f>
        <v>6270630</v>
      </c>
      <c r="U546" s="252">
        <f>Price!H546</f>
        <v>279417</v>
      </c>
      <c r="V546" s="13"/>
      <c r="W546" s="13"/>
      <c r="X546" s="19"/>
      <c r="Y546" s="19"/>
    </row>
    <row r="547" spans="1:25" x14ac:dyDescent="0.35">
      <c r="A547" s="319"/>
      <c r="B547" s="160"/>
      <c r="C547" s="160"/>
      <c r="D547" s="528"/>
      <c r="E547" s="83"/>
      <c r="F547" s="84"/>
      <c r="G547" s="84"/>
      <c r="H547" s="84"/>
      <c r="I547" s="84"/>
      <c r="J547" s="84"/>
      <c r="K547" s="63"/>
      <c r="L547" s="61" t="str">
        <f>Price!A547</f>
        <v>Příborník, 650mm, Bardolino dub/SW-M</v>
      </c>
      <c r="M547" s="15" t="str">
        <f>Price!B547</f>
        <v>ZC7S650BH3</v>
      </c>
      <c r="N547" s="15" t="str">
        <f>Price!C547</f>
        <v>E01S</v>
      </c>
      <c r="O547" s="525">
        <f>Price!D547</f>
        <v>0</v>
      </c>
      <c r="P547" s="16"/>
      <c r="Q547" s="17">
        <f>Price!F547</f>
        <v>1792.25127</v>
      </c>
      <c r="R547" s="318"/>
      <c r="S547" s="318"/>
      <c r="T547" s="12">
        <f>Price!G547</f>
        <v>8729724</v>
      </c>
      <c r="U547" s="252">
        <f>Price!H547</f>
        <v>279418</v>
      </c>
      <c r="V547" s="13"/>
      <c r="W547" s="13"/>
      <c r="X547" s="19"/>
      <c r="Y547" s="19"/>
    </row>
    <row r="548" spans="1:25" x14ac:dyDescent="0.35">
      <c r="A548" s="77"/>
      <c r="B548" s="160"/>
      <c r="C548" s="160"/>
      <c r="D548" s="528"/>
      <c r="E548" s="78"/>
      <c r="F548" s="65"/>
      <c r="G548" s="65"/>
      <c r="H548" s="65"/>
      <c r="I548" s="171"/>
      <c r="J548" s="171"/>
      <c r="K548" s="63"/>
      <c r="L548" s="61" t="str">
        <f>Price!A548</f>
        <v>Příborník, 650mm, Tennessee ořech/TS-M</v>
      </c>
      <c r="M548" s="15" t="str">
        <f>Price!B548</f>
        <v>ZC7S650BH3</v>
      </c>
      <c r="N548" s="15" t="str">
        <f>Price!C548</f>
        <v>N01T</v>
      </c>
      <c r="O548" s="525">
        <f>Price!D548</f>
        <v>0</v>
      </c>
      <c r="P548" s="16"/>
      <c r="Q548" s="17">
        <f>Price!F548</f>
        <v>1792.25127</v>
      </c>
      <c r="R548" s="318"/>
      <c r="S548" s="318"/>
      <c r="T548" s="12">
        <f>Price!G548</f>
        <v>3067342</v>
      </c>
      <c r="U548" s="252">
        <f>Price!H548</f>
        <v>279419</v>
      </c>
      <c r="V548" s="13"/>
      <c r="W548" s="13"/>
      <c r="X548" s="19"/>
      <c r="Y548" s="19"/>
    </row>
    <row r="549" spans="1:25" x14ac:dyDescent="0.35">
      <c r="A549" s="77"/>
      <c r="B549" s="160"/>
      <c r="C549" s="160"/>
      <c r="D549" s="528"/>
      <c r="E549" s="83"/>
      <c r="F549" s="84"/>
      <c r="G549" s="84"/>
      <c r="H549" s="84"/>
      <c r="I549" s="171"/>
      <c r="J549" s="171"/>
      <c r="K549" s="72"/>
      <c r="L549" s="61">
        <f>Price!A549</f>
        <v>0</v>
      </c>
      <c r="M549" s="15">
        <f>Price!B549</f>
        <v>0</v>
      </c>
      <c r="N549" s="15">
        <f>Price!C549</f>
        <v>0</v>
      </c>
      <c r="O549" s="525">
        <f>Price!D549</f>
        <v>0</v>
      </c>
      <c r="P549" s="16"/>
      <c r="Q549" s="17">
        <f>Price!F549</f>
        <v>0</v>
      </c>
      <c r="R549" s="318"/>
      <c r="S549" s="318"/>
      <c r="T549" s="12">
        <f>Price!G549</f>
        <v>0</v>
      </c>
      <c r="U549" s="252">
        <f>Price!H549</f>
        <v>0</v>
      </c>
      <c r="V549" s="13"/>
      <c r="W549" s="13"/>
      <c r="X549" s="19"/>
      <c r="Y549" s="19"/>
    </row>
    <row r="550" spans="1:25" ht="15" thickBot="1" x14ac:dyDescent="0.4">
      <c r="A550" s="320" t="str">
        <f>IF(OR($C$2=1, $C$2=4),L550,IF($C$2=2,L551,IF($C$2=3,L552,IF($C$2=5,L552,"  chyba"))))</f>
        <v>Zás.rámečky úzké, 450mm, Nebraska dub/OG-M</v>
      </c>
      <c r="B550" s="324" t="str">
        <f t="shared" ref="B550" si="586">IF(OR($C$2=1, $C$2=4),M550,IF($C$2=2,M551,IF($C$2=3,M552,IF($C$2=5,M552,"  chyba"))))</f>
        <v>ZC7S450RH1</v>
      </c>
      <c r="C550" s="324" t="str">
        <f t="shared" ref="C550" si="587">IF(OR($C$2=1, $C$2=4),N550,IF($C$2=2,N551,IF($C$2=3,N552,IF($C$2=5,N552,"  chyba"))))</f>
        <v>E02G</v>
      </c>
      <c r="D550" s="324">
        <f t="shared" ref="D550" si="588">IF(OR($C$2=1, $C$2=4),O550,IF($C$2=2,O551,IF($C$2=3,O552,IF($C$2=5,O552,"  chyba"))))</f>
        <v>0</v>
      </c>
      <c r="E550" s="321">
        <f t="shared" ref="E550" si="589">IF(OR($C$2=1, $C$2=4),P550,IF($C$2=2,P551,IF($C$2=3,P552,IF($C$2=5,P552,"  chyba"))))</f>
        <v>0</v>
      </c>
      <c r="F550" s="322">
        <f t="shared" ref="F550" si="590">IF(OR($C$2=1, $C$2=4),Q550,IF($C$2=2,Q551,IF($C$2=3,Q552,IF($C$2=5,Q552,"  chyba"))))</f>
        <v>1017.37146</v>
      </c>
      <c r="G550" s="323"/>
      <c r="H550" s="323"/>
      <c r="I550" s="325">
        <f t="shared" ref="I550" si="591">IF(OR($C$2=1, $C$2=4),T550,IF($C$2=2,T551,IF($C$2=3,T552,IF($C$2=5,T552,"  chyba"))))</f>
        <v>3870552</v>
      </c>
      <c r="J550" s="325">
        <f t="shared" ref="J550" si="592">IF(OR($C$2=1, $C$2=4),U550,IF($C$2=2,U551,IF($C$2=3,U552,IF($C$2=5,U552,"  chyba"))))</f>
        <v>227718</v>
      </c>
      <c r="K550" s="72"/>
      <c r="L550" s="61" t="str">
        <f>Price!A550</f>
        <v>Zás.rámečky úzké, 450mm, Nebraska dub/OG-M</v>
      </c>
      <c r="M550" s="15" t="str">
        <f>Price!B550</f>
        <v>ZC7S450RH1</v>
      </c>
      <c r="N550" s="15" t="str">
        <f>Price!C550</f>
        <v>E02G</v>
      </c>
      <c r="O550" s="525">
        <f>Price!D550</f>
        <v>0</v>
      </c>
      <c r="P550" s="16"/>
      <c r="Q550" s="17">
        <f>Price!F550</f>
        <v>1017.37146</v>
      </c>
      <c r="R550" s="318"/>
      <c r="S550" s="318"/>
      <c r="T550" s="12">
        <f>Price!G550</f>
        <v>3870552</v>
      </c>
      <c r="U550" s="252">
        <f>Price!H550</f>
        <v>227718</v>
      </c>
      <c r="V550" s="13"/>
      <c r="W550" s="13"/>
      <c r="X550" s="19"/>
      <c r="Y550" s="19"/>
    </row>
    <row r="551" spans="1:25" x14ac:dyDescent="0.35">
      <c r="A551" s="77"/>
      <c r="B551" s="160"/>
      <c r="C551" s="160"/>
      <c r="D551" s="528"/>
      <c r="E551" s="78"/>
      <c r="F551" s="65"/>
      <c r="G551" s="65"/>
      <c r="H551" s="65"/>
      <c r="I551" s="171"/>
      <c r="J551" s="171"/>
      <c r="K551" s="72"/>
      <c r="L551" s="61" t="str">
        <f>Price!A551</f>
        <v>Zás.rámečky úzké, 450mm, Bardolino dub/SW-M</v>
      </c>
      <c r="M551" s="15" t="str">
        <f>Price!B551</f>
        <v>ZC7S450RH1</v>
      </c>
      <c r="N551" s="15" t="str">
        <f>Price!C551</f>
        <v>E01S</v>
      </c>
      <c r="O551" s="525">
        <f>Price!D551</f>
        <v>0</v>
      </c>
      <c r="P551" s="16"/>
      <c r="Q551" s="17">
        <f>Price!F551</f>
        <v>1017.37146</v>
      </c>
      <c r="R551" s="318"/>
      <c r="S551" s="318"/>
      <c r="T551" s="12">
        <f>Price!G551</f>
        <v>9734196</v>
      </c>
      <c r="U551" s="252">
        <f>Price!H551</f>
        <v>227720</v>
      </c>
      <c r="V551" s="13"/>
      <c r="W551" s="13"/>
      <c r="X551" s="19"/>
      <c r="Y551" s="19"/>
    </row>
    <row r="552" spans="1:25" x14ac:dyDescent="0.35">
      <c r="A552" s="77"/>
      <c r="B552" s="160"/>
      <c r="C552" s="160"/>
      <c r="D552" s="528"/>
      <c r="E552" s="83"/>
      <c r="F552" s="84"/>
      <c r="G552" s="84"/>
      <c r="H552" s="84"/>
      <c r="I552" s="171"/>
      <c r="J552" s="171"/>
      <c r="K552" s="72"/>
      <c r="L552" s="61" t="str">
        <f>Price!A552</f>
        <v>Zás.rámečky úzké, 450mm, Tennessee oř./TS-M</v>
      </c>
      <c r="M552" s="15" t="str">
        <f>Price!B552</f>
        <v>ZC7S450RH1</v>
      </c>
      <c r="N552" s="15" t="str">
        <f>Price!C552</f>
        <v>N01T</v>
      </c>
      <c r="O552" s="525">
        <f>Price!D552</f>
        <v>0</v>
      </c>
      <c r="P552" s="16"/>
      <c r="Q552" s="17">
        <f>Price!F552</f>
        <v>1017.37146</v>
      </c>
      <c r="R552" s="318"/>
      <c r="S552" s="318"/>
      <c r="T552" s="12">
        <f>Price!G552</f>
        <v>8819861</v>
      </c>
      <c r="U552" s="252">
        <f>Price!H552</f>
        <v>227719</v>
      </c>
      <c r="V552" s="13"/>
      <c r="W552" s="13"/>
      <c r="X552" s="19"/>
      <c r="Y552" s="19"/>
    </row>
    <row r="553" spans="1:25" ht="15" thickBot="1" x14ac:dyDescent="0.4">
      <c r="A553" s="320" t="str">
        <f>IF(OR($C$2=1, $C$2=4),L553,IF($C$2=2,L554,IF($C$2=3,L555,IF($C$2=5,L555,"  chyba"))))</f>
        <v>Zás.rámečky úzké, 500mm, Nebraska dub/OG-M</v>
      </c>
      <c r="B553" s="324" t="str">
        <f t="shared" ref="B553" si="593">IF(OR($C$2=1, $C$2=4),M553,IF($C$2=2,M554,IF($C$2=3,M555,IF($C$2=5,M555,"  chyba"))))</f>
        <v>ZC7S500RH1</v>
      </c>
      <c r="C553" s="324" t="str">
        <f t="shared" ref="C553" si="594">IF(OR($C$2=1, $C$2=4),N553,IF($C$2=2,N554,IF($C$2=3,N555,IF($C$2=5,N555,"  chyba"))))</f>
        <v>E02G</v>
      </c>
      <c r="D553" s="324">
        <f t="shared" ref="D553" si="595">IF(OR($C$2=1, $C$2=4),O553,IF($C$2=2,O554,IF($C$2=3,O555,IF($C$2=5,O555,"  chyba"))))</f>
        <v>0</v>
      </c>
      <c r="E553" s="321">
        <f t="shared" ref="E553" si="596">IF(OR($C$2=1, $C$2=4),P553,IF($C$2=2,P554,IF($C$2=3,P555,IF($C$2=5,P555,"  chyba"))))</f>
        <v>0</v>
      </c>
      <c r="F553" s="322">
        <f t="shared" ref="F553" si="597">IF(OR($C$2=1, $C$2=4),Q553,IF($C$2=2,Q554,IF($C$2=3,Q555,IF($C$2=5,Q555,"  chyba"))))</f>
        <v>1030.4252300000001</v>
      </c>
      <c r="G553" s="323"/>
      <c r="H553" s="323"/>
      <c r="I553" s="325">
        <f t="shared" ref="I553" si="598">IF(OR($C$2=1, $C$2=4),T553,IF($C$2=2,T554,IF($C$2=3,T555,IF($C$2=5,T555,"  chyba"))))</f>
        <v>9278001</v>
      </c>
      <c r="J553" s="325">
        <f t="shared" ref="J553" si="599">IF(OR($C$2=1, $C$2=4),U553,IF($C$2=2,U554,IF($C$2=3,U555,IF($C$2=5,U555,"  chyba"))))</f>
        <v>227721</v>
      </c>
      <c r="K553" s="72"/>
      <c r="L553" s="61" t="str">
        <f>Price!A553</f>
        <v>Zás.rámečky úzké, 500mm, Nebraska dub/OG-M</v>
      </c>
      <c r="M553" s="15" t="str">
        <f>Price!B553</f>
        <v>ZC7S500RH1</v>
      </c>
      <c r="N553" s="15" t="str">
        <f>Price!C553</f>
        <v>E02G</v>
      </c>
      <c r="O553" s="525">
        <f>Price!D553</f>
        <v>0</v>
      </c>
      <c r="P553" s="16"/>
      <c r="Q553" s="17">
        <f>Price!F553</f>
        <v>1030.4252300000001</v>
      </c>
      <c r="R553" s="318"/>
      <c r="S553" s="318"/>
      <c r="T553" s="12">
        <f>Price!G553</f>
        <v>9278001</v>
      </c>
      <c r="U553" s="252">
        <f>Price!H553</f>
        <v>227721</v>
      </c>
      <c r="V553" s="13"/>
      <c r="X553" s="19"/>
      <c r="Y553" s="19"/>
    </row>
    <row r="554" spans="1:25" x14ac:dyDescent="0.35">
      <c r="A554" s="77"/>
      <c r="B554" s="160"/>
      <c r="C554" s="160"/>
      <c r="D554" s="528"/>
      <c r="E554" s="78"/>
      <c r="F554" s="65"/>
      <c r="G554" s="65"/>
      <c r="H554" s="65"/>
      <c r="I554" s="171"/>
      <c r="J554" s="171"/>
      <c r="K554" s="72"/>
      <c r="L554" s="61" t="str">
        <f>Price!A554</f>
        <v>Zás.rámečky úzké, 500mm, Bardolino dub/SW-M</v>
      </c>
      <c r="M554" s="15" t="str">
        <f>Price!B554</f>
        <v>ZC7S500RH1</v>
      </c>
      <c r="N554" s="15" t="str">
        <f>Price!C554</f>
        <v>E01S</v>
      </c>
      <c r="O554" s="525">
        <f>Price!D554</f>
        <v>0</v>
      </c>
      <c r="P554" s="16"/>
      <c r="Q554" s="17">
        <f>Price!F554</f>
        <v>1030.4252300000001</v>
      </c>
      <c r="R554" s="318"/>
      <c r="S554" s="318"/>
      <c r="T554" s="12">
        <f>Price!G554</f>
        <v>4542306</v>
      </c>
      <c r="U554" s="252">
        <f>Price!H554</f>
        <v>227723</v>
      </c>
      <c r="V554" s="13"/>
      <c r="W554" s="13"/>
      <c r="X554" s="19"/>
      <c r="Y554" s="19"/>
    </row>
    <row r="555" spans="1:25" x14ac:dyDescent="0.35">
      <c r="A555" s="77"/>
      <c r="B555" s="160"/>
      <c r="C555" s="160"/>
      <c r="D555" s="528"/>
      <c r="E555" s="83"/>
      <c r="F555" s="84"/>
      <c r="G555" s="84"/>
      <c r="H555" s="84"/>
      <c r="I555" s="171"/>
      <c r="J555" s="171"/>
      <c r="K555" s="72"/>
      <c r="L555" s="61" t="str">
        <f>Price!A555</f>
        <v>Zás.rámečky úzké, 500mm, Tennessee oř./TS-M</v>
      </c>
      <c r="M555" s="15" t="str">
        <f>Price!B555</f>
        <v>ZC7S500RH1</v>
      </c>
      <c r="N555" s="15" t="str">
        <f>Price!C555</f>
        <v>N01T</v>
      </c>
      <c r="O555" s="525">
        <f>Price!D555</f>
        <v>0</v>
      </c>
      <c r="P555" s="16"/>
      <c r="Q555" s="17">
        <f>Price!F555</f>
        <v>1030.4252300000001</v>
      </c>
      <c r="R555" s="318"/>
      <c r="S555" s="318"/>
      <c r="T555" s="12">
        <f>Price!G555</f>
        <v>1918643</v>
      </c>
      <c r="U555" s="252">
        <f>Price!H555</f>
        <v>227722</v>
      </c>
      <c r="V555" s="13"/>
      <c r="W555" s="13"/>
      <c r="X555" s="19"/>
      <c r="Y555" s="19"/>
    </row>
    <row r="556" spans="1:25" ht="15" thickBot="1" x14ac:dyDescent="0.4">
      <c r="A556" s="320" t="str">
        <f>IF(OR($C$2=1, $C$2=4),L556,IF($C$2=2,L557,IF($C$2=3,L558,IF($C$2=5,L558,"  chyba"))))</f>
        <v>Zás.rámečky úzké, 550mm, Nebraska dub/OG-M</v>
      </c>
      <c r="B556" s="324" t="str">
        <f t="shared" ref="B556" si="600">IF(OR($C$2=1, $C$2=4),M556,IF($C$2=2,M557,IF($C$2=3,M558,IF($C$2=5,M558,"  chyba"))))</f>
        <v>ZC7S550RH1</v>
      </c>
      <c r="C556" s="324" t="str">
        <f t="shared" ref="C556" si="601">IF(OR($C$2=1, $C$2=4),N556,IF($C$2=2,N557,IF($C$2=3,N558,IF($C$2=5,N558,"  chyba"))))</f>
        <v>E02G</v>
      </c>
      <c r="D556" s="324">
        <f t="shared" ref="D556" si="602">IF(OR($C$2=1, $C$2=4),O556,IF($C$2=2,O557,IF($C$2=3,O558,IF($C$2=5,O558,"  chyba"))))</f>
        <v>0</v>
      </c>
      <c r="E556" s="321">
        <f t="shared" ref="E556" si="603">IF(OR($C$2=1, $C$2=4),P556,IF($C$2=2,P557,IF($C$2=3,P558,IF($C$2=5,P558,"  chyba"))))</f>
        <v>0</v>
      </c>
      <c r="F556" s="322">
        <f t="shared" ref="F556" si="604">IF(OR($C$2=1, $C$2=4),Q556,IF($C$2=2,Q557,IF($C$2=3,Q558,IF($C$2=5,Q558,"  chyba"))))</f>
        <v>1049.65743</v>
      </c>
      <c r="G556" s="323"/>
      <c r="H556" s="323"/>
      <c r="I556" s="325">
        <f t="shared" ref="I556" si="605">IF(OR($C$2=1, $C$2=4),T556,IF($C$2=2,T557,IF($C$2=3,T558,IF($C$2=5,T558,"  chyba"))))</f>
        <v>5369486</v>
      </c>
      <c r="J556" s="325">
        <f t="shared" ref="J556" si="606">IF(OR($C$2=1, $C$2=4),U556,IF($C$2=2,U557,IF($C$2=3,U558,IF($C$2=5,U558,"  chyba"))))</f>
        <v>227724</v>
      </c>
      <c r="K556" s="72"/>
      <c r="L556" s="61" t="str">
        <f>Price!A556</f>
        <v>Zás.rámečky úzké, 550mm, Nebraska dub/OG-M</v>
      </c>
      <c r="M556" s="15" t="str">
        <f>Price!B556</f>
        <v>ZC7S550RH1</v>
      </c>
      <c r="N556" s="15" t="str">
        <f>Price!C556</f>
        <v>E02G</v>
      </c>
      <c r="O556" s="525">
        <f>Price!D556</f>
        <v>0</v>
      </c>
      <c r="P556" s="16"/>
      <c r="Q556" s="17">
        <f>Price!F556</f>
        <v>1049.65743</v>
      </c>
      <c r="R556" s="318"/>
      <c r="S556" s="318"/>
      <c r="T556" s="12">
        <f>Price!G556</f>
        <v>5369486</v>
      </c>
      <c r="U556" s="252">
        <f>Price!H556</f>
        <v>227724</v>
      </c>
      <c r="V556" s="13"/>
      <c r="W556" s="13"/>
      <c r="X556" s="19"/>
      <c r="Y556" s="19"/>
    </row>
    <row r="557" spans="1:25" x14ac:dyDescent="0.35">
      <c r="A557" s="77"/>
      <c r="B557" s="160"/>
      <c r="C557" s="160"/>
      <c r="D557" s="528"/>
      <c r="E557" s="78"/>
      <c r="F557" s="65"/>
      <c r="G557" s="65"/>
      <c r="H557" s="65"/>
      <c r="I557" s="171"/>
      <c r="J557" s="171"/>
      <c r="K557" s="72"/>
      <c r="L557" s="61" t="str">
        <f>Price!A557</f>
        <v>Zás.rámečky úzké, 550mm, Bardolino dub/SW-M</v>
      </c>
      <c r="M557" s="15" t="str">
        <f>Price!B557</f>
        <v>ZC7S550RH1</v>
      </c>
      <c r="N557" s="15" t="str">
        <f>Price!C557</f>
        <v>E01S</v>
      </c>
      <c r="O557" s="525">
        <f>Price!D557</f>
        <v>0</v>
      </c>
      <c r="P557" s="16"/>
      <c r="Q557" s="17">
        <f>Price!F557</f>
        <v>1049.65743</v>
      </c>
      <c r="R557" s="318"/>
      <c r="S557" s="318"/>
      <c r="T557" s="12">
        <f>Price!G557</f>
        <v>4553737</v>
      </c>
      <c r="U557" s="252">
        <f>Price!H557</f>
        <v>227726</v>
      </c>
      <c r="V557" s="13"/>
      <c r="W557" s="13"/>
      <c r="X557" s="19"/>
      <c r="Y557" s="19"/>
    </row>
    <row r="558" spans="1:25" x14ac:dyDescent="0.35">
      <c r="A558" s="77"/>
      <c r="B558" s="160"/>
      <c r="C558" s="160"/>
      <c r="D558" s="528"/>
      <c r="E558" s="83"/>
      <c r="F558" s="65"/>
      <c r="G558" s="65"/>
      <c r="H558" s="65"/>
      <c r="I558" s="171"/>
      <c r="J558" s="171"/>
      <c r="K558" s="72"/>
      <c r="L558" s="61" t="str">
        <f>Price!A558</f>
        <v>Zás.rámečky úzké, 550mm, Tennessee oř./TS-M</v>
      </c>
      <c r="M558" s="15" t="str">
        <f>Price!B558</f>
        <v>ZC7S550RH1</v>
      </c>
      <c r="N558" s="15" t="str">
        <f>Price!C558</f>
        <v>N01T</v>
      </c>
      <c r="O558" s="525">
        <f>Price!D558</f>
        <v>0</v>
      </c>
      <c r="P558" s="16"/>
      <c r="Q558" s="17">
        <f>Price!F558</f>
        <v>1049.65743</v>
      </c>
      <c r="R558" s="318"/>
      <c r="S558" s="318"/>
      <c r="T558" s="12">
        <f>Price!G558</f>
        <v>8281653</v>
      </c>
      <c r="U558" s="252">
        <f>Price!H558</f>
        <v>227725</v>
      </c>
      <c r="V558" s="13"/>
      <c r="W558" s="13"/>
      <c r="X558" s="19"/>
      <c r="Y558" s="19"/>
    </row>
    <row r="559" spans="1:25" ht="15" thickBot="1" x14ac:dyDescent="0.4">
      <c r="A559" s="320" t="str">
        <f>IF(OR($C$2=1, $C$2=4),L559,IF($C$2=2,L560,IF($C$2=3,L561,IF($C$2=5,L561,"  chyba"))))</f>
        <v>Zás.rámečky úzké, 600mm, Nebraska dub/OG-M</v>
      </c>
      <c r="B559" s="324" t="str">
        <f t="shared" ref="B559" si="607">IF(OR($C$2=1, $C$2=4),M559,IF($C$2=2,M560,IF($C$2=3,M561,IF($C$2=5,M561,"  chyba"))))</f>
        <v>ZC7S600RH1</v>
      </c>
      <c r="C559" s="324" t="str">
        <f t="shared" ref="C559" si="608">IF(OR($C$2=1, $C$2=4),N559,IF($C$2=2,N560,IF($C$2=3,N561,IF($C$2=5,N561,"  chyba"))))</f>
        <v>E02G</v>
      </c>
      <c r="D559" s="324">
        <f t="shared" ref="D559" si="609">IF(OR($C$2=1, $C$2=4),O559,IF($C$2=2,O560,IF($C$2=3,O561,IF($C$2=5,O561,"  chyba"))))</f>
        <v>0</v>
      </c>
      <c r="E559" s="321">
        <f t="shared" ref="E559" si="610">IF(OR($C$2=1, $C$2=4),P559,IF($C$2=2,P560,IF($C$2=3,P561,IF($C$2=5,P561,"  chyba"))))</f>
        <v>0</v>
      </c>
      <c r="F559" s="322">
        <f t="shared" ref="F559" si="611">IF(OR($C$2=1, $C$2=4),Q559,IF($C$2=2,Q560,IF($C$2=3,Q561,IF($C$2=5,Q561,"  chyba"))))</f>
        <v>1068.89501</v>
      </c>
      <c r="G559" s="323"/>
      <c r="H559" s="323"/>
      <c r="I559" s="325">
        <f t="shared" ref="I559" si="612">IF(OR($C$2=1, $C$2=4),T559,IF($C$2=2,T560,IF($C$2=3,T561,IF($C$2=5,T561,"  chyba"))))</f>
        <v>9907579</v>
      </c>
      <c r="J559" s="325">
        <f t="shared" ref="J559" si="613">IF(OR($C$2=1, $C$2=4),U559,IF($C$2=2,U560,IF($C$2=3,U561,IF($C$2=5,U561,"  chyba"))))</f>
        <v>227727</v>
      </c>
      <c r="K559" s="72"/>
      <c r="L559" s="61" t="str">
        <f>Price!A559</f>
        <v>Zás.rámečky úzké, 600mm, Nebraska dub/OG-M</v>
      </c>
      <c r="M559" s="15" t="str">
        <f>Price!B559</f>
        <v>ZC7S600RH1</v>
      </c>
      <c r="N559" s="15" t="str">
        <f>Price!C559</f>
        <v>E02G</v>
      </c>
      <c r="O559" s="525">
        <f>Price!D559</f>
        <v>0</v>
      </c>
      <c r="P559" s="16"/>
      <c r="Q559" s="17">
        <f>Price!F559</f>
        <v>1068.89501</v>
      </c>
      <c r="R559" s="318"/>
      <c r="S559" s="318"/>
      <c r="T559" s="12">
        <f>Price!G559</f>
        <v>9907579</v>
      </c>
      <c r="U559" s="252">
        <f>Price!H559</f>
        <v>227727</v>
      </c>
      <c r="V559" s="13"/>
      <c r="W559" s="13"/>
      <c r="X559" s="19"/>
      <c r="Y559" s="19"/>
    </row>
    <row r="560" spans="1:25" x14ac:dyDescent="0.35">
      <c r="A560" s="77"/>
      <c r="B560" s="160"/>
      <c r="C560" s="160"/>
      <c r="D560" s="528"/>
      <c r="E560" s="83"/>
      <c r="F560" s="65"/>
      <c r="G560" s="65"/>
      <c r="H560" s="65"/>
      <c r="I560" s="171"/>
      <c r="J560" s="171"/>
      <c r="K560" s="72"/>
      <c r="L560" s="61" t="str">
        <f>Price!A560</f>
        <v>Zás.rámečky úzké, 600mm, Bardolino dub/SW-M</v>
      </c>
      <c r="M560" s="15" t="str">
        <f>Price!B560</f>
        <v>ZC7S600RH1</v>
      </c>
      <c r="N560" s="15" t="str">
        <f>Price!C560</f>
        <v>E01S</v>
      </c>
      <c r="O560" s="525">
        <f>Price!D560</f>
        <v>0</v>
      </c>
      <c r="P560" s="16"/>
      <c r="Q560" s="17">
        <f>Price!F560</f>
        <v>1068.89501</v>
      </c>
      <c r="R560" s="318"/>
      <c r="S560" s="318"/>
      <c r="T560" s="12">
        <f>Price!G560</f>
        <v>3004403</v>
      </c>
      <c r="U560" s="252">
        <f>Price!H560</f>
        <v>227729</v>
      </c>
      <c r="V560" s="13"/>
      <c r="W560" s="13"/>
      <c r="X560" s="19"/>
      <c r="Y560" s="19"/>
    </row>
    <row r="561" spans="1:25" x14ac:dyDescent="0.35">
      <c r="A561" s="77"/>
      <c r="B561" s="160"/>
      <c r="C561" s="160"/>
      <c r="D561" s="528"/>
      <c r="E561" s="78"/>
      <c r="F561" s="65"/>
      <c r="G561" s="65"/>
      <c r="H561" s="65"/>
      <c r="I561" s="171"/>
      <c r="J561" s="171"/>
      <c r="K561" s="72"/>
      <c r="L561" s="61" t="str">
        <f>Price!A561</f>
        <v>Zás.rámečky úzké, 600mm, Tennessee oř./TS-M</v>
      </c>
      <c r="M561" s="15" t="str">
        <f>Price!B561</f>
        <v>ZC7S600RH1</v>
      </c>
      <c r="N561" s="15" t="str">
        <f>Price!C561</f>
        <v>N01T</v>
      </c>
      <c r="O561" s="525">
        <f>Price!D561</f>
        <v>0</v>
      </c>
      <c r="P561" s="16"/>
      <c r="Q561" s="17">
        <f>Price!F561</f>
        <v>1068.89501</v>
      </c>
      <c r="R561" s="318"/>
      <c r="S561" s="318"/>
      <c r="T561" s="12">
        <f>Price!G561</f>
        <v>6416965</v>
      </c>
      <c r="U561" s="252">
        <f>Price!H561</f>
        <v>227728</v>
      </c>
      <c r="V561" s="13"/>
      <c r="W561" s="13"/>
      <c r="X561" s="19"/>
      <c r="Y561" s="19"/>
    </row>
    <row r="562" spans="1:25" ht="15" thickBot="1" x14ac:dyDescent="0.4">
      <c r="A562" s="320" t="str">
        <f>IF(OR($C$2=1, $C$2=4),L562,IF($C$2=2,L563,IF($C$2=3,L564,IF($C$2=5,L564,"  chyba"))))</f>
        <v>Zás.rámečky úzké, 650mm, Nebraska dub/OG-M</v>
      </c>
      <c r="B562" s="324" t="str">
        <f t="shared" ref="B562" si="614">IF(OR($C$2=1, $C$2=4),M562,IF($C$2=2,M563,IF($C$2=3,M564,IF($C$2=5,M564,"  chyba"))))</f>
        <v>ZC7S650RH1</v>
      </c>
      <c r="C562" s="324" t="str">
        <f t="shared" ref="C562" si="615">IF(OR($C$2=1, $C$2=4),N562,IF($C$2=2,N563,IF($C$2=3,N564,IF($C$2=5,N564,"  chyba"))))</f>
        <v>E02G</v>
      </c>
      <c r="D562" s="324">
        <f t="shared" ref="D562" si="616">IF(OR($C$2=1, $C$2=4),O562,IF($C$2=2,O563,IF($C$2=3,O564,IF($C$2=5,O564,"  chyba"))))</f>
        <v>0</v>
      </c>
      <c r="E562" s="321">
        <f t="shared" ref="E562" si="617">IF(OR($C$2=1, $C$2=4),P562,IF($C$2=2,P563,IF($C$2=3,P564,IF($C$2=5,P564,"  chyba"))))</f>
        <v>0</v>
      </c>
      <c r="F562" s="322">
        <f t="shared" ref="F562" si="618">IF(OR($C$2=1, $C$2=4),Q562,IF($C$2=2,Q563,IF($C$2=3,Q564,IF($C$2=5,Q564,"  chyba"))))</f>
        <v>1088.1265900000001</v>
      </c>
      <c r="G562" s="323"/>
      <c r="H562" s="323"/>
      <c r="I562" s="325">
        <f t="shared" ref="I562" si="619">IF(OR($C$2=1, $C$2=4),T562,IF($C$2=2,T563,IF($C$2=3,T564,IF($C$2=5,T564,"  chyba"))))</f>
        <v>8716506</v>
      </c>
      <c r="J562" s="325">
        <f t="shared" ref="J562" si="620">IF(OR($C$2=1, $C$2=4),U562,IF($C$2=2,U563,IF($C$2=3,U564,IF($C$2=5,U564,"  chyba"))))</f>
        <v>279420</v>
      </c>
      <c r="K562" s="72"/>
      <c r="L562" s="61" t="str">
        <f>Price!A562</f>
        <v>Zás.rámečky úzké, 650mm, Nebraska dub/OG-M</v>
      </c>
      <c r="M562" s="15" t="str">
        <f>Price!B562</f>
        <v>ZC7S650RH1</v>
      </c>
      <c r="N562" s="15" t="str">
        <f>Price!C562</f>
        <v>E02G</v>
      </c>
      <c r="O562" s="525">
        <f>Price!D562</f>
        <v>0</v>
      </c>
      <c r="P562" s="16"/>
      <c r="Q562" s="17">
        <f>Price!F562</f>
        <v>1088.1265900000001</v>
      </c>
      <c r="R562" s="318"/>
      <c r="S562" s="318"/>
      <c r="T562" s="12">
        <f>Price!G562</f>
        <v>8716506</v>
      </c>
      <c r="U562" s="252">
        <f>Price!H562</f>
        <v>279420</v>
      </c>
      <c r="V562" s="13"/>
      <c r="W562" s="13"/>
      <c r="X562" s="19"/>
      <c r="Y562" s="19"/>
    </row>
    <row r="563" spans="1:25" x14ac:dyDescent="0.35">
      <c r="A563" s="77"/>
      <c r="B563" s="160"/>
      <c r="C563" s="160"/>
      <c r="D563" s="528"/>
      <c r="E563" s="83"/>
      <c r="F563" s="65"/>
      <c r="G563" s="65"/>
      <c r="H563" s="65"/>
      <c r="I563" s="171"/>
      <c r="J563" s="171"/>
      <c r="K563" s="72"/>
      <c r="L563" s="61" t="str">
        <f>Price!A563</f>
        <v>Zás.rámečky úzké, 650mm, Bardolino dub/SW-M</v>
      </c>
      <c r="M563" s="15" t="str">
        <f>Price!B563</f>
        <v>ZC7S650RH1</v>
      </c>
      <c r="N563" s="15" t="str">
        <f>Price!C563</f>
        <v>E01S</v>
      </c>
      <c r="O563" s="525">
        <f>Price!D563</f>
        <v>0</v>
      </c>
      <c r="P563" s="16"/>
      <c r="Q563" s="17">
        <f>Price!F563</f>
        <v>1088.1265900000001</v>
      </c>
      <c r="R563" s="318"/>
      <c r="S563" s="318"/>
      <c r="T563" s="12">
        <f>Price!G563</f>
        <v>7689785</v>
      </c>
      <c r="U563" s="252">
        <f>Price!H563</f>
        <v>279421</v>
      </c>
      <c r="V563" s="13"/>
      <c r="W563" s="13"/>
      <c r="X563" s="19"/>
      <c r="Y563" s="19"/>
    </row>
    <row r="564" spans="1:25" x14ac:dyDescent="0.35">
      <c r="A564" s="77"/>
      <c r="B564" s="160"/>
      <c r="C564" s="160"/>
      <c r="D564" s="528"/>
      <c r="E564" s="78"/>
      <c r="F564" s="65"/>
      <c r="G564" s="65"/>
      <c r="H564" s="65"/>
      <c r="I564" s="171"/>
      <c r="J564" s="171"/>
      <c r="K564" s="72"/>
      <c r="L564" s="61" t="str">
        <f>Price!A564</f>
        <v>Zás.rámečky úzké, 650mm, Tennessee oř./TS-M</v>
      </c>
      <c r="M564" s="15" t="str">
        <f>Price!B564</f>
        <v>ZC7S650RH1</v>
      </c>
      <c r="N564" s="15" t="str">
        <f>Price!C564</f>
        <v>N01T</v>
      </c>
      <c r="O564" s="525">
        <f>Price!D564</f>
        <v>0</v>
      </c>
      <c r="P564" s="16"/>
      <c r="Q564" s="17">
        <f>Price!F564</f>
        <v>1088.1265900000001</v>
      </c>
      <c r="R564" s="318"/>
      <c r="S564" s="318"/>
      <c r="T564" s="12">
        <f>Price!G564</f>
        <v>7050334</v>
      </c>
      <c r="U564" s="252">
        <f>Price!H564</f>
        <v>279422</v>
      </c>
      <c r="V564" s="13"/>
      <c r="W564" s="13"/>
      <c r="X564" s="19"/>
      <c r="Y564" s="19"/>
    </row>
    <row r="565" spans="1:25" ht="15" thickBot="1" x14ac:dyDescent="0.4">
      <c r="A565" s="320" t="str">
        <f>IF(OR($C$2=1, $C$2=4),L565,IF($C$2=2,L566,IF($C$2=3,L567,IF($C$2=5,L567,"  chyba"))))</f>
        <v>Samostatná příčka, 50/100mm, Nebraska dub</v>
      </c>
      <c r="B565" s="324" t="str">
        <f t="shared" ref="B565" si="621">IF(OR($C$2=1, $C$2=4),M565,IF($C$2=2,M566,IF($C$2=3,M567,IF($C$2=5,M567,"  chyba"))))</f>
        <v>ZC7Q010SH</v>
      </c>
      <c r="C565" s="324" t="str">
        <f t="shared" ref="C565" si="622">IF(OR($C$2=1, $C$2=4),N565,IF($C$2=2,N566,IF($C$2=3,N567,IF($C$2=5,N567,"  chyba"))))</f>
        <v>E02G</v>
      </c>
      <c r="D565" s="324" t="str">
        <f t="shared" ref="D565" si="623">IF(OR($C$2=1, $C$2=4),O565,IF($C$2=2,O566,IF($C$2=3,O567,IF($C$2=5,O567,"  chyba"))))</f>
        <v>!</v>
      </c>
      <c r="E565" s="321">
        <f t="shared" ref="E565" si="624">IF(OR($C$2=1, $C$2=4),P565,IF($C$2=2,P566,IF($C$2=3,P567,IF($C$2=5,P567,"  chyba"))))</f>
        <v>0</v>
      </c>
      <c r="F565" s="322">
        <f t="shared" ref="F565" si="625">IF(OR($C$2=1, $C$2=4),Q565,IF($C$2=2,Q566,IF($C$2=3,Q567,IF($C$2=5,Q567,"  chyba"))))</f>
        <v>178.60650000000001</v>
      </c>
      <c r="G565" s="323"/>
      <c r="H565" s="323"/>
      <c r="I565" s="325">
        <f t="shared" ref="I565" si="626">IF(OR($C$2=1, $C$2=4),T565,IF($C$2=2,T566,IF($C$2=3,T567,IF($C$2=5,T567,"  chyba"))))</f>
        <v>1619090</v>
      </c>
      <c r="J565" s="325">
        <f t="shared" ref="J565" si="627">IF(OR($C$2=1, $C$2=4),U565,IF($C$2=2,U566,IF($C$2=3,U567,IF($C$2=5,U567,"  chyba"))))</f>
        <v>227730</v>
      </c>
      <c r="K565" s="72"/>
      <c r="L565" s="61" t="str">
        <f>Price!A565</f>
        <v>Samostatná příčka, 50/100mm, Nebraska dub</v>
      </c>
      <c r="M565" s="15" t="str">
        <f>Price!B565</f>
        <v>ZC7Q010SH</v>
      </c>
      <c r="N565" s="15" t="str">
        <f>Price!C565</f>
        <v>E02G</v>
      </c>
      <c r="O565" s="525" t="str">
        <f>Price!D565</f>
        <v>!</v>
      </c>
      <c r="P565" s="16"/>
      <c r="Q565" s="17">
        <f>Price!F565</f>
        <v>178.60650000000001</v>
      </c>
      <c r="R565" s="318"/>
      <c r="S565" s="318"/>
      <c r="T565" s="12">
        <f>Price!G565</f>
        <v>1619090</v>
      </c>
      <c r="U565" s="252">
        <f>Price!H565</f>
        <v>227730</v>
      </c>
      <c r="V565" s="13"/>
      <c r="W565" s="13"/>
      <c r="X565" s="19"/>
      <c r="Y565" s="19"/>
    </row>
    <row r="566" spans="1:25" x14ac:dyDescent="0.35">
      <c r="A566" s="77"/>
      <c r="B566" s="160"/>
      <c r="C566" s="160"/>
      <c r="D566" s="528"/>
      <c r="E566" s="83"/>
      <c r="F566" s="65"/>
      <c r="G566" s="65"/>
      <c r="H566" s="65"/>
      <c r="I566" s="171"/>
      <c r="J566" s="171"/>
      <c r="K566" s="72"/>
      <c r="L566" s="61" t="str">
        <f>Price!A566</f>
        <v>Samostatná příčka, 50/100mm, Bardolino dub</v>
      </c>
      <c r="M566" s="15" t="str">
        <f>Price!B566</f>
        <v>ZC7Q010SH</v>
      </c>
      <c r="N566" s="15" t="str">
        <f>Price!C566</f>
        <v>E01S</v>
      </c>
      <c r="O566" s="525" t="str">
        <f>Price!D566</f>
        <v>!</v>
      </c>
      <c r="P566" s="16"/>
      <c r="Q566" s="17">
        <f>Price!F566</f>
        <v>178.60650000000001</v>
      </c>
      <c r="R566" s="318"/>
      <c r="S566" s="318"/>
      <c r="T566" s="12">
        <f>Price!G566</f>
        <v>2644645</v>
      </c>
      <c r="U566" s="252">
        <f>Price!H566</f>
        <v>227732</v>
      </c>
      <c r="V566" s="13"/>
      <c r="W566" s="13"/>
      <c r="X566" s="19"/>
      <c r="Y566" s="19"/>
    </row>
    <row r="567" spans="1:25" x14ac:dyDescent="0.35">
      <c r="A567" s="77"/>
      <c r="B567" s="160"/>
      <c r="C567" s="160"/>
      <c r="D567" s="528"/>
      <c r="E567" s="78"/>
      <c r="F567" s="65"/>
      <c r="G567" s="65"/>
      <c r="H567" s="65"/>
      <c r="I567" s="171"/>
      <c r="J567" s="171"/>
      <c r="K567" s="72"/>
      <c r="L567" s="61" t="str">
        <f>Price!A567</f>
        <v>Samostatná příčka, 50/100mm, Tennessee ořech</v>
      </c>
      <c r="M567" s="15" t="str">
        <f>Price!B567</f>
        <v>ZC7Q010SH</v>
      </c>
      <c r="N567" s="15" t="str">
        <f>Price!C567</f>
        <v>N01T</v>
      </c>
      <c r="O567" s="525" t="str">
        <f>Price!D567</f>
        <v>!</v>
      </c>
      <c r="P567" s="16"/>
      <c r="Q567" s="17">
        <f>Price!F567</f>
        <v>178.60650000000001</v>
      </c>
      <c r="R567" s="318"/>
      <c r="S567" s="318"/>
      <c r="T567" s="12">
        <f>Price!G567</f>
        <v>5151663</v>
      </c>
      <c r="U567" s="252">
        <f>Price!H567</f>
        <v>227731</v>
      </c>
      <c r="V567" s="13"/>
      <c r="W567" s="13"/>
      <c r="X567" s="19"/>
      <c r="Y567" s="19"/>
    </row>
    <row r="568" spans="1:25" x14ac:dyDescent="0.35">
      <c r="A568" s="77"/>
      <c r="B568" s="160"/>
      <c r="C568" s="160"/>
      <c r="D568" s="528"/>
      <c r="E568" s="83"/>
      <c r="F568" s="65"/>
      <c r="G568" s="65"/>
      <c r="H568" s="65"/>
      <c r="I568" s="171"/>
      <c r="J568" s="171"/>
      <c r="K568" s="72"/>
      <c r="L568" s="61">
        <f>Price!A568</f>
        <v>0</v>
      </c>
      <c r="M568" s="15">
        <f>Price!B568</f>
        <v>0</v>
      </c>
      <c r="N568" s="15">
        <f>Price!C568</f>
        <v>0</v>
      </c>
      <c r="O568" s="525">
        <f>Price!D568</f>
        <v>0</v>
      </c>
      <c r="P568" s="16"/>
      <c r="Q568" s="17">
        <f>Price!F568</f>
        <v>0</v>
      </c>
      <c r="R568" s="318"/>
      <c r="S568" s="318"/>
      <c r="T568" s="12">
        <f>Price!G568</f>
        <v>0</v>
      </c>
      <c r="U568" s="252">
        <f>Price!H568</f>
        <v>0</v>
      </c>
      <c r="V568" s="13"/>
      <c r="W568" s="13"/>
      <c r="X568" s="19"/>
      <c r="Y568" s="19"/>
    </row>
    <row r="569" spans="1:25" ht="15" thickBot="1" x14ac:dyDescent="0.4">
      <c r="A569" s="320" t="str">
        <f>IF(OR($C$2=1, $C$2=4),L569,IF($C$2=2,L570,IF($C$2=3,L571,IF($C$2=5,L571,"  chyba"))))</f>
        <v>Zás.rámečky široké, 450mm, Nebraska dub/OG-M</v>
      </c>
      <c r="B569" s="324" t="str">
        <f t="shared" ref="B569" si="628">IF(OR($C$2=1, $C$2=4),M569,IF($C$2=2,M570,IF($C$2=3,M571,IF($C$2=5,M571,"  chyba"))))</f>
        <v>ZC7S450RH2</v>
      </c>
      <c r="C569" s="324" t="str">
        <f t="shared" ref="C569" si="629">IF(OR($C$2=1, $C$2=4),N569,IF($C$2=2,N570,IF($C$2=3,N571,IF($C$2=5,N571,"  chyba"))))</f>
        <v>E02G</v>
      </c>
      <c r="D569" s="324">
        <f t="shared" ref="D569" si="630">IF(OR($C$2=1, $C$2=4),O569,IF($C$2=2,O570,IF($C$2=3,O571,IF($C$2=5,O571,"  chyba"))))</f>
        <v>0</v>
      </c>
      <c r="E569" s="321">
        <f t="shared" ref="E569" si="631">IF(OR($C$2=1, $C$2=4),P569,IF($C$2=2,P570,IF($C$2=3,P571,IF($C$2=5,P571,"  chyba"))))</f>
        <v>0</v>
      </c>
      <c r="F569" s="322">
        <f t="shared" ref="F569" si="632">IF(OR($C$2=1, $C$2=4),Q569,IF($C$2=2,Q570,IF($C$2=3,Q571,IF($C$2=5,Q571,"  chyba"))))</f>
        <v>1154.75999</v>
      </c>
      <c r="G569" s="323"/>
      <c r="H569" s="323"/>
      <c r="I569" s="325">
        <f t="shared" ref="I569" si="633">IF(OR($C$2=1, $C$2=4),T569,IF($C$2=2,T570,IF($C$2=3,T571,IF($C$2=5,T571,"  chyba"))))</f>
        <v>8122008</v>
      </c>
      <c r="J569" s="325">
        <f t="shared" ref="J569" si="634">IF(OR($C$2=1, $C$2=4),U569,IF($C$2=2,U570,IF($C$2=3,U571,IF($C$2=5,U571,"  chyba"))))</f>
        <v>227733</v>
      </c>
      <c r="K569" s="72"/>
      <c r="L569" s="61" t="str">
        <f>Price!A569</f>
        <v>Zás.rámečky široké, 450mm, Nebraska dub/OG-M</v>
      </c>
      <c r="M569" s="15" t="str">
        <f>Price!B569</f>
        <v>ZC7S450RH2</v>
      </c>
      <c r="N569" s="15" t="str">
        <f>Price!C569</f>
        <v>E02G</v>
      </c>
      <c r="O569" s="525">
        <f>Price!D569</f>
        <v>0</v>
      </c>
      <c r="P569" s="16"/>
      <c r="Q569" s="17">
        <f>Price!F569</f>
        <v>1154.75999</v>
      </c>
      <c r="R569" s="318"/>
      <c r="S569" s="318"/>
      <c r="T569" s="12">
        <f>Price!G569</f>
        <v>8122008</v>
      </c>
      <c r="U569" s="252">
        <f>Price!H569</f>
        <v>227733</v>
      </c>
      <c r="V569" s="13"/>
      <c r="W569" s="13"/>
      <c r="X569" s="19"/>
      <c r="Y569" s="19"/>
    </row>
    <row r="570" spans="1:25" x14ac:dyDescent="0.35">
      <c r="A570" s="77"/>
      <c r="B570" s="160"/>
      <c r="C570" s="160"/>
      <c r="D570" s="528"/>
      <c r="E570" s="83"/>
      <c r="F570" s="65"/>
      <c r="G570" s="65"/>
      <c r="H570" s="65"/>
      <c r="I570" s="171"/>
      <c r="J570" s="171"/>
      <c r="K570" s="72"/>
      <c r="L570" s="61" t="str">
        <f>Price!A570</f>
        <v>Zás.rámečky široké, 450mm, Bardolino dub/SW-M</v>
      </c>
      <c r="M570" s="15" t="str">
        <f>Price!B570</f>
        <v>ZC7S450RH2</v>
      </c>
      <c r="N570" s="15" t="str">
        <f>Price!C570</f>
        <v>E01S</v>
      </c>
      <c r="O570" s="525">
        <f>Price!D570</f>
        <v>0</v>
      </c>
      <c r="P570" s="16"/>
      <c r="Q570" s="17">
        <f>Price!F570</f>
        <v>1154.75999</v>
      </c>
      <c r="R570" s="318"/>
      <c r="S570" s="318"/>
      <c r="T570" s="12">
        <f>Price!G570</f>
        <v>1803301</v>
      </c>
      <c r="U570" s="252">
        <f>Price!H570</f>
        <v>227735</v>
      </c>
      <c r="V570" s="13"/>
      <c r="W570" s="13"/>
      <c r="X570" s="19"/>
      <c r="Y570" s="19"/>
    </row>
    <row r="571" spans="1:25" x14ac:dyDescent="0.35">
      <c r="A571" s="77"/>
      <c r="B571" s="160"/>
      <c r="C571" s="160"/>
      <c r="D571" s="528"/>
      <c r="E571" s="83"/>
      <c r="F571" s="65"/>
      <c r="G571" s="65"/>
      <c r="H571" s="65"/>
      <c r="I571" s="171"/>
      <c r="J571" s="171"/>
      <c r="K571" s="62"/>
      <c r="L571" s="61" t="str">
        <f>Price!A571</f>
        <v>Zás.rámečky široké, 450mm, Tennessee oř./TS-M</v>
      </c>
      <c r="M571" s="15" t="str">
        <f>Price!B571</f>
        <v>ZC7S450RH2</v>
      </c>
      <c r="N571" s="15" t="str">
        <f>Price!C571</f>
        <v>N01T</v>
      </c>
      <c r="O571" s="525">
        <f>Price!D571</f>
        <v>0</v>
      </c>
      <c r="P571" s="16"/>
      <c r="Q571" s="17">
        <f>Price!F571</f>
        <v>1154.75999</v>
      </c>
      <c r="R571" s="318"/>
      <c r="S571" s="318"/>
      <c r="T571" s="12">
        <f>Price!G571</f>
        <v>4837273</v>
      </c>
      <c r="U571" s="252">
        <f>Price!H571</f>
        <v>227734</v>
      </c>
      <c r="V571" s="13"/>
      <c r="W571" s="13"/>
      <c r="X571" s="19"/>
      <c r="Y571" s="19"/>
    </row>
    <row r="572" spans="1:25" ht="15" thickBot="1" x14ac:dyDescent="0.4">
      <c r="A572" s="320" t="str">
        <f>IF(OR($C$2=1, $C$2=4),L572,IF($C$2=2,L573,IF($C$2=3,L574,IF($C$2=5,L574,"  chyba"))))</f>
        <v>Zás.rámečky široké, 500mm, Nebraska dub/OG-M</v>
      </c>
      <c r="B572" s="324" t="str">
        <f t="shared" ref="B572" si="635">IF(OR($C$2=1, $C$2=4),M572,IF($C$2=2,M573,IF($C$2=3,M574,IF($C$2=5,M574,"  chyba"))))</f>
        <v>ZC7S500RH2</v>
      </c>
      <c r="C572" s="324" t="str">
        <f t="shared" ref="C572" si="636">IF(OR($C$2=1, $C$2=4),N572,IF($C$2=2,N573,IF($C$2=3,N574,IF($C$2=5,N574,"  chyba"))))</f>
        <v>E02G</v>
      </c>
      <c r="D572" s="324">
        <f t="shared" ref="D572" si="637">IF(OR($C$2=1, $C$2=4),O572,IF($C$2=2,O573,IF($C$2=3,O574,IF($C$2=5,O574,"  chyba"))))</f>
        <v>0</v>
      </c>
      <c r="E572" s="321">
        <f t="shared" ref="E572" si="638">IF(OR($C$2=1, $C$2=4),P572,IF($C$2=2,P573,IF($C$2=3,P574,IF($C$2=5,P574,"  chyba"))))</f>
        <v>0</v>
      </c>
      <c r="F572" s="322">
        <f t="shared" ref="F572" si="639">IF(OR($C$2=1, $C$2=4),Q572,IF($C$2=2,Q573,IF($C$2=3,Q574,IF($C$2=5,Q574,"  chyba"))))</f>
        <v>1167.81376</v>
      </c>
      <c r="G572" s="323"/>
      <c r="H572" s="323"/>
      <c r="I572" s="325">
        <f t="shared" ref="I572" si="640">IF(OR($C$2=1, $C$2=4),T572,IF($C$2=2,T573,IF($C$2=3,T574,IF($C$2=5,T574,"  chyba"))))</f>
        <v>7540872</v>
      </c>
      <c r="J572" s="325">
        <f t="shared" ref="J572" si="641">IF(OR($C$2=1, $C$2=4),U572,IF($C$2=2,U573,IF($C$2=3,U574,IF($C$2=5,U574,"  chyba"))))</f>
        <v>227736</v>
      </c>
      <c r="K572" s="72"/>
      <c r="L572" s="61" t="str">
        <f>Price!A572</f>
        <v>Zás.rámečky široké, 500mm, Nebraska dub/OG-M</v>
      </c>
      <c r="M572" s="15" t="str">
        <f>Price!B572</f>
        <v>ZC7S500RH2</v>
      </c>
      <c r="N572" s="15" t="str">
        <f>Price!C572</f>
        <v>E02G</v>
      </c>
      <c r="O572" s="525">
        <f>Price!D572</f>
        <v>0</v>
      </c>
      <c r="P572" s="16"/>
      <c r="Q572" s="17">
        <f>Price!F572</f>
        <v>1167.81376</v>
      </c>
      <c r="R572" s="318"/>
      <c r="S572" s="318"/>
      <c r="T572" s="12">
        <f>Price!G572</f>
        <v>7540872</v>
      </c>
      <c r="U572" s="252">
        <f>Price!H572</f>
        <v>227736</v>
      </c>
      <c r="V572" s="13"/>
      <c r="W572" s="13"/>
      <c r="X572" s="19"/>
      <c r="Y572" s="19"/>
    </row>
    <row r="573" spans="1:25" x14ac:dyDescent="0.35">
      <c r="A573" s="77"/>
      <c r="B573" s="160"/>
      <c r="C573" s="160"/>
      <c r="D573" s="528"/>
      <c r="E573" s="83"/>
      <c r="F573" s="65"/>
      <c r="G573" s="65"/>
      <c r="H573" s="65"/>
      <c r="I573" s="171"/>
      <c r="J573" s="171"/>
      <c r="K573" s="62"/>
      <c r="L573" s="61" t="str">
        <f>Price!A573</f>
        <v>Zás.rámečky široké, 500mm, Bardolino dub/SW-M</v>
      </c>
      <c r="M573" s="15" t="str">
        <f>Price!B573</f>
        <v>ZC7S500RH2</v>
      </c>
      <c r="N573" s="15" t="str">
        <f>Price!C573</f>
        <v>E01S</v>
      </c>
      <c r="O573" s="525">
        <f>Price!D573</f>
        <v>0</v>
      </c>
      <c r="P573" s="16"/>
      <c r="Q573" s="17">
        <f>Price!F573</f>
        <v>1167.81376</v>
      </c>
      <c r="R573" s="318"/>
      <c r="S573" s="318"/>
      <c r="T573" s="12">
        <f>Price!G573</f>
        <v>3134316</v>
      </c>
      <c r="U573" s="252">
        <f>Price!H573</f>
        <v>227738</v>
      </c>
      <c r="V573" s="13"/>
      <c r="W573" s="13"/>
      <c r="X573" s="19"/>
      <c r="Y573" s="19"/>
    </row>
    <row r="574" spans="1:25" x14ac:dyDescent="0.35">
      <c r="A574" s="77"/>
      <c r="B574" s="160"/>
      <c r="C574" s="160"/>
      <c r="D574" s="528"/>
      <c r="E574" s="83"/>
      <c r="F574" s="65"/>
      <c r="G574" s="65"/>
      <c r="H574" s="65"/>
      <c r="I574" s="171"/>
      <c r="J574" s="171"/>
      <c r="K574" s="72"/>
      <c r="L574" s="61" t="str">
        <f>Price!A574</f>
        <v>Zás.rámečky široké, 500mm, Tennessee oř./TS-M</v>
      </c>
      <c r="M574" s="15" t="str">
        <f>Price!B574</f>
        <v>ZC7S500RH2</v>
      </c>
      <c r="N574" s="15" t="str">
        <f>Price!C574</f>
        <v>N01T</v>
      </c>
      <c r="O574" s="525">
        <f>Price!D574</f>
        <v>0</v>
      </c>
      <c r="P574" s="16"/>
      <c r="Q574" s="17">
        <f>Price!F574</f>
        <v>1167.81376</v>
      </c>
      <c r="R574" s="318"/>
      <c r="S574" s="318"/>
      <c r="T574" s="12">
        <f>Price!G574</f>
        <v>3427726</v>
      </c>
      <c r="U574" s="252">
        <f>Price!H574</f>
        <v>227737</v>
      </c>
      <c r="V574" s="13"/>
      <c r="W574" s="13"/>
      <c r="X574" s="19"/>
      <c r="Y574" s="19"/>
    </row>
    <row r="575" spans="1:25" ht="15" thickBot="1" x14ac:dyDescent="0.4">
      <c r="A575" s="320" t="str">
        <f>IF(OR($C$2=1, $C$2=4),L575,IF($C$2=2,L576,IF($C$2=3,L577,IF($C$2=5,L577,"  chyba"))))</f>
        <v>Zás.rámečky široké, 550mm, Nebraska dub/OG-M</v>
      </c>
      <c r="B575" s="324" t="str">
        <f t="shared" ref="B575" si="642">IF(OR($C$2=1, $C$2=4),M575,IF($C$2=2,M576,IF($C$2=3,M577,IF($C$2=5,M577,"  chyba"))))</f>
        <v>ZC7S550RH2</v>
      </c>
      <c r="C575" s="324" t="str">
        <f t="shared" ref="C575" si="643">IF(OR($C$2=1, $C$2=4),N575,IF($C$2=2,N576,IF($C$2=3,N577,IF($C$2=5,N577,"  chyba"))))</f>
        <v>E02G</v>
      </c>
      <c r="D575" s="324">
        <f t="shared" ref="D575" si="644">IF(OR($C$2=1, $C$2=4),O575,IF($C$2=2,O576,IF($C$2=3,O577,IF($C$2=5,O577,"  chyba"))))</f>
        <v>0</v>
      </c>
      <c r="E575" s="321">
        <f t="shared" ref="E575" si="645">IF(OR($C$2=1, $C$2=4),P575,IF($C$2=2,P576,IF($C$2=3,P577,IF($C$2=5,P577,"  chyba"))))</f>
        <v>0</v>
      </c>
      <c r="F575" s="322">
        <f t="shared" ref="F575" si="646">IF(OR($C$2=1, $C$2=4),Q575,IF($C$2=2,Q576,IF($C$2=3,Q577,IF($C$2=5,Q577,"  chyba"))))</f>
        <v>1187.04594</v>
      </c>
      <c r="G575" s="323"/>
      <c r="H575" s="323"/>
      <c r="I575" s="325">
        <f t="shared" ref="I575" si="647">IF(OR($C$2=1, $C$2=4),T575,IF($C$2=2,T576,IF($C$2=3,T577,IF($C$2=5,T577,"  chyba"))))</f>
        <v>5762924</v>
      </c>
      <c r="J575" s="325">
        <f t="shared" ref="J575" si="648">IF(OR($C$2=1, $C$2=4),U575,IF($C$2=2,U576,IF($C$2=3,U577,IF($C$2=5,U577,"  chyba"))))</f>
        <v>227739</v>
      </c>
      <c r="K575" s="62"/>
      <c r="L575" s="61" t="str">
        <f>Price!A575</f>
        <v>Zás.rámečky široké, 550mm, Nebraska dub/OG-M</v>
      </c>
      <c r="M575" s="15" t="str">
        <f>Price!B575</f>
        <v>ZC7S550RH2</v>
      </c>
      <c r="N575" s="15" t="str">
        <f>Price!C575</f>
        <v>E02G</v>
      </c>
      <c r="O575" s="525">
        <f>Price!D575</f>
        <v>0</v>
      </c>
      <c r="P575" s="16"/>
      <c r="Q575" s="17">
        <f>Price!F575</f>
        <v>1187.04594</v>
      </c>
      <c r="R575" s="318"/>
      <c r="S575" s="318"/>
      <c r="T575" s="12">
        <f>Price!G575</f>
        <v>5762924</v>
      </c>
      <c r="U575" s="252">
        <f>Price!H575</f>
        <v>227739</v>
      </c>
      <c r="V575" s="13"/>
      <c r="W575" s="13"/>
      <c r="X575" s="19"/>
      <c r="Y575" s="19"/>
    </row>
    <row r="576" spans="1:25" x14ac:dyDescent="0.35">
      <c r="A576" s="79"/>
      <c r="B576" s="161"/>
      <c r="C576" s="161"/>
      <c r="D576" s="529"/>
      <c r="E576" s="78"/>
      <c r="F576" s="67"/>
      <c r="G576" s="67"/>
      <c r="H576" s="67"/>
      <c r="I576" s="170"/>
      <c r="J576" s="170"/>
      <c r="K576" s="72"/>
      <c r="L576" s="61" t="str">
        <f>Price!A576</f>
        <v>Zás.rámečky široké, 550mm, Bardolino dub/SW-M</v>
      </c>
      <c r="M576" s="15" t="str">
        <f>Price!B576</f>
        <v>ZC7S550RH2</v>
      </c>
      <c r="N576" s="15" t="str">
        <f>Price!C576</f>
        <v>E01S</v>
      </c>
      <c r="O576" s="525">
        <f>Price!D576</f>
        <v>0</v>
      </c>
      <c r="P576" s="16"/>
      <c r="Q576" s="17">
        <f>Price!F576</f>
        <v>1187.04594</v>
      </c>
      <c r="R576" s="318"/>
      <c r="S576" s="318"/>
      <c r="T576" s="12">
        <f>Price!G576</f>
        <v>1039043</v>
      </c>
      <c r="U576" s="252">
        <f>Price!H576</f>
        <v>227741</v>
      </c>
      <c r="V576" s="13"/>
      <c r="W576" s="13"/>
      <c r="X576" s="19"/>
      <c r="Y576" s="19"/>
    </row>
    <row r="577" spans="1:25" x14ac:dyDescent="0.35">
      <c r="A577" s="77"/>
      <c r="B577" s="160"/>
      <c r="C577" s="160"/>
      <c r="D577" s="528"/>
      <c r="E577" s="83"/>
      <c r="F577" s="65"/>
      <c r="G577" s="65"/>
      <c r="H577" s="65"/>
      <c r="I577" s="171"/>
      <c r="J577" s="171"/>
      <c r="K577" s="72"/>
      <c r="L577" s="61" t="str">
        <f>Price!A577</f>
        <v>Zás.rámečky široké, 550mm, Tennessee oř./TS-M</v>
      </c>
      <c r="M577" s="15" t="str">
        <f>Price!B577</f>
        <v>ZC7S550RH2</v>
      </c>
      <c r="N577" s="15" t="str">
        <f>Price!C577</f>
        <v>N01T</v>
      </c>
      <c r="O577" s="525">
        <f>Price!D577</f>
        <v>0</v>
      </c>
      <c r="P577" s="16"/>
      <c r="Q577" s="17">
        <f>Price!F577</f>
        <v>1187.04594</v>
      </c>
      <c r="R577" s="318"/>
      <c r="S577" s="318"/>
      <c r="T577" s="12">
        <f>Price!G577</f>
        <v>7957654</v>
      </c>
      <c r="U577" s="252">
        <f>Price!H577</f>
        <v>227740</v>
      </c>
      <c r="V577" s="13"/>
      <c r="W577" s="13"/>
      <c r="X577" s="19"/>
      <c r="Y577" s="19"/>
    </row>
    <row r="578" spans="1:25" ht="15" thickBot="1" x14ac:dyDescent="0.4">
      <c r="A578" s="320" t="str">
        <f>IF(OR($C$2=1, $C$2=4),L578,IF($C$2=2,L579,IF($C$2=3,L580,IF($C$2=5,L580,"  chyba"))))</f>
        <v>Zás.rámečky široké, 600mm, Nebraska dub/OG-M</v>
      </c>
      <c r="B578" s="324" t="str">
        <f t="shared" ref="B578" si="649">IF(OR($C$2=1, $C$2=4),M578,IF($C$2=2,M579,IF($C$2=3,M580,IF($C$2=5,M580,"  chyba"))))</f>
        <v>ZC7S600RH2</v>
      </c>
      <c r="C578" s="324" t="str">
        <f t="shared" ref="C578" si="650">IF(OR($C$2=1, $C$2=4),N578,IF($C$2=2,N579,IF($C$2=3,N580,IF($C$2=5,N580,"  chyba"))))</f>
        <v>E02G</v>
      </c>
      <c r="D578" s="324">
        <f t="shared" ref="D578" si="651">IF(OR($C$2=1, $C$2=4),O578,IF($C$2=2,O579,IF($C$2=3,O580,IF($C$2=5,O580,"  chyba"))))</f>
        <v>0</v>
      </c>
      <c r="E578" s="321">
        <f t="shared" ref="E578" si="652">IF(OR($C$2=1, $C$2=4),P578,IF($C$2=2,P579,IF($C$2=3,P580,IF($C$2=5,P580,"  chyba"))))</f>
        <v>0</v>
      </c>
      <c r="F578" s="322">
        <f t="shared" ref="F578" si="653">IF(OR($C$2=1, $C$2=4),Q578,IF($C$2=2,Q579,IF($C$2=3,Q580,IF($C$2=5,Q580,"  chyba"))))</f>
        <v>1206.28352</v>
      </c>
      <c r="G578" s="323"/>
      <c r="H578" s="323"/>
      <c r="I578" s="325">
        <f t="shared" ref="I578" si="654">IF(OR($C$2=1, $C$2=4),T578,IF($C$2=2,T579,IF($C$2=3,T580,IF($C$2=5,T580,"  chyba"))))</f>
        <v>8044308</v>
      </c>
      <c r="J578" s="325">
        <f t="shared" ref="J578" si="655">IF(OR($C$2=1, $C$2=4),U578,IF($C$2=2,U579,IF($C$2=3,U580,IF($C$2=5,U580,"  chyba"))))</f>
        <v>227742</v>
      </c>
      <c r="K578" s="72"/>
      <c r="L578" s="61" t="str">
        <f>Price!A578</f>
        <v>Zás.rámečky široké, 600mm, Nebraska dub/OG-M</v>
      </c>
      <c r="M578" s="15" t="str">
        <f>Price!B578</f>
        <v>ZC7S600RH2</v>
      </c>
      <c r="N578" s="15" t="str">
        <f>Price!C578</f>
        <v>E02G</v>
      </c>
      <c r="O578" s="525">
        <f>Price!D578</f>
        <v>0</v>
      </c>
      <c r="P578" s="16"/>
      <c r="Q578" s="17">
        <f>Price!F578</f>
        <v>1206.28352</v>
      </c>
      <c r="R578" s="318"/>
      <c r="S578" s="318"/>
      <c r="T578" s="12">
        <f>Price!G578</f>
        <v>8044308</v>
      </c>
      <c r="U578" s="252">
        <f>Price!H578</f>
        <v>227742</v>
      </c>
      <c r="V578" s="13"/>
      <c r="W578" s="13"/>
      <c r="X578" s="19"/>
      <c r="Y578" s="19"/>
    </row>
    <row r="579" spans="1:25" x14ac:dyDescent="0.35">
      <c r="A579" s="77"/>
      <c r="B579" s="160"/>
      <c r="C579" s="160"/>
      <c r="D579" s="528"/>
      <c r="E579" s="78"/>
      <c r="F579" s="65"/>
      <c r="G579" s="65"/>
      <c r="H579" s="65"/>
      <c r="I579" s="171"/>
      <c r="J579" s="171"/>
      <c r="K579" s="72"/>
      <c r="L579" s="61" t="str">
        <f>Price!A579</f>
        <v>Zás.rámečky široké, 600mm, Bardolino dub/SW-M</v>
      </c>
      <c r="M579" s="15" t="str">
        <f>Price!B579</f>
        <v>ZC7S600RH2</v>
      </c>
      <c r="N579" s="15" t="str">
        <f>Price!C579</f>
        <v>E01S</v>
      </c>
      <c r="O579" s="525">
        <f>Price!D579</f>
        <v>0</v>
      </c>
      <c r="P579" s="16"/>
      <c r="Q579" s="17">
        <f>Price!F579</f>
        <v>1206.28352</v>
      </c>
      <c r="R579" s="318"/>
      <c r="S579" s="318"/>
      <c r="T579" s="12">
        <f>Price!G579</f>
        <v>3812565</v>
      </c>
      <c r="U579" s="252">
        <f>Price!H579</f>
        <v>227744</v>
      </c>
      <c r="V579" s="13"/>
      <c r="W579" s="13"/>
      <c r="X579" s="19"/>
      <c r="Y579" s="19"/>
    </row>
    <row r="580" spans="1:25" x14ac:dyDescent="0.35">
      <c r="A580" s="77"/>
      <c r="B580" s="160"/>
      <c r="C580" s="160"/>
      <c r="D580" s="528"/>
      <c r="E580" s="83"/>
      <c r="F580" s="65"/>
      <c r="G580" s="65"/>
      <c r="H580" s="65"/>
      <c r="I580" s="171"/>
      <c r="J580" s="171"/>
      <c r="K580" s="72"/>
      <c r="L580" s="61" t="str">
        <f>Price!A580</f>
        <v>Zás.rámečky široké, 600mm, Tennessee oř./TS-M</v>
      </c>
      <c r="M580" s="15" t="str">
        <f>Price!B580</f>
        <v>ZC7S600RH2</v>
      </c>
      <c r="N580" s="15" t="str">
        <f>Price!C580</f>
        <v>N01T</v>
      </c>
      <c r="O580" s="525">
        <f>Price!D580</f>
        <v>0</v>
      </c>
      <c r="P580" s="16"/>
      <c r="Q580" s="17">
        <f>Price!F580</f>
        <v>1206.28352</v>
      </c>
      <c r="R580" s="318"/>
      <c r="S580" s="318"/>
      <c r="T580" s="12">
        <f>Price!G580</f>
        <v>4599953</v>
      </c>
      <c r="U580" s="252">
        <f>Price!H580</f>
        <v>227743</v>
      </c>
      <c r="V580" s="13"/>
      <c r="W580" s="13"/>
      <c r="X580" s="19"/>
      <c r="Y580" s="19"/>
    </row>
    <row r="581" spans="1:25" ht="15" thickBot="1" x14ac:dyDescent="0.4">
      <c r="A581" s="320" t="str">
        <f>IF(OR($C$2=1, $C$2=4),L581,IF($C$2=2,L582,IF($C$2=3,L583,IF($C$2=5,L583,"  chyba"))))</f>
        <v>Zás.rámečky široké, 650mm, Nebraska dub/OG-M</v>
      </c>
      <c r="B581" s="324" t="str">
        <f t="shared" ref="B581" si="656">IF(OR($C$2=1, $C$2=4),M581,IF($C$2=2,M582,IF($C$2=3,M583,IF($C$2=5,M583,"  chyba"))))</f>
        <v>ZC7S650RH2</v>
      </c>
      <c r="C581" s="324" t="str">
        <f t="shared" ref="C581" si="657">IF(OR($C$2=1, $C$2=4),N581,IF($C$2=2,N582,IF($C$2=3,N583,IF($C$2=5,N583,"  chyba"))))</f>
        <v>E02G</v>
      </c>
      <c r="D581" s="324">
        <f t="shared" ref="D581" si="658">IF(OR($C$2=1, $C$2=4),O581,IF($C$2=2,O582,IF($C$2=3,O583,IF($C$2=5,O583,"  chyba"))))</f>
        <v>0</v>
      </c>
      <c r="E581" s="321">
        <f t="shared" ref="E581" si="659">IF(OR($C$2=1, $C$2=4),P581,IF($C$2=2,P582,IF($C$2=3,P583,IF($C$2=5,P583,"  chyba"))))</f>
        <v>0</v>
      </c>
      <c r="F581" s="322">
        <f t="shared" ref="F581" si="660">IF(OR($C$2=1, $C$2=4),Q581,IF($C$2=2,Q582,IF($C$2=3,Q583,IF($C$2=5,Q583,"  chyba"))))</f>
        <v>1225.51511</v>
      </c>
      <c r="G581" s="323"/>
      <c r="H581" s="323"/>
      <c r="I581" s="325">
        <f t="shared" ref="I581" si="661">IF(OR($C$2=1, $C$2=4),T581,IF($C$2=2,T582,IF($C$2=3,T583,IF($C$2=5,T583,"  chyba"))))</f>
        <v>2686598</v>
      </c>
      <c r="J581" s="325">
        <f t="shared" ref="J581" si="662">IF(OR($C$2=1, $C$2=4),U581,IF($C$2=2,U582,IF($C$2=3,U583,IF($C$2=5,U583,"  chyba"))))</f>
        <v>279423</v>
      </c>
      <c r="K581" s="72"/>
      <c r="L581" s="61" t="str">
        <f>Price!A581</f>
        <v>Zás.rámečky široké, 650mm, Nebraska dub/OG-M</v>
      </c>
      <c r="M581" s="15" t="str">
        <f>Price!B581</f>
        <v>ZC7S650RH2</v>
      </c>
      <c r="N581" s="15" t="str">
        <f>Price!C581</f>
        <v>E02G</v>
      </c>
      <c r="O581" s="525">
        <f>Price!D581</f>
        <v>0</v>
      </c>
      <c r="P581" s="16"/>
      <c r="Q581" s="17">
        <f>Price!F581</f>
        <v>1225.51511</v>
      </c>
      <c r="R581" s="318"/>
      <c r="S581" s="318"/>
      <c r="T581" s="12">
        <f>Price!G581</f>
        <v>2686598</v>
      </c>
      <c r="U581" s="252">
        <f>Price!H581</f>
        <v>279423</v>
      </c>
      <c r="V581" s="13"/>
      <c r="W581" s="13"/>
      <c r="X581" s="19"/>
      <c r="Y581" s="19"/>
    </row>
    <row r="582" spans="1:25" x14ac:dyDescent="0.35">
      <c r="A582" s="77"/>
      <c r="B582" s="160"/>
      <c r="C582" s="160"/>
      <c r="D582" s="528"/>
      <c r="E582" s="78"/>
      <c r="F582" s="65"/>
      <c r="G582" s="65"/>
      <c r="H582" s="65"/>
      <c r="I582" s="171"/>
      <c r="J582" s="171"/>
      <c r="K582" s="72"/>
      <c r="L582" s="61" t="str">
        <f>Price!A582</f>
        <v>Zás.rámečky široké, 650mm, Bardolino dub/SW-M</v>
      </c>
      <c r="M582" s="15" t="str">
        <f>Price!B582</f>
        <v>ZC7S650RH2</v>
      </c>
      <c r="N582" s="15" t="str">
        <f>Price!C582</f>
        <v>E01S</v>
      </c>
      <c r="O582" s="525">
        <f>Price!D582</f>
        <v>0</v>
      </c>
      <c r="P582" s="16"/>
      <c r="Q582" s="17">
        <f>Price!F582</f>
        <v>1225.51511</v>
      </c>
      <c r="R582" s="318"/>
      <c r="S582" s="318"/>
      <c r="T582" s="12">
        <f>Price!G582</f>
        <v>2559066</v>
      </c>
      <c r="U582" s="252">
        <f>Price!H582</f>
        <v>279424</v>
      </c>
      <c r="V582" s="13"/>
      <c r="W582" s="13"/>
      <c r="X582" s="19"/>
      <c r="Y582" s="19"/>
    </row>
    <row r="583" spans="1:25" x14ac:dyDescent="0.35">
      <c r="A583" s="77"/>
      <c r="B583" s="160"/>
      <c r="C583" s="160"/>
      <c r="D583" s="528"/>
      <c r="E583" s="83"/>
      <c r="F583" s="65"/>
      <c r="G583" s="65"/>
      <c r="H583" s="65"/>
      <c r="I583" s="171"/>
      <c r="J583" s="171"/>
      <c r="K583" s="72"/>
      <c r="L583" s="61" t="str">
        <f>Price!A583</f>
        <v>Zás.rámečky široké, 650mm, Tennessee oř./TS-M</v>
      </c>
      <c r="M583" s="15" t="str">
        <f>Price!B583</f>
        <v>ZC7S650RH2</v>
      </c>
      <c r="N583" s="15" t="str">
        <f>Price!C583</f>
        <v>N01T</v>
      </c>
      <c r="O583" s="525">
        <f>Price!D583</f>
        <v>0</v>
      </c>
      <c r="P583" s="16"/>
      <c r="Q583" s="17">
        <f>Price!F583</f>
        <v>1225.51511</v>
      </c>
      <c r="R583" s="318"/>
      <c r="S583" s="318"/>
      <c r="T583" s="12">
        <f>Price!G583</f>
        <v>2886048</v>
      </c>
      <c r="U583" s="252">
        <f>Price!H583</f>
        <v>279425</v>
      </c>
      <c r="V583" s="13"/>
      <c r="W583" s="13"/>
      <c r="X583" s="19"/>
      <c r="Y583" s="19"/>
    </row>
    <row r="584" spans="1:25" ht="15" thickBot="1" x14ac:dyDescent="0.4">
      <c r="A584" s="320" t="str">
        <f>IF(OR($C$2=1, $C$2=4),L584,IF($C$2=2,L585,IF($C$2=3,L586,IF($C$2=5,L586,"  chyba"))))</f>
        <v>Samostatná příčka, 50/200mm, Nebraska dub</v>
      </c>
      <c r="B584" s="324" t="str">
        <f t="shared" ref="B584" si="663">IF(OR($C$2=1, $C$2=4),M584,IF($C$2=2,M585,IF($C$2=3,M586,IF($C$2=5,M586,"  chyba"))))</f>
        <v>ZC7Q020SH</v>
      </c>
      <c r="C584" s="324" t="str">
        <f t="shared" ref="C584" si="664">IF(OR($C$2=1, $C$2=4),N584,IF($C$2=2,N585,IF($C$2=3,N586,IF($C$2=5,N586,"  chyba"))))</f>
        <v>E02G</v>
      </c>
      <c r="D584" s="324" t="str">
        <f t="shared" ref="D584" si="665">IF(OR($C$2=1, $C$2=4),O584,IF($C$2=2,O585,IF($C$2=3,O586,IF($C$2=5,O586,"  chyba"))))</f>
        <v>!</v>
      </c>
      <c r="E584" s="321">
        <f t="shared" ref="E584" si="666">IF(OR($C$2=1, $C$2=4),P584,IF($C$2=2,P585,IF($C$2=3,P586,IF($C$2=5,P586,"  chyba"))))</f>
        <v>0</v>
      </c>
      <c r="F584" s="322">
        <f t="shared" ref="F584" si="667">IF(OR($C$2=1, $C$2=4),Q584,IF($C$2=2,Q585,IF($C$2=3,Q586,IF($C$2=5,Q586,"  chyba"))))</f>
        <v>199.21817999999999</v>
      </c>
      <c r="G584" s="323"/>
      <c r="H584" s="323"/>
      <c r="I584" s="325">
        <f t="shared" ref="I584" si="668">IF(OR($C$2=1, $C$2=4),T584,IF($C$2=2,T585,IF($C$2=3,T586,IF($C$2=5,T586,"  chyba"))))</f>
        <v>1408697</v>
      </c>
      <c r="J584" s="325">
        <f t="shared" ref="J584" si="669">IF(OR($C$2=1, $C$2=4),U584,IF($C$2=2,U585,IF($C$2=3,U586,IF($C$2=5,U586,"  chyba"))))</f>
        <v>227745</v>
      </c>
      <c r="K584" s="72"/>
      <c r="L584" s="61" t="str">
        <f>Price!A584</f>
        <v>Samostatná příčka, 50/200mm, Nebraska dub</v>
      </c>
      <c r="M584" s="15" t="str">
        <f>Price!B584</f>
        <v>ZC7Q020SH</v>
      </c>
      <c r="N584" s="15" t="str">
        <f>Price!C584</f>
        <v>E02G</v>
      </c>
      <c r="O584" s="525" t="str">
        <f>Price!D584</f>
        <v>!</v>
      </c>
      <c r="P584" s="16"/>
      <c r="Q584" s="17">
        <f>Price!F584</f>
        <v>199.21817999999999</v>
      </c>
      <c r="R584" s="318"/>
      <c r="S584" s="318"/>
      <c r="T584" s="12">
        <f>Price!G584</f>
        <v>1408697</v>
      </c>
      <c r="U584" s="252">
        <f>Price!H584</f>
        <v>227745</v>
      </c>
      <c r="V584" s="13"/>
      <c r="W584" s="13"/>
      <c r="X584" s="19"/>
      <c r="Y584" s="19"/>
    </row>
    <row r="585" spans="1:25" x14ac:dyDescent="0.35">
      <c r="A585" s="77"/>
      <c r="B585" s="160"/>
      <c r="C585" s="160"/>
      <c r="D585" s="528"/>
      <c r="E585" s="83"/>
      <c r="F585" s="65"/>
      <c r="G585" s="65"/>
      <c r="H585" s="65"/>
      <c r="I585" s="171"/>
      <c r="J585" s="171"/>
      <c r="K585" s="63"/>
      <c r="L585" s="61" t="str">
        <f>Price!A585</f>
        <v>Samostatná příčka, 50/200mm, Bardolino dub</v>
      </c>
      <c r="M585" s="15" t="str">
        <f>Price!B585</f>
        <v>ZC7Q020SH</v>
      </c>
      <c r="N585" s="15" t="str">
        <f>Price!C585</f>
        <v>E01S</v>
      </c>
      <c r="O585" s="525" t="str">
        <f>Price!D585</f>
        <v>!</v>
      </c>
      <c r="P585" s="16"/>
      <c r="Q585" s="17">
        <f>Price!F585</f>
        <v>199.21817999999999</v>
      </c>
      <c r="R585" s="318"/>
      <c r="S585" s="318"/>
      <c r="T585" s="12">
        <f>Price!G585</f>
        <v>2073881</v>
      </c>
      <c r="U585" s="252">
        <f>Price!H585</f>
        <v>227747</v>
      </c>
      <c r="V585" s="13"/>
      <c r="W585" s="13"/>
      <c r="X585" s="19"/>
      <c r="Y585" s="19"/>
    </row>
    <row r="586" spans="1:25" x14ac:dyDescent="0.35">
      <c r="A586" s="77"/>
      <c r="B586" s="160"/>
      <c r="C586" s="160"/>
      <c r="D586" s="528"/>
      <c r="E586" s="78"/>
      <c r="F586" s="65"/>
      <c r="G586" s="65"/>
      <c r="H586" s="65"/>
      <c r="I586" s="171"/>
      <c r="J586" s="171"/>
      <c r="K586" s="63"/>
      <c r="L586" s="61" t="str">
        <f>Price!A586</f>
        <v>Samostatná příčka, 50/200mm, Tennessee ořech</v>
      </c>
      <c r="M586" s="15" t="str">
        <f>Price!B586</f>
        <v>ZC7Q020SH</v>
      </c>
      <c r="N586" s="15" t="str">
        <f>Price!C586</f>
        <v>N01T</v>
      </c>
      <c r="O586" s="525" t="str">
        <f>Price!D586</f>
        <v>!</v>
      </c>
      <c r="P586" s="16"/>
      <c r="Q586" s="17">
        <f>Price!F586</f>
        <v>199.21817999999999</v>
      </c>
      <c r="R586" s="318"/>
      <c r="S586" s="318"/>
      <c r="T586" s="12">
        <f>Price!G586</f>
        <v>1552689</v>
      </c>
      <c r="U586" s="252">
        <f>Price!H586</f>
        <v>227746</v>
      </c>
      <c r="V586" s="13"/>
      <c r="W586" s="13"/>
      <c r="X586" s="19"/>
      <c r="Y586" s="19"/>
    </row>
    <row r="587" spans="1:25" x14ac:dyDescent="0.35">
      <c r="A587" s="77"/>
      <c r="B587" s="160"/>
      <c r="C587" s="160"/>
      <c r="D587" s="528"/>
      <c r="E587" s="83"/>
      <c r="F587" s="65"/>
      <c r="G587" s="65"/>
      <c r="H587" s="65"/>
      <c r="I587" s="171"/>
      <c r="J587" s="171"/>
      <c r="K587" s="63"/>
      <c r="L587" s="61">
        <f>Price!A587</f>
        <v>0</v>
      </c>
      <c r="M587" s="15">
        <f>Price!B587</f>
        <v>0</v>
      </c>
      <c r="N587" s="15">
        <f>Price!C587</f>
        <v>0</v>
      </c>
      <c r="O587" s="525">
        <f>Price!D587</f>
        <v>0</v>
      </c>
      <c r="P587" s="16"/>
      <c r="Q587" s="17">
        <f>Price!F587</f>
        <v>0</v>
      </c>
      <c r="R587" s="318"/>
      <c r="S587" s="318"/>
      <c r="T587" s="12">
        <f>Price!G587</f>
        <v>0</v>
      </c>
      <c r="U587" s="252">
        <f>Price!H587</f>
        <v>0</v>
      </c>
      <c r="V587" s="13"/>
      <c r="W587" s="13"/>
      <c r="X587" s="19"/>
      <c r="Y587" s="19"/>
    </row>
    <row r="588" spans="1:25" ht="15" thickBot="1" x14ac:dyDescent="0.4">
      <c r="A588" s="320" t="str">
        <f>IF(OR($C$2=1, $C$2=4),L588,IF($C$2=2,L589,IF($C$2=3,L590,IF($C$2=5,L590,"  chyba"))))</f>
        <v>Zásuvkové rámečky, od 270mm, Nebraska/OG-M</v>
      </c>
      <c r="B588" s="324" t="str">
        <f t="shared" ref="B588" si="670">IF(OR($C$2=1, $C$2=4),M588,IF($C$2=2,M589,IF($C$2=3,M590,IF($C$2=5,M590,"  chyba"))))</f>
        <v>ZC7S300RHU</v>
      </c>
      <c r="C588" s="324" t="str">
        <f t="shared" ref="C588" si="671">IF(OR($C$2=1, $C$2=4),N588,IF($C$2=2,N589,IF($C$2=3,N590,IF($C$2=5,N590,"  chyba"))))</f>
        <v>E02G</v>
      </c>
      <c r="D588" s="324">
        <f t="shared" ref="D588" si="672">IF(OR($C$2=1, $C$2=4),O588,IF($C$2=2,O589,IF($C$2=3,O590,IF($C$2=5,O590,"  chyba"))))</f>
        <v>0</v>
      </c>
      <c r="E588" s="321">
        <f t="shared" ref="E588" si="673">IF(OR($C$2=1, $C$2=4),P588,IF($C$2=2,P589,IF($C$2=3,P590,IF($C$2=5,P590,"  chyba"))))</f>
        <v>0</v>
      </c>
      <c r="F588" s="322">
        <f t="shared" ref="F588" si="674">IF(OR($C$2=1, $C$2=4),Q588,IF($C$2=2,Q589,IF($C$2=3,Q590,IF($C$2=5,Q590,"  chyba"))))</f>
        <v>1305.20226</v>
      </c>
      <c r="G588" s="323"/>
      <c r="H588" s="323"/>
      <c r="I588" s="325">
        <f t="shared" ref="I588" si="675">IF(OR($C$2=1, $C$2=4),T588,IF($C$2=2,T589,IF($C$2=3,T590,IF($C$2=5,T590,"  chyba"))))</f>
        <v>3149094</v>
      </c>
      <c r="J588" s="325">
        <f t="shared" ref="J588" si="676">IF(OR($C$2=1, $C$2=4),U588,IF($C$2=2,U589,IF($C$2=3,U590,IF($C$2=5,U590,"  chyba"))))</f>
        <v>227711</v>
      </c>
      <c r="K588" s="63"/>
      <c r="L588" s="61" t="str">
        <f>Price!A588</f>
        <v>Zásuvkové rámečky, od 270mm, Nebraska/OG-M</v>
      </c>
      <c r="M588" s="15" t="str">
        <f>Price!B588</f>
        <v>ZC7S300RHU</v>
      </c>
      <c r="N588" s="15" t="str">
        <f>Price!C588</f>
        <v>E02G</v>
      </c>
      <c r="O588" s="525">
        <f>Price!D588</f>
        <v>0</v>
      </c>
      <c r="P588" s="16"/>
      <c r="Q588" s="17">
        <f>Price!F588</f>
        <v>1305.20226</v>
      </c>
      <c r="R588" s="318"/>
      <c r="S588" s="318"/>
      <c r="T588" s="12">
        <f>Price!G588</f>
        <v>3149094</v>
      </c>
      <c r="U588" s="252">
        <f>Price!H588</f>
        <v>227711</v>
      </c>
      <c r="V588" s="13"/>
      <c r="W588" s="13"/>
      <c r="X588" s="19"/>
      <c r="Y588" s="19"/>
    </row>
    <row r="589" spans="1:25" x14ac:dyDescent="0.35">
      <c r="A589" s="79"/>
      <c r="B589" s="161"/>
      <c r="C589" s="161"/>
      <c r="D589" s="529"/>
      <c r="E589" s="78"/>
      <c r="F589" s="67"/>
      <c r="G589" s="67"/>
      <c r="H589" s="67"/>
      <c r="I589" s="170"/>
      <c r="J589" s="170"/>
      <c r="K589" s="62"/>
      <c r="L589" s="61" t="str">
        <f>Price!A589</f>
        <v>Zásuvkové rámečky, od 270mm, Bardolino/SW-M</v>
      </c>
      <c r="M589" s="15" t="str">
        <f>Price!B589</f>
        <v>ZC7S300RHU</v>
      </c>
      <c r="N589" s="15" t="str">
        <f>Price!C589</f>
        <v>E01S</v>
      </c>
      <c r="O589" s="525">
        <f>Price!D589</f>
        <v>0</v>
      </c>
      <c r="P589" s="16"/>
      <c r="Q589" s="17">
        <f>Price!F589</f>
        <v>1305.20226</v>
      </c>
      <c r="R589" s="318"/>
      <c r="S589" s="318"/>
      <c r="T589" s="12">
        <f>Price!G589</f>
        <v>9116345</v>
      </c>
      <c r="U589" s="252">
        <f>Price!H589</f>
        <v>227713</v>
      </c>
      <c r="V589" s="13"/>
      <c r="W589" s="13"/>
      <c r="X589" s="19"/>
      <c r="Y589" s="19"/>
    </row>
    <row r="590" spans="1:25" x14ac:dyDescent="0.35">
      <c r="A590" s="77"/>
      <c r="B590" s="160"/>
      <c r="C590" s="160"/>
      <c r="D590" s="528"/>
      <c r="E590" s="78"/>
      <c r="F590" s="65"/>
      <c r="G590" s="65"/>
      <c r="H590" s="65"/>
      <c r="I590" s="171"/>
      <c r="J590" s="171"/>
      <c r="K590" s="63"/>
      <c r="L590" s="61" t="str">
        <f>Price!A590</f>
        <v>Zásuvkové rámečky, od 270mm, Tennessee/TS-M</v>
      </c>
      <c r="M590" s="15" t="str">
        <f>Price!B590</f>
        <v>ZC7S300RHU</v>
      </c>
      <c r="N590" s="15" t="str">
        <f>Price!C590</f>
        <v>N01T</v>
      </c>
      <c r="O590" s="525">
        <f>Price!D590</f>
        <v>0</v>
      </c>
      <c r="P590" s="16"/>
      <c r="Q590" s="17">
        <f>Price!F590</f>
        <v>1305.20226</v>
      </c>
      <c r="R590" s="318"/>
      <c r="S590" s="318"/>
      <c r="T590" s="12">
        <f>Price!G590</f>
        <v>7375058</v>
      </c>
      <c r="U590" s="252">
        <f>Price!H590</f>
        <v>227712</v>
      </c>
      <c r="V590" s="13"/>
      <c r="W590" s="13"/>
      <c r="X590" s="19"/>
      <c r="Y590" s="19"/>
    </row>
    <row r="591" spans="1:25" ht="15" thickBot="1" x14ac:dyDescent="0.4">
      <c r="A591" s="320" t="str">
        <f>IF(OR($C$2=1, $C$2=4),L591,IF($C$2=2,L592,IF($C$2=3,L593,IF($C$2=5,L593,"  chyba"))))</f>
        <v>Samostatná příčka, 50/242mm, Nebraska dub</v>
      </c>
      <c r="B591" s="324" t="str">
        <f t="shared" ref="B591" si="677">IF(OR($C$2=1, $C$2=4),M591,IF($C$2=2,M592,IF($C$2=3,M593,IF($C$2=5,M593,"  chyba"))))</f>
        <v>ZC7Q0U0SH</v>
      </c>
      <c r="C591" s="324" t="str">
        <f t="shared" ref="C591" si="678">IF(OR($C$2=1, $C$2=4),N591,IF($C$2=2,N592,IF($C$2=3,N593,IF($C$2=5,N593,"  chyba"))))</f>
        <v>E02G</v>
      </c>
      <c r="D591" s="324" t="str">
        <f t="shared" ref="D591" si="679">IF(OR($C$2=1, $C$2=4),O591,IF($C$2=2,O592,IF($C$2=3,O593,IF($C$2=5,O593,"  chyba"))))</f>
        <v>!</v>
      </c>
      <c r="E591" s="321">
        <f t="shared" ref="E591" si="680">IF(OR($C$2=1, $C$2=4),P591,IF($C$2=2,P592,IF($C$2=3,P593,IF($C$2=5,P593,"  chyba"))))</f>
        <v>0</v>
      </c>
      <c r="F591" s="322">
        <f t="shared" ref="F591" si="681">IF(OR($C$2=1, $C$2=4),Q591,IF($C$2=2,Q592,IF($C$2=3,Q593,IF($C$2=5,Q593,"  chyba"))))</f>
        <v>209.51836</v>
      </c>
      <c r="G591" s="323"/>
      <c r="H591" s="323"/>
      <c r="I591" s="325">
        <f t="shared" ref="I591" si="682">IF(OR($C$2=1, $C$2=4),T591,IF($C$2=2,T592,IF($C$2=3,T593,IF($C$2=5,T593,"  chyba"))))</f>
        <v>5670971</v>
      </c>
      <c r="J591" s="325">
        <f t="shared" ref="J591" si="683">IF(OR($C$2=1, $C$2=4),U591,IF($C$2=2,U592,IF($C$2=3,U593,IF($C$2=5,U593,"  chyba"))))</f>
        <v>227716</v>
      </c>
      <c r="K591" s="63"/>
      <c r="L591" s="61" t="str">
        <f>Price!A591</f>
        <v>Samostatná příčka, 50/242mm, Nebraska dub</v>
      </c>
      <c r="M591" s="15" t="str">
        <f>Price!B591</f>
        <v>ZC7Q0U0SH</v>
      </c>
      <c r="N591" s="15" t="str">
        <f>Price!C591</f>
        <v>E02G</v>
      </c>
      <c r="O591" s="525" t="str">
        <f>Price!D591</f>
        <v>!</v>
      </c>
      <c r="P591" s="16"/>
      <c r="Q591" s="17">
        <f>Price!F591</f>
        <v>209.51836</v>
      </c>
      <c r="R591" s="318"/>
      <c r="S591" s="318"/>
      <c r="T591" s="12">
        <f>Price!G591</f>
        <v>5670971</v>
      </c>
      <c r="U591" s="252">
        <f>Price!H591</f>
        <v>227716</v>
      </c>
      <c r="V591" s="13"/>
      <c r="W591" s="13"/>
      <c r="X591" s="19"/>
      <c r="Y591" s="19"/>
    </row>
    <row r="592" spans="1:25" x14ac:dyDescent="0.35">
      <c r="A592" s="77"/>
      <c r="B592" s="160"/>
      <c r="C592" s="160"/>
      <c r="D592" s="528"/>
      <c r="E592" s="83"/>
      <c r="F592" s="65"/>
      <c r="G592" s="65"/>
      <c r="H592" s="65"/>
      <c r="I592" s="171"/>
      <c r="J592" s="171"/>
      <c r="K592" s="63"/>
      <c r="L592" s="61" t="str">
        <f>Price!A592</f>
        <v>Samostatná příčka, 50/242mm, Bardolino dub</v>
      </c>
      <c r="M592" s="15" t="str">
        <f>Price!B592</f>
        <v>ZC7Q0U0SH</v>
      </c>
      <c r="N592" s="15" t="str">
        <f>Price!C592</f>
        <v>E01S</v>
      </c>
      <c r="O592" s="525" t="str">
        <f>Price!D592</f>
        <v>!</v>
      </c>
      <c r="P592" s="16"/>
      <c r="Q592" s="17">
        <f>Price!F592</f>
        <v>209.51836</v>
      </c>
      <c r="R592" s="318"/>
      <c r="S592" s="318"/>
      <c r="T592" s="12">
        <f>Price!G592</f>
        <v>3458747</v>
      </c>
      <c r="U592" s="252">
        <f>Price!H592</f>
        <v>227714</v>
      </c>
      <c r="V592" s="13"/>
      <c r="W592" s="13"/>
      <c r="X592" s="19"/>
      <c r="Y592" s="19"/>
    </row>
    <row r="593" spans="1:25" x14ac:dyDescent="0.35">
      <c r="A593" s="79"/>
      <c r="B593" s="161"/>
      <c r="C593" s="161"/>
      <c r="D593" s="529"/>
      <c r="E593" s="78"/>
      <c r="F593" s="67"/>
      <c r="G593" s="67"/>
      <c r="H593" s="67"/>
      <c r="I593" s="170"/>
      <c r="J593" s="170"/>
      <c r="K593" s="63"/>
      <c r="L593" s="61" t="str">
        <f>Price!A593</f>
        <v>Samostatná příčka, 50/242mm, Tennessee ořech</v>
      </c>
      <c r="M593" s="15" t="str">
        <f>Price!B593</f>
        <v>ZC7Q0U0SH</v>
      </c>
      <c r="N593" s="15" t="str">
        <f>Price!C593</f>
        <v>N01T</v>
      </c>
      <c r="O593" s="525" t="str">
        <f>Price!D593</f>
        <v>!</v>
      </c>
      <c r="P593" s="16"/>
      <c r="Q593" s="17">
        <f>Price!F593</f>
        <v>209.51836</v>
      </c>
      <c r="R593" s="318"/>
      <c r="S593" s="318"/>
      <c r="T593" s="12">
        <f>Price!G593</f>
        <v>8042885</v>
      </c>
      <c r="U593" s="252">
        <f>Price!H593</f>
        <v>227715</v>
      </c>
      <c r="V593" s="13"/>
      <c r="W593" s="13"/>
      <c r="X593" s="19"/>
      <c r="Y593" s="19"/>
    </row>
    <row r="594" spans="1:25" x14ac:dyDescent="0.35">
      <c r="A594" s="77"/>
      <c r="B594" s="160"/>
      <c r="C594" s="160"/>
      <c r="D594" s="528"/>
      <c r="E594" s="78"/>
      <c r="F594" s="65"/>
      <c r="G594" s="65"/>
      <c r="H594" s="65"/>
      <c r="I594" s="171"/>
      <c r="J594" s="171"/>
      <c r="K594" s="63"/>
      <c r="L594" s="61">
        <f>Price!A594</f>
        <v>0</v>
      </c>
      <c r="M594" s="15">
        <f>Price!B594</f>
        <v>0</v>
      </c>
      <c r="N594" s="15">
        <f>Price!C594</f>
        <v>0</v>
      </c>
      <c r="O594" s="525">
        <f>Price!D594</f>
        <v>0</v>
      </c>
      <c r="P594" s="16"/>
      <c r="Q594" s="17">
        <f>Price!F594</f>
        <v>0</v>
      </c>
      <c r="R594" s="318"/>
      <c r="S594" s="318"/>
      <c r="T594" s="12">
        <f>Price!G594</f>
        <v>0</v>
      </c>
      <c r="U594" s="252">
        <f>Price!H594</f>
        <v>0</v>
      </c>
      <c r="V594" s="13"/>
      <c r="W594" s="13"/>
      <c r="X594" s="19"/>
      <c r="Y594" s="19"/>
    </row>
    <row r="595" spans="1:25" x14ac:dyDescent="0.35">
      <c r="A595" s="77"/>
      <c r="B595" s="160"/>
      <c r="C595" s="160"/>
      <c r="D595" s="528"/>
      <c r="E595" s="83"/>
      <c r="F595" s="65"/>
      <c r="G595" s="65"/>
      <c r="H595" s="65"/>
      <c r="I595" s="171"/>
      <c r="J595" s="171"/>
      <c r="K595" s="63"/>
      <c r="L595" s="61">
        <f>Price!A595</f>
        <v>0</v>
      </c>
      <c r="M595" s="15">
        <f>Price!B595</f>
        <v>0</v>
      </c>
      <c r="N595" s="15">
        <f>Price!C595</f>
        <v>0</v>
      </c>
      <c r="O595" s="525">
        <f>Price!D595</f>
        <v>0</v>
      </c>
      <c r="P595" s="16"/>
      <c r="Q595" s="17">
        <f>Price!F595</f>
        <v>0</v>
      </c>
      <c r="R595" s="318"/>
      <c r="S595" s="318"/>
      <c r="T595" s="12">
        <f>Price!G595</f>
        <v>0</v>
      </c>
      <c r="U595" s="252">
        <f>Price!H595</f>
        <v>0</v>
      </c>
      <c r="V595" s="13"/>
      <c r="W595" s="13"/>
      <c r="X595" s="19"/>
      <c r="Y595" s="19"/>
    </row>
    <row r="596" spans="1:25" x14ac:dyDescent="0.35">
      <c r="A596" s="77"/>
      <c r="B596" s="160"/>
      <c r="C596" s="160"/>
      <c r="D596" s="528"/>
      <c r="E596" s="83"/>
      <c r="F596" s="65"/>
      <c r="G596" s="65"/>
      <c r="H596" s="65"/>
      <c r="I596" s="171"/>
      <c r="J596" s="171"/>
      <c r="K596" s="20"/>
      <c r="L596" s="61" t="str">
        <f>Price!A596</f>
        <v xml:space="preserve">   AMBIA-LINE pro čelní výsuvy, dřevěný design</v>
      </c>
      <c r="M596" s="15">
        <f>Price!B596</f>
        <v>0</v>
      </c>
      <c r="N596" s="15">
        <f>Price!C596</f>
        <v>0</v>
      </c>
      <c r="O596" s="525">
        <f>Price!D596</f>
        <v>0</v>
      </c>
      <c r="P596" s="16"/>
      <c r="Q596" s="17">
        <f>Price!F596</f>
        <v>0</v>
      </c>
      <c r="R596" s="318"/>
      <c r="S596" s="318"/>
      <c r="T596" s="12">
        <f>Price!G596</f>
        <v>0</v>
      </c>
      <c r="U596" s="252">
        <f>Price!H596</f>
        <v>0</v>
      </c>
      <c r="V596" s="13"/>
      <c r="W596" s="13"/>
      <c r="X596" s="19"/>
      <c r="Y596" s="19"/>
    </row>
    <row r="597" spans="1:25" ht="15" thickBot="1" x14ac:dyDescent="0.4">
      <c r="A597" s="320" t="str">
        <f>IF(OR($C$2=1, $C$2=4),L597,IF($C$2=2,L598,IF($C$2=3,L599,IF($C$2=5,L599,"  chyba"))))</f>
        <v>Rámečky pro výsuvy, od 270mm, Nebraska/OG-M</v>
      </c>
      <c r="B597" s="324" t="str">
        <f t="shared" ref="B597" si="684">IF(OR($C$2=1, $C$2=4),M597,IF($C$2=2,M598,IF($C$2=3,M599,IF($C$2=5,M599,"  chyba"))))</f>
        <v>ZC7F300RHU</v>
      </c>
      <c r="C597" s="324" t="str">
        <f t="shared" ref="C597" si="685">IF(OR($C$2=1, $C$2=4),N597,IF($C$2=2,N598,IF($C$2=3,N599,IF($C$2=5,N599,"  chyba"))))</f>
        <v>E02G</v>
      </c>
      <c r="D597" s="324" t="str">
        <f t="shared" ref="D597" si="686">IF(OR($C$2=1, $C$2=4),O597,IF($C$2=2,O598,IF($C$2=3,O599,IF($C$2=5,O599,"  chyba"))))</f>
        <v>!</v>
      </c>
      <c r="E597" s="321">
        <f t="shared" ref="E597" si="687">IF(OR($C$2=1, $C$2=4),P597,IF($C$2=2,P598,IF($C$2=3,P599,IF($C$2=5,P599,"  chyba"))))</f>
        <v>0</v>
      </c>
      <c r="F597" s="322">
        <f t="shared" ref="F597" si="688">IF(OR($C$2=1, $C$2=4),Q597,IF($C$2=2,Q598,IF($C$2=3,Q599,IF($C$2=5,Q599,"  chyba"))))</f>
        <v>1373.89653</v>
      </c>
      <c r="G597" s="323"/>
      <c r="H597" s="323"/>
      <c r="I597" s="325">
        <f t="shared" ref="I597" si="689">IF(OR($C$2=1, $C$2=4),T597,IF($C$2=2,T598,IF($C$2=3,T599,IF($C$2=5,T599,"  chyba"))))</f>
        <v>9613823</v>
      </c>
      <c r="J597" s="325">
        <f t="shared" ref="J597" si="690">IF(OR($C$2=1, $C$2=4),U597,IF($C$2=2,U598,IF($C$2=3,U599,IF($C$2=5,U599,"  chyba"))))</f>
        <v>227748</v>
      </c>
      <c r="K597" s="20"/>
      <c r="L597" s="61" t="str">
        <f>Price!A597</f>
        <v>Rámečky pro výsuvy, od 270mm, Nebraska/OG-M</v>
      </c>
      <c r="M597" s="15" t="str">
        <f>Price!B597</f>
        <v>ZC7F300RHU</v>
      </c>
      <c r="N597" s="15" t="str">
        <f>Price!C597</f>
        <v>E02G</v>
      </c>
      <c r="O597" s="525" t="str">
        <f>Price!D597</f>
        <v>!</v>
      </c>
      <c r="P597" s="16"/>
      <c r="Q597" s="17">
        <f>Price!F597</f>
        <v>1373.89653</v>
      </c>
      <c r="R597" s="318"/>
      <c r="S597" s="318"/>
      <c r="T597" s="12">
        <f>Price!G597</f>
        <v>9613823</v>
      </c>
      <c r="U597" s="252">
        <f>Price!H597</f>
        <v>227748</v>
      </c>
      <c r="V597" s="13"/>
      <c r="W597" s="13"/>
      <c r="X597" s="19"/>
      <c r="Y597" s="19"/>
    </row>
    <row r="598" spans="1:25" x14ac:dyDescent="0.35">
      <c r="A598" s="77"/>
      <c r="B598" s="160"/>
      <c r="C598" s="160"/>
      <c r="D598" s="528"/>
      <c r="E598" s="83"/>
      <c r="F598" s="65"/>
      <c r="G598" s="65"/>
      <c r="H598" s="65"/>
      <c r="I598" s="171"/>
      <c r="J598" s="171"/>
      <c r="K598" s="20"/>
      <c r="L598" s="61" t="str">
        <f>Price!A598</f>
        <v>Rámečky pro výsuvy, od 270mm, Bardolino/SW-M</v>
      </c>
      <c r="M598" s="15" t="str">
        <f>Price!B598</f>
        <v>ZC7F300RHU</v>
      </c>
      <c r="N598" s="15" t="str">
        <f>Price!C598</f>
        <v>E01S</v>
      </c>
      <c r="O598" s="525" t="str">
        <f>Price!D598</f>
        <v>!</v>
      </c>
      <c r="P598" s="16"/>
      <c r="Q598" s="17">
        <f>Price!F598</f>
        <v>1373.89653</v>
      </c>
      <c r="R598" s="318"/>
      <c r="S598" s="318"/>
      <c r="T598" s="12">
        <f>Price!G598</f>
        <v>3670050</v>
      </c>
      <c r="U598" s="252">
        <f>Price!H598</f>
        <v>227750</v>
      </c>
      <c r="V598" s="13"/>
      <c r="W598" s="13"/>
      <c r="X598" s="19"/>
      <c r="Y598" s="19"/>
    </row>
    <row r="599" spans="1:25" x14ac:dyDescent="0.35">
      <c r="A599" s="77"/>
      <c r="B599" s="160"/>
      <c r="C599" s="160"/>
      <c r="D599" s="528"/>
      <c r="E599" s="83"/>
      <c r="F599" s="65"/>
      <c r="G599" s="65"/>
      <c r="H599" s="65"/>
      <c r="I599" s="171"/>
      <c r="J599" s="171"/>
      <c r="K599" s="63"/>
      <c r="L599" s="61" t="str">
        <f>Price!A599</f>
        <v>Rámečky pro výsuvy, od 270mm, Tennessee/TS-M</v>
      </c>
      <c r="M599" s="15" t="str">
        <f>Price!B599</f>
        <v>ZC7F300RHU</v>
      </c>
      <c r="N599" s="15" t="str">
        <f>Price!C599</f>
        <v>N01T</v>
      </c>
      <c r="O599" s="525" t="str">
        <f>Price!D599</f>
        <v>!</v>
      </c>
      <c r="P599" s="16"/>
      <c r="Q599" s="17">
        <f>Price!F599</f>
        <v>1373.89653</v>
      </c>
      <c r="R599" s="318"/>
      <c r="S599" s="318"/>
      <c r="T599" s="12">
        <f>Price!G599</f>
        <v>3493503</v>
      </c>
      <c r="U599" s="252">
        <f>Price!H599</f>
        <v>227749</v>
      </c>
      <c r="V599" s="13"/>
      <c r="W599" s="13"/>
      <c r="X599" s="19"/>
      <c r="Y599" s="19"/>
    </row>
    <row r="600" spans="1:25" ht="15" thickBot="1" x14ac:dyDescent="0.4">
      <c r="A600" s="320" t="str">
        <f>IF(OR($C$2=1, $C$2=4),L600,IF($C$2=2,L601,IF($C$2=3,L602,IF($C$2=5,L602,"  chyba"))))</f>
        <v>Samostatná příčka, 100/242mm, Nebraska dub</v>
      </c>
      <c r="B600" s="324" t="str">
        <f t="shared" ref="B600" si="691">IF(OR($C$2=1, $C$2=4),M600,IF($C$2=2,M601,IF($C$2=3,M602,IF($C$2=5,M602,"  chyba"))))</f>
        <v>ZC7Q0U0FH</v>
      </c>
      <c r="C600" s="324" t="str">
        <f t="shared" ref="C600" si="692">IF(OR($C$2=1, $C$2=4),N600,IF($C$2=2,N601,IF($C$2=3,N602,IF($C$2=5,N602,"  chyba"))))</f>
        <v>E02G</v>
      </c>
      <c r="D600" s="324" t="str">
        <f t="shared" ref="D600" si="693">IF(OR($C$2=1, $C$2=4),O600,IF($C$2=2,O601,IF($C$2=3,O602,IF($C$2=5,O602,"  chyba"))))</f>
        <v>!</v>
      </c>
      <c r="E600" s="321">
        <f t="shared" ref="E600" si="694">IF(OR($C$2=1, $C$2=4),P600,IF($C$2=2,P601,IF($C$2=3,P602,IF($C$2=5,P602,"  chyba"))))</f>
        <v>0</v>
      </c>
      <c r="F600" s="322">
        <f t="shared" ref="F600" si="695">IF(OR($C$2=1, $C$2=4),Q600,IF($C$2=2,Q601,IF($C$2=3,Q602,IF($C$2=5,Q602,"  chyba"))))</f>
        <v>226.69444999999999</v>
      </c>
      <c r="G600" s="323"/>
      <c r="H600" s="323"/>
      <c r="I600" s="325">
        <f t="shared" ref="I600" si="696">IF(OR($C$2=1, $C$2=4),T600,IF($C$2=2,T601,IF($C$2=3,T602,IF($C$2=5,T602,"  chyba"))))</f>
        <v>7307581</v>
      </c>
      <c r="J600" s="325">
        <f t="shared" ref="J600" si="697">IF(OR($C$2=1, $C$2=4),U600,IF($C$2=2,U601,IF($C$2=3,U602,IF($C$2=5,U602,"  chyba"))))</f>
        <v>227753</v>
      </c>
      <c r="K600" s="63"/>
      <c r="L600" s="61" t="str">
        <f>Price!A600</f>
        <v>Samostatná příčka, 100/242mm, Nebraska dub</v>
      </c>
      <c r="M600" s="15" t="str">
        <f>Price!B600</f>
        <v>ZC7Q0U0FH</v>
      </c>
      <c r="N600" s="15" t="str">
        <f>Price!C600</f>
        <v>E02G</v>
      </c>
      <c r="O600" s="525" t="str">
        <f>Price!D600</f>
        <v>!</v>
      </c>
      <c r="P600" s="16"/>
      <c r="Q600" s="17">
        <f>Price!F600</f>
        <v>226.69444999999999</v>
      </c>
      <c r="R600" s="318"/>
      <c r="S600" s="318"/>
      <c r="T600" s="12">
        <f>Price!G600</f>
        <v>7307581</v>
      </c>
      <c r="U600" s="252">
        <f>Price!H600</f>
        <v>227753</v>
      </c>
      <c r="V600" s="13"/>
      <c r="W600" s="13"/>
      <c r="X600" s="19"/>
      <c r="Y600" s="19"/>
    </row>
    <row r="601" spans="1:25" x14ac:dyDescent="0.35">
      <c r="A601" s="77"/>
      <c r="B601" s="160"/>
      <c r="C601" s="160"/>
      <c r="D601" s="528"/>
      <c r="E601" s="78"/>
      <c r="F601" s="65"/>
      <c r="G601" s="65"/>
      <c r="H601" s="65"/>
      <c r="I601" s="171"/>
      <c r="J601" s="171"/>
      <c r="K601" s="63"/>
      <c r="L601" s="61" t="str">
        <f>Price!A601</f>
        <v>Samostatná příčka, 100/242mm, Bardolino dub</v>
      </c>
      <c r="M601" s="15" t="str">
        <f>Price!B601</f>
        <v>ZC7Q0U0FH</v>
      </c>
      <c r="N601" s="15" t="str">
        <f>Price!C601</f>
        <v>E01S</v>
      </c>
      <c r="O601" s="525" t="str">
        <f>Price!D601</f>
        <v>!</v>
      </c>
      <c r="P601" s="16"/>
      <c r="Q601" s="17">
        <f>Price!F601</f>
        <v>226.69444999999999</v>
      </c>
      <c r="R601" s="318"/>
      <c r="S601" s="318"/>
      <c r="T601" s="12">
        <f>Price!G601</f>
        <v>2802560</v>
      </c>
      <c r="U601" s="252">
        <f>Price!H601</f>
        <v>227751</v>
      </c>
      <c r="V601" s="13"/>
      <c r="W601" s="13"/>
      <c r="X601" s="19"/>
      <c r="Y601" s="19"/>
    </row>
    <row r="602" spans="1:25" x14ac:dyDescent="0.35">
      <c r="A602" s="77"/>
      <c r="B602" s="160"/>
      <c r="C602" s="160"/>
      <c r="D602" s="528"/>
      <c r="E602" s="83"/>
      <c r="F602" s="65"/>
      <c r="G602" s="65"/>
      <c r="H602" s="65"/>
      <c r="I602" s="171"/>
      <c r="J602" s="171"/>
      <c r="K602" s="63"/>
      <c r="L602" s="61" t="str">
        <f>Price!A602</f>
        <v>Samostatná příčka, 100/242mm, Tennessee ořech</v>
      </c>
      <c r="M602" s="15" t="str">
        <f>Price!B602</f>
        <v>ZC7Q0U0FH</v>
      </c>
      <c r="N602" s="15" t="str">
        <f>Price!C602</f>
        <v>N01T</v>
      </c>
      <c r="O602" s="525" t="str">
        <f>Price!D602</f>
        <v>!</v>
      </c>
      <c r="P602" s="16"/>
      <c r="Q602" s="17">
        <f>Price!F602</f>
        <v>226.69444999999999</v>
      </c>
      <c r="R602" s="318"/>
      <c r="S602" s="318"/>
      <c r="T602" s="12">
        <f>Price!G602</f>
        <v>4283034</v>
      </c>
      <c r="U602" s="252">
        <f>Price!H602</f>
        <v>227752</v>
      </c>
      <c r="V602" s="13"/>
      <c r="W602" s="13"/>
      <c r="X602" s="19"/>
      <c r="Y602" s="19"/>
    </row>
    <row r="603" spans="1:25" x14ac:dyDescent="0.35">
      <c r="A603" s="77"/>
      <c r="B603" s="160"/>
      <c r="C603" s="160"/>
      <c r="D603" s="528"/>
      <c r="E603" s="83"/>
      <c r="F603" s="65"/>
      <c r="G603" s="65"/>
      <c r="H603" s="65"/>
      <c r="I603" s="171"/>
      <c r="J603" s="171"/>
      <c r="K603" s="63"/>
      <c r="L603" s="61">
        <f>Price!A603</f>
        <v>0</v>
      </c>
      <c r="M603" s="15">
        <f>Price!B603</f>
        <v>0</v>
      </c>
      <c r="N603" s="15">
        <f>Price!C603</f>
        <v>0</v>
      </c>
      <c r="O603" s="525">
        <f>Price!D603</f>
        <v>0</v>
      </c>
      <c r="P603" s="16"/>
      <c r="Q603" s="17">
        <f>Price!F603</f>
        <v>0</v>
      </c>
      <c r="R603" s="318"/>
      <c r="S603" s="318"/>
      <c r="T603" s="12">
        <f>Price!G603</f>
        <v>0</v>
      </c>
      <c r="U603" s="252">
        <f>Price!H603</f>
        <v>0</v>
      </c>
      <c r="V603" s="13"/>
      <c r="W603" s="13"/>
      <c r="X603" s="19"/>
      <c r="Y603" s="19"/>
    </row>
    <row r="604" spans="1:25" ht="15" thickBot="1" x14ac:dyDescent="0.4">
      <c r="A604" s="320" t="str">
        <f>IF(OR($C$2=1, $C$2=4),L604,IF($C$2=2,L605,IF($C$2=3,L606,IF($C$2=5,L606,"  chyba"))))</f>
        <v>Rámečky pro výsuvy, od 400mm, Nebraska/OG-M</v>
      </c>
      <c r="B604" s="324" t="str">
        <f t="shared" ref="B604" si="698">IF(OR($C$2=1, $C$2=4),M604,IF($C$2=2,M605,IF($C$2=3,M606,IF($C$2=5,M606,"  chyba"))))</f>
        <v>ZC7F400RHP</v>
      </c>
      <c r="C604" s="324" t="str">
        <f t="shared" ref="C604" si="699">IF(OR($C$2=1, $C$2=4),N604,IF($C$2=2,N605,IF($C$2=3,N606,IF($C$2=5,N606,"  chyba"))))</f>
        <v>E02G</v>
      </c>
      <c r="D604" s="324" t="str">
        <f t="shared" ref="D604" si="700">IF(OR($C$2=1, $C$2=4),O604,IF($C$2=2,O605,IF($C$2=3,O606,IF($C$2=5,O606,"  chyba"))))</f>
        <v>!</v>
      </c>
      <c r="E604" s="321">
        <f t="shared" ref="E604" si="701">IF(OR($C$2=1, $C$2=4),P604,IF($C$2=2,P605,IF($C$2=3,P606,IF($C$2=5,P606,"  chyba"))))</f>
        <v>0</v>
      </c>
      <c r="F604" s="322">
        <f t="shared" ref="F604" si="702">IF(OR($C$2=1, $C$2=4),Q604,IF($C$2=2,Q605,IF($C$2=3,Q606,IF($C$2=5,Q606,"  chyba"))))</f>
        <v>1373.89653</v>
      </c>
      <c r="G604" s="323"/>
      <c r="H604" s="323"/>
      <c r="I604" s="325">
        <f t="shared" ref="I604" si="703">IF(OR($C$2=1, $C$2=4),T604,IF($C$2=2,T605,IF($C$2=3,T606,IF($C$2=5,T606,"  chyba"))))</f>
        <v>7794799</v>
      </c>
      <c r="J604" s="325">
        <f t="shared" ref="J604" si="704">IF(OR($C$2=1, $C$2=4),U604,IF($C$2=2,U605,IF($C$2=3,U606,IF($C$2=5,U606,"  chyba"))))</f>
        <v>227756</v>
      </c>
      <c r="K604" s="63"/>
      <c r="L604" s="61" t="str">
        <f>Price!A604</f>
        <v>Rámečky pro výsuvy, od 400mm, Nebraska/OG-M</v>
      </c>
      <c r="M604" s="15" t="str">
        <f>Price!B604</f>
        <v>ZC7F400RHP</v>
      </c>
      <c r="N604" s="15" t="str">
        <f>Price!C604</f>
        <v>E02G</v>
      </c>
      <c r="O604" s="525" t="str">
        <f>Price!D604</f>
        <v>!</v>
      </c>
      <c r="P604" s="16"/>
      <c r="Q604" s="17">
        <f>Price!F604</f>
        <v>1373.89653</v>
      </c>
      <c r="R604" s="318"/>
      <c r="S604" s="318"/>
      <c r="T604" s="12">
        <f>Price!G604</f>
        <v>7794799</v>
      </c>
      <c r="U604" s="252">
        <f>Price!H604</f>
        <v>227756</v>
      </c>
      <c r="V604" s="13"/>
      <c r="W604" s="13"/>
      <c r="X604" s="19"/>
      <c r="Y604" s="19"/>
    </row>
    <row r="605" spans="1:25" x14ac:dyDescent="0.35">
      <c r="A605" s="79"/>
      <c r="B605" s="161"/>
      <c r="C605" s="161"/>
      <c r="D605" s="529"/>
      <c r="E605" s="78"/>
      <c r="F605" s="67"/>
      <c r="G605" s="67"/>
      <c r="H605" s="67"/>
      <c r="I605" s="170"/>
      <c r="J605" s="170"/>
      <c r="K605" s="63"/>
      <c r="L605" s="61" t="str">
        <f>Price!A605</f>
        <v>Rámečky pro výsuvy, od 400mm, Bardolino/SW-M</v>
      </c>
      <c r="M605" s="15" t="str">
        <f>Price!B605</f>
        <v>ZC7S400RHP</v>
      </c>
      <c r="N605" s="15" t="str">
        <f>Price!C605</f>
        <v>E01S</v>
      </c>
      <c r="O605" s="525" t="str">
        <f>Price!D605</f>
        <v>!</v>
      </c>
      <c r="P605" s="16"/>
      <c r="Q605" s="17">
        <f>Price!F605</f>
        <v>1373.89653</v>
      </c>
      <c r="R605" s="318"/>
      <c r="S605" s="318"/>
      <c r="T605" s="12">
        <f>Price!G605</f>
        <v>7502048</v>
      </c>
      <c r="U605" s="252">
        <f>Price!H605</f>
        <v>227754</v>
      </c>
      <c r="V605" s="13"/>
      <c r="W605" s="13"/>
      <c r="X605" s="19"/>
      <c r="Y605" s="19"/>
    </row>
    <row r="606" spans="1:25" x14ac:dyDescent="0.35">
      <c r="A606" s="77"/>
      <c r="B606" s="160"/>
      <c r="C606" s="160"/>
      <c r="D606" s="528"/>
      <c r="E606" s="83"/>
      <c r="F606" s="65"/>
      <c r="G606" s="65"/>
      <c r="H606" s="65"/>
      <c r="I606" s="171"/>
      <c r="J606" s="171"/>
      <c r="K606" s="63"/>
      <c r="L606" s="61" t="str">
        <f>Price!A606</f>
        <v>Rámečky pro výsuvy, od 400mm, Tennessee/TS-M</v>
      </c>
      <c r="M606" s="15" t="str">
        <f>Price!B606</f>
        <v>ZC7S400RHP</v>
      </c>
      <c r="N606" s="15" t="str">
        <f>Price!C606</f>
        <v>N01T</v>
      </c>
      <c r="O606" s="525" t="str">
        <f>Price!D606</f>
        <v>!</v>
      </c>
      <c r="P606" s="16"/>
      <c r="Q606" s="17">
        <f>Price!F606</f>
        <v>1373.89653</v>
      </c>
      <c r="R606" s="318"/>
      <c r="S606" s="318"/>
      <c r="T606" s="12">
        <f>Price!G606</f>
        <v>7842844</v>
      </c>
      <c r="U606" s="252">
        <f>Price!H606</f>
        <v>227755</v>
      </c>
      <c r="V606" s="13"/>
      <c r="W606" s="22"/>
      <c r="X606" s="19"/>
      <c r="Y606" s="19"/>
    </row>
    <row r="607" spans="1:25" ht="15" thickBot="1" x14ac:dyDescent="0.4">
      <c r="A607" s="320" t="str">
        <f>IF(OR($C$2=1, $C$2=4),L607,IF($C$2=2,L608,IF($C$2=3,L609,IF($C$2=5,L609,"  chyba"))))</f>
        <v>Samostatná příčka, 100/218mm, Nebraska dub</v>
      </c>
      <c r="B607" s="324" t="str">
        <f t="shared" ref="B607" si="705">IF(OR($C$2=1, $C$2=4),M607,IF($C$2=2,M608,IF($C$2=3,M609,IF($C$2=5,M609,"  chyba"))))</f>
        <v>ZC7Q0P0SH</v>
      </c>
      <c r="C607" s="324" t="str">
        <f t="shared" ref="C607" si="706">IF(OR($C$2=1, $C$2=4),N607,IF($C$2=2,N608,IF($C$2=3,N609,IF($C$2=5,N609,"  chyba"))))</f>
        <v>E02G</v>
      </c>
      <c r="D607" s="324" t="str">
        <f t="shared" ref="D607" si="707">IF(OR($C$2=1, $C$2=4),O607,IF($C$2=2,O608,IF($C$2=3,O609,IF($C$2=5,O609,"  chyba"))))</f>
        <v>!</v>
      </c>
      <c r="E607" s="321">
        <f t="shared" ref="E607" si="708">IF(OR($C$2=1, $C$2=4),P607,IF($C$2=2,P608,IF($C$2=3,P609,IF($C$2=5,P609,"  chyba"))))</f>
        <v>0</v>
      </c>
      <c r="F607" s="322">
        <f t="shared" ref="F607" si="709">IF(OR($C$2=1, $C$2=4),Q607,IF($C$2=2,Q608,IF($C$2=3,Q609,IF($C$2=5,Q609,"  chyba"))))</f>
        <v>226.69444999999999</v>
      </c>
      <c r="G607" s="323"/>
      <c r="H607" s="323"/>
      <c r="I607" s="325">
        <f t="shared" ref="I607" si="710">IF(OR($C$2=1, $C$2=4),T607,IF($C$2=2,T608,IF($C$2=3,T609,IF($C$2=5,T609,"  chyba"))))</f>
        <v>2503742</v>
      </c>
      <c r="J607" s="325">
        <f t="shared" ref="J607" si="711">IF(OR($C$2=1, $C$2=4),U607,IF($C$2=2,U608,IF($C$2=3,U609,IF($C$2=5,U609,"  chyba"))))</f>
        <v>227759</v>
      </c>
      <c r="K607" s="63"/>
      <c r="L607" s="61" t="str">
        <f>Price!A607</f>
        <v>Samostatná příčka, 100/218mm, Nebraska dub</v>
      </c>
      <c r="M607" s="15" t="str">
        <f>Price!B607</f>
        <v>ZC7Q0P0SH</v>
      </c>
      <c r="N607" s="15" t="str">
        <f>Price!C607</f>
        <v>E02G</v>
      </c>
      <c r="O607" s="525" t="str">
        <f>Price!D607</f>
        <v>!</v>
      </c>
      <c r="P607" s="16"/>
      <c r="Q607" s="17">
        <f>Price!F607</f>
        <v>226.69444999999999</v>
      </c>
      <c r="R607" s="318"/>
      <c r="S607" s="318"/>
      <c r="T607" s="12">
        <f>Price!G607</f>
        <v>2503742</v>
      </c>
      <c r="U607" s="252">
        <f>Price!H607</f>
        <v>227759</v>
      </c>
      <c r="V607" s="13"/>
      <c r="W607" s="21"/>
      <c r="X607" s="19"/>
      <c r="Y607" s="19"/>
    </row>
    <row r="608" spans="1:25" x14ac:dyDescent="0.35">
      <c r="A608" s="77"/>
      <c r="B608" s="160"/>
      <c r="C608" s="160"/>
      <c r="D608" s="528"/>
      <c r="E608" s="83"/>
      <c r="F608" s="65"/>
      <c r="G608" s="65"/>
      <c r="H608" s="65"/>
      <c r="I608" s="171"/>
      <c r="J608" s="171"/>
      <c r="K608" s="63"/>
      <c r="L608" s="61" t="str">
        <f>Price!A608</f>
        <v>Samostatná příčka, 100/218mm, Bardolino dub</v>
      </c>
      <c r="M608" s="15" t="str">
        <f>Price!B608</f>
        <v>ZC7Q0P0SH</v>
      </c>
      <c r="N608" s="15" t="str">
        <f>Price!C608</f>
        <v>E01S</v>
      </c>
      <c r="O608" s="525" t="str">
        <f>Price!D608</f>
        <v>!</v>
      </c>
      <c r="P608" s="16"/>
      <c r="Q608" s="17">
        <f>Price!F608</f>
        <v>226.69444999999999</v>
      </c>
      <c r="R608" s="318"/>
      <c r="S608" s="318"/>
      <c r="T608" s="12">
        <f>Price!G608</f>
        <v>5495239</v>
      </c>
      <c r="U608" s="252">
        <f>Price!H608</f>
        <v>227757</v>
      </c>
      <c r="V608" s="13"/>
      <c r="W608" s="13"/>
      <c r="X608" s="19"/>
      <c r="Y608" s="19"/>
    </row>
    <row r="609" spans="1:25" x14ac:dyDescent="0.35">
      <c r="A609" s="319"/>
      <c r="B609" s="160"/>
      <c r="C609" s="160"/>
      <c r="D609" s="528"/>
      <c r="E609" s="83"/>
      <c r="F609" s="65"/>
      <c r="G609" s="65"/>
      <c r="H609" s="65"/>
      <c r="I609" s="171"/>
      <c r="J609" s="171"/>
      <c r="K609" s="63"/>
      <c r="L609" s="61" t="str">
        <f>Price!A609</f>
        <v>Samostatná příčka, 100/218mm, Tennessee ořech</v>
      </c>
      <c r="M609" s="15" t="str">
        <f>Price!B609</f>
        <v>ZC7Q0P0SH</v>
      </c>
      <c r="N609" s="15" t="str">
        <f>Price!C609</f>
        <v>N01T</v>
      </c>
      <c r="O609" s="525" t="str">
        <f>Price!D609</f>
        <v>!</v>
      </c>
      <c r="P609" s="16"/>
      <c r="Q609" s="17">
        <f>Price!F609</f>
        <v>226.69444999999999</v>
      </c>
      <c r="R609" s="318"/>
      <c r="S609" s="318"/>
      <c r="T609" s="12">
        <f>Price!G609</f>
        <v>7506076</v>
      </c>
      <c r="U609" s="252">
        <f>Price!H609</f>
        <v>227758</v>
      </c>
      <c r="V609" s="13"/>
      <c r="W609" s="13"/>
      <c r="X609" s="19"/>
      <c r="Y609" s="19"/>
    </row>
    <row r="610" spans="1:25" x14ac:dyDescent="0.35">
      <c r="A610" s="77"/>
      <c r="B610" s="160"/>
      <c r="C610" s="160"/>
      <c r="D610" s="528"/>
      <c r="E610" s="83"/>
      <c r="F610" s="84"/>
      <c r="G610" s="84"/>
      <c r="H610" s="84"/>
      <c r="I610" s="171"/>
      <c r="J610" s="171"/>
      <c r="K610" s="63"/>
      <c r="L610" s="61">
        <f>Price!A610</f>
        <v>0</v>
      </c>
      <c r="M610" s="15">
        <f>Price!B610</f>
        <v>0</v>
      </c>
      <c r="N610" s="15">
        <f>Price!C610</f>
        <v>0</v>
      </c>
      <c r="O610" s="525">
        <f>Price!D610</f>
        <v>0</v>
      </c>
      <c r="P610" s="16"/>
      <c r="Q610" s="17">
        <f>Price!F610</f>
        <v>0</v>
      </c>
      <c r="R610" s="318"/>
      <c r="S610" s="318"/>
      <c r="T610" s="12">
        <f>Price!G610</f>
        <v>0</v>
      </c>
      <c r="U610" s="252">
        <f>Price!H610</f>
        <v>0</v>
      </c>
      <c r="V610" s="13"/>
      <c r="W610" s="13"/>
      <c r="X610" s="19"/>
      <c r="Y610" s="19"/>
    </row>
    <row r="611" spans="1:25" x14ac:dyDescent="0.35">
      <c r="A611" s="77"/>
      <c r="B611" s="160"/>
      <c r="C611" s="160"/>
      <c r="D611" s="528"/>
      <c r="E611" s="83"/>
      <c r="F611" s="84"/>
      <c r="G611" s="84"/>
      <c r="H611" s="84"/>
      <c r="I611" s="171"/>
      <c r="J611" s="171"/>
      <c r="K611" s="63"/>
      <c r="L611" s="61">
        <f>Price!A611</f>
        <v>0</v>
      </c>
      <c r="M611" s="15">
        <f>Price!B611</f>
        <v>0</v>
      </c>
      <c r="N611" s="15">
        <f>Price!C611</f>
        <v>0</v>
      </c>
      <c r="O611" s="525">
        <f>Price!D611</f>
        <v>0</v>
      </c>
      <c r="P611" s="16"/>
      <c r="Q611" s="17">
        <f>Price!F611</f>
        <v>0</v>
      </c>
      <c r="R611" s="318"/>
      <c r="S611" s="318"/>
      <c r="T611" s="12">
        <f>Price!G611</f>
        <v>0</v>
      </c>
      <c r="U611" s="252">
        <f>Price!H611</f>
        <v>0</v>
      </c>
      <c r="V611" s="13"/>
      <c r="W611" s="13"/>
      <c r="X611" s="19"/>
      <c r="Y611" s="19"/>
    </row>
    <row r="612" spans="1:25" x14ac:dyDescent="0.35">
      <c r="A612" s="77"/>
      <c r="B612" s="160"/>
      <c r="C612" s="160"/>
      <c r="D612" s="528"/>
      <c r="E612" s="83"/>
      <c r="F612" s="84"/>
      <c r="G612" s="84"/>
      <c r="H612" s="84"/>
      <c r="I612" s="171"/>
      <c r="J612" s="171"/>
      <c r="K612" s="63"/>
      <c r="L612" s="61" t="str">
        <f>Price!A612</f>
        <v xml:space="preserve">   AMBIA-LINE souprava na lahve</v>
      </c>
      <c r="M612" s="15">
        <f>Price!B612</f>
        <v>0</v>
      </c>
      <c r="N612" s="15">
        <f>Price!C612</f>
        <v>0</v>
      </c>
      <c r="O612" s="525">
        <f>Price!D612</f>
        <v>0</v>
      </c>
      <c r="P612" s="16"/>
      <c r="Q612" s="17">
        <f>Price!F612</f>
        <v>0</v>
      </c>
      <c r="R612" s="318"/>
      <c r="S612" s="318"/>
      <c r="T612" s="12">
        <f>Price!G612</f>
        <v>0</v>
      </c>
      <c r="U612" s="252">
        <f>Price!H612</f>
        <v>0</v>
      </c>
      <c r="V612" s="13"/>
      <c r="W612" s="13"/>
      <c r="X612" s="19"/>
      <c r="Y612" s="19"/>
    </row>
    <row r="613" spans="1:25" ht="15" thickBot="1" x14ac:dyDescent="0.4">
      <c r="A613" s="320" t="str">
        <f>IF(OR($C$2=1, $C$2=4),L613,IF($C$2=2,L614,IF($C$2=3,L615,IF($C$2=5,L615,"  chyba"))))</f>
        <v>Souprava na lahve, pro š.rám. 100mm, Orion šedá</v>
      </c>
      <c r="B613" s="324" t="str">
        <f t="shared" ref="B613" si="712">IF(OR($C$2=1, $C$2=4),M613,IF($C$2=2,M614,IF($C$2=3,M615,IF($C$2=5,M615,"  chyba"))))</f>
        <v>ZC7B0100S</v>
      </c>
      <c r="C613" s="324" t="str">
        <f t="shared" ref="C613" si="713">IF(OR($C$2=1, $C$2=4),N613,IF($C$2=2,N614,IF($C$2=3,N615,IF($C$2=5,N615,"  chyba"))))</f>
        <v>OG-M</v>
      </c>
      <c r="D613" s="324" t="str">
        <f t="shared" ref="D613" si="714">IF(OR($C$2=1, $C$2=4),O613,IF($C$2=2,O614,IF($C$2=3,O615,IF($C$2=5,O615,"  chyba"))))</f>
        <v>!</v>
      </c>
      <c r="E613" s="321">
        <f t="shared" ref="E613" si="715">IF(OR($C$2=1, $C$2=4),P613,IF($C$2=2,P614,IF($C$2=3,P615,IF($C$2=5,P615,"  chyba"))))</f>
        <v>0</v>
      </c>
      <c r="F613" s="322">
        <f t="shared" ref="F613" si="716">IF(OR($C$2=1, $C$2=4),Q613,IF($C$2=2,Q614,IF($C$2=3,Q615,IF($C$2=5,Q615,"  chyba"))))</f>
        <v>554.96564999999998</v>
      </c>
      <c r="G613" s="323"/>
      <c r="H613" s="323"/>
      <c r="I613" s="325">
        <f t="shared" ref="I613" si="717">IF(OR($C$2=1, $C$2=4),T613,IF($C$2=2,T614,IF($C$2=3,T615,IF($C$2=5,T615,"  chyba"))))</f>
        <v>5541312</v>
      </c>
      <c r="J613" s="325">
        <f t="shared" ref="J613" si="718">IF(OR($C$2=1, $C$2=4),U613,IF($C$2=2,U614,IF($C$2=3,U615,IF($C$2=5,U615,"  chyba"))))</f>
        <v>352481</v>
      </c>
      <c r="K613" s="63"/>
      <c r="L613" s="61" t="str">
        <f>Price!A613</f>
        <v>Souprava na lahve, pro š.rám. 100mm, Orion šedá</v>
      </c>
      <c r="M613" s="15" t="str">
        <f>Price!B613</f>
        <v>ZC7B0100S</v>
      </c>
      <c r="N613" s="15" t="str">
        <f>Price!C613</f>
        <v>OG-M</v>
      </c>
      <c r="O613" s="525" t="str">
        <f>Price!D613</f>
        <v>!</v>
      </c>
      <c r="P613" s="16"/>
      <c r="Q613" s="17">
        <f>Price!F613</f>
        <v>554.96564999999998</v>
      </c>
      <c r="R613" s="318"/>
      <c r="S613" s="318"/>
      <c r="T613" s="12">
        <f>Price!G613</f>
        <v>5541312</v>
      </c>
      <c r="U613" s="252">
        <f>Price!H613</f>
        <v>352481</v>
      </c>
      <c r="V613" s="13"/>
      <c r="W613" s="13"/>
      <c r="X613" s="19"/>
      <c r="Y613" s="19"/>
    </row>
    <row r="614" spans="1:25" x14ac:dyDescent="0.35">
      <c r="A614" s="77"/>
      <c r="B614" s="160"/>
      <c r="C614" s="160"/>
      <c r="D614" s="528"/>
      <c r="E614" s="83"/>
      <c r="F614" s="84"/>
      <c r="G614" s="84"/>
      <c r="H614" s="84"/>
      <c r="I614" s="171"/>
      <c r="J614" s="171"/>
      <c r="K614" s="63"/>
      <c r="L614" s="61" t="str">
        <f>Price!A614</f>
        <v>Souprava na lahve, pro š.rám. 100mm, hedv. bílá</v>
      </c>
      <c r="M614" s="15" t="str">
        <f>Price!B614</f>
        <v>ZC7B0100S</v>
      </c>
      <c r="N614" s="15" t="str">
        <f>Price!C614</f>
        <v>SW-M</v>
      </c>
      <c r="O614" s="525" t="str">
        <f>Price!D614</f>
        <v>!</v>
      </c>
      <c r="P614" s="16"/>
      <c r="Q614" s="17">
        <f>Price!F614</f>
        <v>554.96564999999998</v>
      </c>
      <c r="R614" s="318"/>
      <c r="S614" s="318"/>
      <c r="T614" s="12">
        <f>Price!G614</f>
        <v>9358958</v>
      </c>
      <c r="U614" s="252">
        <f>Price!H614</f>
        <v>352480</v>
      </c>
      <c r="V614" s="13"/>
      <c r="W614" s="13"/>
      <c r="X614" s="19"/>
      <c r="Y614" s="19"/>
    </row>
    <row r="615" spans="1:25" x14ac:dyDescent="0.35">
      <c r="A615" s="77"/>
      <c r="B615" s="160"/>
      <c r="C615" s="160"/>
      <c r="D615" s="528"/>
      <c r="E615" s="83"/>
      <c r="F615" s="84"/>
      <c r="G615" s="84"/>
      <c r="H615" s="84"/>
      <c r="I615" s="171"/>
      <c r="J615" s="171"/>
      <c r="K615" s="63"/>
      <c r="L615" s="61" t="str">
        <f>Price!A615</f>
        <v>Souprava na lahve, pro š.rám. 100mm, Terra černá</v>
      </c>
      <c r="M615" s="15" t="str">
        <f>Price!B615</f>
        <v>ZC7B0100S</v>
      </c>
      <c r="N615" s="15" t="str">
        <f>Price!C615</f>
        <v>TS-M</v>
      </c>
      <c r="O615" s="525" t="str">
        <f>Price!D615</f>
        <v>!</v>
      </c>
      <c r="P615" s="16"/>
      <c r="Q615" s="17">
        <f>Price!F615</f>
        <v>554.96564999999998</v>
      </c>
      <c r="R615" s="318"/>
      <c r="S615" s="318"/>
      <c r="T615" s="12">
        <f>Price!G615</f>
        <v>5536400</v>
      </c>
      <c r="U615" s="252">
        <f>Price!H615</f>
        <v>352482</v>
      </c>
      <c r="V615" s="13"/>
      <c r="W615" s="13"/>
      <c r="X615" s="19"/>
      <c r="Y615" s="19"/>
    </row>
    <row r="616" spans="1:25" ht="15" thickBot="1" x14ac:dyDescent="0.4">
      <c r="A616" s="320" t="str">
        <f>IF(OR($C$2=1, $C$2=4),L616,IF($C$2=2,L617,IF($C$2=3,L618,IF($C$2=5,L618,"  chyba"))))</f>
        <v>Souprava na lahve, pro š.rám. 200mm, Orion šedá</v>
      </c>
      <c r="B616" s="324" t="str">
        <f t="shared" ref="B616" si="719">IF(OR($C$2=1, $C$2=4),M616,IF($C$2=2,M617,IF($C$2=3,M618,IF($C$2=5,M618,"  chyba"))))</f>
        <v>ZC7B0200S</v>
      </c>
      <c r="C616" s="324" t="str">
        <f t="shared" ref="C616" si="720">IF(OR($C$2=1, $C$2=4),N616,IF($C$2=2,N617,IF($C$2=3,N618,IF($C$2=5,N618,"  chyba"))))</f>
        <v>OG-M</v>
      </c>
      <c r="D616" s="324">
        <f t="shared" ref="D616" si="721">IF(OR($C$2=1, $C$2=4),O616,IF($C$2=2,O617,IF($C$2=3,O618,IF($C$2=5,O618,"  chyba"))))</f>
        <v>0</v>
      </c>
      <c r="E616" s="321">
        <f t="shared" ref="E616" si="722">IF(OR($C$2=1, $C$2=4),P616,IF($C$2=2,P617,IF($C$2=3,P618,IF($C$2=5,P618,"  chyba"))))</f>
        <v>0</v>
      </c>
      <c r="F616" s="322">
        <f t="shared" ref="F616" si="723">IF(OR($C$2=1, $C$2=4),Q616,IF($C$2=2,Q617,IF($C$2=3,Q618,IF($C$2=5,Q618,"  chyba"))))</f>
        <v>710.47880999999995</v>
      </c>
      <c r="G616" s="323"/>
      <c r="H616" s="323"/>
      <c r="I616" s="325">
        <f t="shared" ref="I616" si="724">IF(OR($C$2=1, $C$2=4),T616,IF($C$2=2,T617,IF($C$2=3,T618,IF($C$2=5,T618,"  chyba"))))</f>
        <v>4250192</v>
      </c>
      <c r="J616" s="325">
        <f t="shared" ref="J616" si="725">IF(OR($C$2=1, $C$2=4),U616,IF($C$2=2,U617,IF($C$2=3,U618,IF($C$2=5,U618,"  chyba"))))</f>
        <v>279426</v>
      </c>
      <c r="K616" s="63"/>
      <c r="L616" s="61" t="str">
        <f>Price!A616</f>
        <v>Souprava na lahve, pro š.rám. 200mm, Orion šedá</v>
      </c>
      <c r="M616" s="15" t="str">
        <f>Price!B616</f>
        <v>ZC7B0200S</v>
      </c>
      <c r="N616" s="15" t="str">
        <f>Price!C616</f>
        <v>OG-M</v>
      </c>
      <c r="O616" s="525">
        <f>Price!D616</f>
        <v>0</v>
      </c>
      <c r="P616" s="16"/>
      <c r="Q616" s="17">
        <f>Price!F616</f>
        <v>710.47880999999995</v>
      </c>
      <c r="R616" s="318"/>
      <c r="S616" s="318"/>
      <c r="T616" s="12">
        <f>Price!G616</f>
        <v>4250192</v>
      </c>
      <c r="U616" s="252">
        <f>Price!H616</f>
        <v>279426</v>
      </c>
      <c r="V616" s="13"/>
      <c r="W616" s="13"/>
      <c r="X616" s="19"/>
      <c r="Y616" s="19"/>
    </row>
    <row r="617" spans="1:25" x14ac:dyDescent="0.35">
      <c r="A617" s="77"/>
      <c r="B617" s="160"/>
      <c r="C617" s="160"/>
      <c r="D617" s="528"/>
      <c r="E617" s="83"/>
      <c r="F617" s="84"/>
      <c r="G617" s="84"/>
      <c r="H617" s="84"/>
      <c r="I617" s="171"/>
      <c r="J617" s="171"/>
      <c r="K617" s="63"/>
      <c r="L617" s="61" t="str">
        <f>Price!A617</f>
        <v>Souprava na lahve, pro š.rám. 200mm, hedv. bílá</v>
      </c>
      <c r="M617" s="15" t="str">
        <f>Price!B617</f>
        <v>ZC7B0200S</v>
      </c>
      <c r="N617" s="15" t="str">
        <f>Price!C617</f>
        <v>SW-M</v>
      </c>
      <c r="O617" s="525">
        <f>Price!D617</f>
        <v>0</v>
      </c>
      <c r="P617" s="16"/>
      <c r="Q617" s="17">
        <f>Price!F617</f>
        <v>710.47880999999995</v>
      </c>
      <c r="R617" s="318"/>
      <c r="S617" s="318"/>
      <c r="T617" s="12">
        <f>Price!G617</f>
        <v>4478837</v>
      </c>
      <c r="U617" s="252">
        <f>Price!H617</f>
        <v>279427</v>
      </c>
      <c r="V617" s="13"/>
      <c r="W617" s="13"/>
      <c r="X617" s="19"/>
      <c r="Y617" s="19"/>
    </row>
    <row r="618" spans="1:25" x14ac:dyDescent="0.35">
      <c r="A618" s="77"/>
      <c r="B618" s="160"/>
      <c r="C618" s="160"/>
      <c r="D618" s="528"/>
      <c r="E618" s="83"/>
      <c r="F618" s="84"/>
      <c r="G618" s="84"/>
      <c r="H618" s="84"/>
      <c r="I618" s="171"/>
      <c r="J618" s="171"/>
      <c r="K618" s="63"/>
      <c r="L618" s="61" t="str">
        <f>Price!A618</f>
        <v>Souprava na lahve, pro š.rám. 200mm, Terra černá</v>
      </c>
      <c r="M618" s="15" t="str">
        <f>Price!B618</f>
        <v>ZC7B0200S</v>
      </c>
      <c r="N618" s="15" t="str">
        <f>Price!C618</f>
        <v>TS-M</v>
      </c>
      <c r="O618" s="525" t="str">
        <f>Price!D618</f>
        <v>!</v>
      </c>
      <c r="P618" s="16"/>
      <c r="Q618" s="17">
        <f>Price!F618</f>
        <v>710.48</v>
      </c>
      <c r="R618" s="318"/>
      <c r="S618" s="318"/>
      <c r="T618" s="12">
        <f>Price!G618</f>
        <v>7762103</v>
      </c>
      <c r="U618" s="252">
        <f>Price!H618</f>
        <v>382090</v>
      </c>
      <c r="V618" s="13"/>
      <c r="W618" s="13"/>
      <c r="X618" s="19"/>
      <c r="Y618" s="19"/>
    </row>
    <row r="619" spans="1:25" x14ac:dyDescent="0.35">
      <c r="A619" s="77"/>
      <c r="B619" s="160"/>
      <c r="C619" s="160"/>
      <c r="D619" s="528"/>
      <c r="E619" s="78"/>
      <c r="F619" s="65"/>
      <c r="G619" s="65"/>
      <c r="H619" s="65"/>
      <c r="I619" s="171"/>
      <c r="J619" s="171"/>
      <c r="K619" s="63"/>
      <c r="L619" s="61">
        <f>Price!A619</f>
        <v>0</v>
      </c>
      <c r="M619" s="15">
        <f>Price!B619</f>
        <v>0</v>
      </c>
      <c r="N619" s="15">
        <f>Price!C619</f>
        <v>0</v>
      </c>
      <c r="O619" s="525">
        <f>Price!D619</f>
        <v>0</v>
      </c>
      <c r="P619" s="16"/>
      <c r="Q619" s="17">
        <f>Price!F619</f>
        <v>0</v>
      </c>
      <c r="R619" s="318"/>
      <c r="S619" s="318"/>
      <c r="T619" s="12">
        <f>Price!G619</f>
        <v>0</v>
      </c>
      <c r="U619" s="252">
        <f>Price!H619</f>
        <v>0</v>
      </c>
      <c r="V619" s="13"/>
      <c r="W619" s="13"/>
      <c r="X619" s="19"/>
      <c r="Y619" s="19"/>
    </row>
    <row r="620" spans="1:25" x14ac:dyDescent="0.35">
      <c r="A620" s="77"/>
      <c r="B620" s="160"/>
      <c r="C620" s="160"/>
      <c r="D620" s="528"/>
      <c r="E620" s="78"/>
      <c r="F620" s="65"/>
      <c r="G620" s="65"/>
      <c r="H620" s="65"/>
      <c r="I620" s="171"/>
      <c r="J620" s="171"/>
      <c r="K620" s="63"/>
      <c r="L620" s="61">
        <f>Price!A620</f>
        <v>0</v>
      </c>
      <c r="M620" s="15">
        <f>Price!B620</f>
        <v>0</v>
      </c>
      <c r="N620" s="15">
        <f>Price!C620</f>
        <v>0</v>
      </c>
      <c r="O620" s="525">
        <f>Price!D620</f>
        <v>0</v>
      </c>
      <c r="P620" s="16"/>
      <c r="Q620" s="17">
        <f>Price!F620</f>
        <v>0</v>
      </c>
      <c r="R620" s="318"/>
      <c r="S620" s="318"/>
      <c r="T620" s="12">
        <f>Price!G620</f>
        <v>0</v>
      </c>
      <c r="U620" s="252">
        <f>Price!H620</f>
        <v>0</v>
      </c>
      <c r="V620" s="13"/>
      <c r="W620" s="13"/>
      <c r="X620" s="19"/>
      <c r="Y620" s="19"/>
    </row>
    <row r="621" spans="1:25" x14ac:dyDescent="0.35">
      <c r="A621" s="77"/>
      <c r="B621" s="160"/>
      <c r="C621" s="160"/>
      <c r="D621" s="528"/>
      <c r="E621" s="78"/>
      <c r="F621" s="65"/>
      <c r="G621" s="65"/>
      <c r="H621" s="65"/>
      <c r="I621" s="171"/>
      <c r="J621" s="171"/>
      <c r="K621" s="20"/>
      <c r="L621" s="61">
        <f>Price!A621</f>
        <v>0</v>
      </c>
      <c r="M621" s="15">
        <f>Price!B621</f>
        <v>0</v>
      </c>
      <c r="N621" s="15">
        <f>Price!C621</f>
        <v>0</v>
      </c>
      <c r="O621" s="525">
        <f>Price!D621</f>
        <v>0</v>
      </c>
      <c r="P621" s="16"/>
      <c r="Q621" s="17">
        <f>Price!F621</f>
        <v>0</v>
      </c>
      <c r="R621" s="318"/>
      <c r="S621" s="318"/>
      <c r="T621" s="12">
        <f>Price!G621</f>
        <v>0</v>
      </c>
      <c r="U621" s="252">
        <f>Price!H621</f>
        <v>0</v>
      </c>
      <c r="V621" s="13"/>
      <c r="W621" s="13"/>
      <c r="X621" s="19"/>
      <c r="Y621" s="19"/>
    </row>
    <row r="622" spans="1:25" x14ac:dyDescent="0.35">
      <c r="A622" s="77"/>
      <c r="B622" s="160"/>
      <c r="C622" s="160"/>
      <c r="D622" s="528"/>
      <c r="E622" s="78"/>
      <c r="F622" s="65"/>
      <c r="G622" s="65"/>
      <c r="H622" s="65"/>
      <c r="I622" s="171"/>
      <c r="J622" s="171"/>
      <c r="K622" s="20"/>
      <c r="L622" s="61">
        <f>Price!A622</f>
        <v>0</v>
      </c>
      <c r="M622" s="15">
        <f>Price!B622</f>
        <v>0</v>
      </c>
      <c r="N622" s="15">
        <f>Price!C622</f>
        <v>0</v>
      </c>
      <c r="O622" s="525">
        <f>Price!D622</f>
        <v>0</v>
      </c>
      <c r="P622" s="16"/>
      <c r="Q622" s="17">
        <f>Price!F622</f>
        <v>0</v>
      </c>
      <c r="R622" s="318"/>
      <c r="S622" s="318"/>
      <c r="T622" s="12">
        <f>Price!G622</f>
        <v>0</v>
      </c>
      <c r="U622" s="252">
        <f>Price!H622</f>
        <v>0</v>
      </c>
      <c r="V622" s="13"/>
      <c r="W622" s="13"/>
      <c r="X622" s="19"/>
      <c r="Y622" s="19"/>
    </row>
    <row r="623" spans="1:25" x14ac:dyDescent="0.35">
      <c r="A623" s="77"/>
      <c r="B623" s="160"/>
      <c r="C623" s="160"/>
      <c r="D623" s="528"/>
      <c r="E623" s="78"/>
      <c r="F623" s="65"/>
      <c r="G623" s="65"/>
      <c r="H623" s="65"/>
      <c r="I623" s="171"/>
      <c r="J623" s="171"/>
      <c r="K623" s="20"/>
      <c r="L623" s="61">
        <f>Price!A623</f>
        <v>0</v>
      </c>
      <c r="M623" s="15">
        <f>Price!B623</f>
        <v>0</v>
      </c>
      <c r="N623" s="15">
        <f>Price!C623</f>
        <v>0</v>
      </c>
      <c r="O623" s="525">
        <f>Price!D623</f>
        <v>0</v>
      </c>
      <c r="P623" s="16"/>
      <c r="Q623" s="17">
        <f>Price!F623</f>
        <v>0</v>
      </c>
      <c r="R623" s="318"/>
      <c r="S623" s="318"/>
      <c r="T623" s="12">
        <f>Price!G623</f>
        <v>0</v>
      </c>
      <c r="U623" s="252">
        <f>Price!H623</f>
        <v>0</v>
      </c>
      <c r="V623" s="13"/>
      <c r="W623" s="13"/>
      <c r="X623" s="19"/>
      <c r="Y623" s="19"/>
    </row>
    <row r="624" spans="1:25" x14ac:dyDescent="0.35">
      <c r="A624" s="77"/>
      <c r="B624" s="160"/>
      <c r="C624" s="160"/>
      <c r="D624" s="528"/>
      <c r="E624" s="78"/>
      <c r="F624" s="65"/>
      <c r="G624" s="65"/>
      <c r="H624" s="65"/>
      <c r="I624" s="171"/>
      <c r="J624" s="171"/>
      <c r="K624" s="20"/>
      <c r="L624" s="61" t="str">
        <f>Price!A624</f>
        <v xml:space="preserve">  AMBIA-LINE pomůcky do kuchyně</v>
      </c>
      <c r="M624" s="15">
        <f>Price!B624</f>
        <v>0</v>
      </c>
      <c r="N624" s="15">
        <f>Price!C624</f>
        <v>0</v>
      </c>
      <c r="O624" s="525">
        <f>Price!D624</f>
        <v>0</v>
      </c>
      <c r="P624" s="16"/>
      <c r="Q624" s="17">
        <f>Price!F624</f>
        <v>0</v>
      </c>
      <c r="R624" s="318"/>
      <c r="S624" s="318"/>
      <c r="T624" s="12">
        <f>Price!G624</f>
        <v>0</v>
      </c>
      <c r="U624" s="252">
        <f>Price!H624</f>
        <v>0</v>
      </c>
      <c r="V624" s="13"/>
      <c r="W624" s="13"/>
      <c r="X624" s="19"/>
      <c r="Y624" s="19"/>
    </row>
    <row r="625" spans="1:25" x14ac:dyDescent="0.35">
      <c r="A625" s="90" t="str">
        <f t="shared" ref="A625:D629" si="726">L625</f>
        <v>Držák nožů</v>
      </c>
      <c r="B625" s="91" t="str">
        <f t="shared" si="726"/>
        <v>ZC7M0200</v>
      </c>
      <c r="C625" s="91" t="str">
        <f t="shared" si="726"/>
        <v>OG-M</v>
      </c>
      <c r="D625" s="91">
        <f t="shared" si="726"/>
        <v>0</v>
      </c>
      <c r="E625" s="92">
        <f>P625</f>
        <v>0</v>
      </c>
      <c r="F625" s="17">
        <f>Q625*(100-$F$6)/100</f>
        <v>779.68948</v>
      </c>
      <c r="G625" s="65"/>
      <c r="H625" s="65"/>
      <c r="I625" s="169">
        <f t="shared" ref="I625:J629" si="727">T625</f>
        <v>9809820</v>
      </c>
      <c r="J625" s="169">
        <f t="shared" si="727"/>
        <v>227688</v>
      </c>
      <c r="K625" s="20"/>
      <c r="L625" s="61" t="str">
        <f>Price!A625</f>
        <v>Držák nožů</v>
      </c>
      <c r="M625" s="15" t="str">
        <f>Price!B625</f>
        <v>ZC7M0200</v>
      </c>
      <c r="N625" s="15" t="str">
        <f>Price!C625</f>
        <v>OG-M</v>
      </c>
      <c r="O625" s="525">
        <f>Price!D625</f>
        <v>0</v>
      </c>
      <c r="P625" s="16"/>
      <c r="Q625" s="17">
        <f>Price!F625</f>
        <v>779.68948</v>
      </c>
      <c r="R625" s="318"/>
      <c r="S625" s="318"/>
      <c r="T625" s="12">
        <f>Price!G625</f>
        <v>9809820</v>
      </c>
      <c r="U625" s="252">
        <f>Price!H625</f>
        <v>227688</v>
      </c>
      <c r="V625" s="13"/>
      <c r="W625" s="13"/>
      <c r="X625" s="19"/>
      <c r="Y625" s="19"/>
    </row>
    <row r="626" spans="1:25" x14ac:dyDescent="0.35">
      <c r="A626" s="90" t="str">
        <f t="shared" si="726"/>
        <v>Řezačka na potravinové folie, s folií</v>
      </c>
      <c r="B626" s="91" t="str">
        <f t="shared" si="726"/>
        <v>ZC7C000</v>
      </c>
      <c r="C626" s="91" t="str">
        <f t="shared" si="726"/>
        <v>OG-M</v>
      </c>
      <c r="D626" s="91">
        <f t="shared" si="726"/>
        <v>0</v>
      </c>
      <c r="E626" s="92">
        <f>P626</f>
        <v>0</v>
      </c>
      <c r="F626" s="17">
        <f>Q626*(100-$F$6)/100</f>
        <v>1916.5860199999997</v>
      </c>
      <c r="G626" s="65"/>
      <c r="H626" s="65"/>
      <c r="I626" s="169">
        <f t="shared" si="727"/>
        <v>5952958</v>
      </c>
      <c r="J626" s="169">
        <f t="shared" si="727"/>
        <v>227689</v>
      </c>
      <c r="K626" s="20"/>
      <c r="L626" s="61" t="str">
        <f>Price!A626</f>
        <v>Řezačka na potravinové folie, s folií</v>
      </c>
      <c r="M626" s="15" t="str">
        <f>Price!B626</f>
        <v>ZC7C000</v>
      </c>
      <c r="N626" s="15" t="str">
        <f>Price!C626</f>
        <v>OG-M</v>
      </c>
      <c r="O626" s="525">
        <f>Price!D626</f>
        <v>0</v>
      </c>
      <c r="P626" s="16"/>
      <c r="Q626" s="17">
        <f>Price!F626</f>
        <v>1916.58602</v>
      </c>
      <c r="R626" s="318"/>
      <c r="S626" s="318"/>
      <c r="T626" s="12">
        <f>Price!G626</f>
        <v>5952958</v>
      </c>
      <c r="U626" s="252">
        <f>Price!H626</f>
        <v>227689</v>
      </c>
      <c r="V626" s="13"/>
      <c r="W626" s="13"/>
      <c r="X626" s="19"/>
      <c r="Y626" s="19"/>
    </row>
    <row r="627" spans="1:25" x14ac:dyDescent="0.35">
      <c r="A627" s="90" t="str">
        <f t="shared" si="726"/>
        <v>Řezačka na potravinové folie, bez folie</v>
      </c>
      <c r="B627" s="91" t="str">
        <f t="shared" si="726"/>
        <v>ZC7C001</v>
      </c>
      <c r="C627" s="91" t="str">
        <f t="shared" si="726"/>
        <v>OG-M</v>
      </c>
      <c r="D627" s="91" t="str">
        <f t="shared" si="726"/>
        <v>!</v>
      </c>
      <c r="E627" s="92">
        <f>P627</f>
        <v>0</v>
      </c>
      <c r="F627" s="17">
        <f>Q627*(100-$F$6)/100</f>
        <v>1916.5860199999997</v>
      </c>
      <c r="G627" s="65"/>
      <c r="H627" s="65"/>
      <c r="I627" s="169">
        <f t="shared" si="727"/>
        <v>5241444</v>
      </c>
      <c r="J627" s="169">
        <f t="shared" si="727"/>
        <v>227690</v>
      </c>
      <c r="K627" s="20"/>
      <c r="L627" s="61" t="str">
        <f>Price!A627</f>
        <v>Řezačka na potravinové folie, bez folie</v>
      </c>
      <c r="M627" s="15" t="str">
        <f>Price!B627</f>
        <v>ZC7C001</v>
      </c>
      <c r="N627" s="15" t="str">
        <f>Price!C627</f>
        <v>OG-M</v>
      </c>
      <c r="O627" s="525" t="str">
        <f>Price!D627</f>
        <v>!</v>
      </c>
      <c r="P627" s="16"/>
      <c r="Q627" s="17">
        <f>Price!F627</f>
        <v>1916.58602</v>
      </c>
      <c r="R627" s="318"/>
      <c r="S627" s="318"/>
      <c r="T627" s="12">
        <f>Price!G627</f>
        <v>5241444</v>
      </c>
      <c r="U627" s="252">
        <f>Price!H627</f>
        <v>227690</v>
      </c>
      <c r="V627" s="13"/>
      <c r="W627" s="13"/>
      <c r="X627" s="19"/>
      <c r="Y627" s="19"/>
    </row>
    <row r="628" spans="1:25" x14ac:dyDescent="0.35">
      <c r="A628" s="90" t="str">
        <f t="shared" si="726"/>
        <v>Stojánek na kořenky</v>
      </c>
      <c r="B628" s="91" t="str">
        <f t="shared" si="726"/>
        <v>ZC7G0P0I</v>
      </c>
      <c r="C628" s="91" t="str">
        <f t="shared" si="726"/>
        <v>INGL</v>
      </c>
      <c r="D628" s="91">
        <f t="shared" si="726"/>
        <v>0</v>
      </c>
      <c r="E628" s="92">
        <f>P628</f>
        <v>0</v>
      </c>
      <c r="F628" s="17">
        <f>Q628*(100-$F$6)/100</f>
        <v>1191.8663899999999</v>
      </c>
      <c r="G628" s="65"/>
      <c r="H628" s="65"/>
      <c r="I628" s="169">
        <f t="shared" si="727"/>
        <v>8058240</v>
      </c>
      <c r="J628" s="169">
        <f t="shared" si="727"/>
        <v>227691</v>
      </c>
      <c r="K628" s="20"/>
      <c r="L628" s="61" t="str">
        <f>Price!A628</f>
        <v>Stojánek na kořenky</v>
      </c>
      <c r="M628" s="15" t="str">
        <f>Price!B628</f>
        <v>ZC7G0P0I</v>
      </c>
      <c r="N628" s="15" t="str">
        <f>Price!C628</f>
        <v>INGL</v>
      </c>
      <c r="O628" s="525">
        <f>Price!D628</f>
        <v>0</v>
      </c>
      <c r="P628" s="16"/>
      <c r="Q628" s="17">
        <f>Price!F628</f>
        <v>1191.8663899999999</v>
      </c>
      <c r="R628" s="318"/>
      <c r="S628" s="318"/>
      <c r="T628" s="12">
        <f>Price!G628</f>
        <v>8058240</v>
      </c>
      <c r="U628" s="252">
        <f>Price!H628</f>
        <v>227691</v>
      </c>
      <c r="V628" s="13"/>
      <c r="W628" s="13"/>
      <c r="X628" s="19"/>
      <c r="Y628" s="19"/>
    </row>
    <row r="629" spans="1:25" x14ac:dyDescent="0.35">
      <c r="A629" s="90" t="str">
        <f t="shared" si="726"/>
        <v>Držák talířů</v>
      </c>
      <c r="B629" s="91" t="str">
        <f t="shared" si="726"/>
        <v>ZC7T0350</v>
      </c>
      <c r="C629" s="91" t="str">
        <f t="shared" si="726"/>
        <v>OG-M</v>
      </c>
      <c r="D629" s="91">
        <f t="shared" si="726"/>
        <v>0</v>
      </c>
      <c r="E629" s="92">
        <f>P629</f>
        <v>0</v>
      </c>
      <c r="F629" s="17">
        <f>Q629*(100-$F$6)/100</f>
        <v>1160.9431999999999</v>
      </c>
      <c r="G629" s="65"/>
      <c r="H629" s="65"/>
      <c r="I629" s="169">
        <f t="shared" si="727"/>
        <v>1366848</v>
      </c>
      <c r="J629" s="169">
        <f t="shared" si="727"/>
        <v>227693</v>
      </c>
      <c r="K629" s="20"/>
      <c r="L629" s="61" t="str">
        <f>Price!A629</f>
        <v>Držák talířů</v>
      </c>
      <c r="M629" s="15" t="str">
        <f>Price!B629</f>
        <v>ZC7T0350</v>
      </c>
      <c r="N629" s="15" t="str">
        <f>Price!C629</f>
        <v>OG-M</v>
      </c>
      <c r="O629" s="525">
        <f>Price!D629</f>
        <v>0</v>
      </c>
      <c r="P629" s="16"/>
      <c r="Q629" s="17">
        <f>Price!F629</f>
        <v>1160.9431999999999</v>
      </c>
      <c r="R629" s="318"/>
      <c r="S629" s="318"/>
      <c r="T629" s="12">
        <f>Price!G629</f>
        <v>1366848</v>
      </c>
      <c r="U629" s="252">
        <f>Price!H629</f>
        <v>227693</v>
      </c>
      <c r="V629" s="13"/>
      <c r="W629" s="13"/>
      <c r="X629" s="19"/>
      <c r="Y629" s="19"/>
    </row>
    <row r="630" spans="1:25" x14ac:dyDescent="0.35">
      <c r="A630" s="77"/>
      <c r="B630" s="160"/>
      <c r="C630" s="160"/>
      <c r="D630" s="528"/>
      <c r="E630" s="83"/>
      <c r="F630" s="84"/>
      <c r="G630" s="84"/>
      <c r="H630" s="84"/>
      <c r="I630" s="84"/>
      <c r="J630" s="84"/>
      <c r="K630" s="20"/>
      <c r="L630" s="61">
        <f>Price!A630</f>
        <v>0</v>
      </c>
      <c r="M630" s="15">
        <f>Price!B630</f>
        <v>0</v>
      </c>
      <c r="N630" s="15">
        <f>Price!C630</f>
        <v>0</v>
      </c>
      <c r="O630" s="525">
        <f>Price!D630</f>
        <v>0</v>
      </c>
      <c r="P630" s="16"/>
      <c r="Q630" s="17">
        <f>Price!F630</f>
        <v>0</v>
      </c>
      <c r="R630" s="318"/>
      <c r="S630" s="318"/>
      <c r="T630" s="12">
        <f>Price!G630</f>
        <v>0</v>
      </c>
      <c r="U630" s="252">
        <f>Price!H630</f>
        <v>0</v>
      </c>
      <c r="V630" s="13"/>
      <c r="W630" s="13"/>
      <c r="X630" s="19"/>
      <c r="Y630" s="19"/>
    </row>
    <row r="631" spans="1:25" x14ac:dyDescent="0.35">
      <c r="A631" s="77"/>
      <c r="B631" s="160"/>
      <c r="C631" s="160"/>
      <c r="D631" s="528"/>
      <c r="E631" s="83"/>
      <c r="F631" s="84"/>
      <c r="G631" s="84"/>
      <c r="H631" s="84"/>
      <c r="I631" s="84"/>
      <c r="J631" s="84"/>
      <c r="K631" s="20"/>
      <c r="L631" s="61">
        <f>Price!A631</f>
        <v>0</v>
      </c>
      <c r="M631" s="15">
        <f>Price!B631</f>
        <v>0</v>
      </c>
      <c r="N631" s="15">
        <f>Price!C631</f>
        <v>0</v>
      </c>
      <c r="O631" s="525">
        <f>Price!D631</f>
        <v>0</v>
      </c>
      <c r="P631" s="16"/>
      <c r="Q631" s="17">
        <f>Price!F631</f>
        <v>0</v>
      </c>
      <c r="R631" s="318"/>
      <c r="S631" s="318"/>
      <c r="T631" s="12">
        <f>Price!G631</f>
        <v>0</v>
      </c>
      <c r="U631" s="252">
        <f>Price!H631</f>
        <v>0</v>
      </c>
      <c r="V631" s="13"/>
      <c r="W631" s="13"/>
      <c r="X631" s="19"/>
      <c r="Y631" s="19"/>
    </row>
    <row r="632" spans="1:25" x14ac:dyDescent="0.35">
      <c r="A632" s="77"/>
      <c r="B632" s="160"/>
      <c r="C632" s="160"/>
      <c r="D632" s="528"/>
      <c r="E632" s="83"/>
      <c r="F632" s="84"/>
      <c r="G632" s="84"/>
      <c r="H632" s="84"/>
      <c r="I632" s="84"/>
      <c r="J632" s="84"/>
      <c r="K632" s="20"/>
      <c r="L632" s="61" t="str">
        <f>Price!A632</f>
        <v xml:space="preserve">  Příslušenství</v>
      </c>
      <c r="M632" s="15">
        <f>Price!B632</f>
        <v>0</v>
      </c>
      <c r="N632" s="15">
        <f>Price!C632</f>
        <v>0</v>
      </c>
      <c r="O632" s="525">
        <f>Price!D632</f>
        <v>0</v>
      </c>
      <c r="P632" s="16"/>
      <c r="Q632" s="17">
        <f>Price!F632</f>
        <v>0</v>
      </c>
      <c r="R632" s="318"/>
      <c r="S632" s="318"/>
      <c r="T632" s="12">
        <f>Price!G632</f>
        <v>0</v>
      </c>
      <c r="U632" s="252">
        <f>Price!H632</f>
        <v>0</v>
      </c>
      <c r="V632" s="13"/>
      <c r="W632" s="13"/>
      <c r="X632" s="19"/>
      <c r="Y632" s="19"/>
    </row>
    <row r="633" spans="1:25" x14ac:dyDescent="0.35">
      <c r="A633" s="90" t="str">
        <f t="shared" ref="A633:D635" si="728">L633</f>
        <v>Upevňovací šrouby s plochou hlavou 4x15mm</v>
      </c>
      <c r="B633" s="91" t="str">
        <f t="shared" si="728"/>
        <v>61D.1500</v>
      </c>
      <c r="C633" s="91" t="str">
        <f t="shared" si="728"/>
        <v>ZN</v>
      </c>
      <c r="D633" s="91">
        <f t="shared" si="728"/>
        <v>0</v>
      </c>
      <c r="E633" s="92">
        <f t="shared" ref="E633:E638" si="729">P633</f>
        <v>0</v>
      </c>
      <c r="F633" s="17">
        <f t="shared" ref="F633:F638" si="730">Q633*(100-$F$6)/100</f>
        <v>1.8800600000000001</v>
      </c>
      <c r="G633" s="65"/>
      <c r="H633" s="65"/>
      <c r="I633" s="169">
        <f t="shared" ref="I633:J635" si="731">T633</f>
        <v>9508739</v>
      </c>
      <c r="J633" s="169">
        <f t="shared" si="731"/>
        <v>237597</v>
      </c>
      <c r="K633" s="20"/>
      <c r="L633" s="61" t="str">
        <f>Price!A633</f>
        <v>Upevňovací šrouby s plochou hlavou 4x15mm</v>
      </c>
      <c r="M633" s="15" t="str">
        <f>Price!B633</f>
        <v>61D.1500</v>
      </c>
      <c r="N633" s="15" t="str">
        <f>Price!C633</f>
        <v>ZN</v>
      </c>
      <c r="O633" s="525">
        <f>Price!D633</f>
        <v>0</v>
      </c>
      <c r="P633" s="16"/>
      <c r="Q633" s="17">
        <f>Price!F633</f>
        <v>1.8800600000000001</v>
      </c>
      <c r="R633" s="318"/>
      <c r="S633" s="318"/>
      <c r="T633" s="12">
        <f>Price!G633</f>
        <v>9508739</v>
      </c>
      <c r="U633" s="252">
        <f>Price!H633</f>
        <v>237597</v>
      </c>
      <c r="V633" s="13"/>
      <c r="W633" s="13"/>
      <c r="X633" s="19"/>
      <c r="Y633" s="19"/>
    </row>
    <row r="634" spans="1:25" x14ac:dyDescent="0.35">
      <c r="A634" s="90" t="str">
        <f t="shared" si="728"/>
        <v>Stabilizace čel</v>
      </c>
      <c r="B634" s="91" t="str">
        <f t="shared" si="728"/>
        <v>Z96.10E1</v>
      </c>
      <c r="C634" s="91" t="str">
        <f t="shared" si="728"/>
        <v>R737</v>
      </c>
      <c r="D634" s="91">
        <f t="shared" si="728"/>
        <v>0</v>
      </c>
      <c r="E634" s="92">
        <f t="shared" si="729"/>
        <v>0</v>
      </c>
      <c r="F634" s="17">
        <f t="shared" si="730"/>
        <v>35.153820000000003</v>
      </c>
      <c r="G634" s="65"/>
      <c r="H634" s="65"/>
      <c r="I634" s="169">
        <f t="shared" si="731"/>
        <v>6448980</v>
      </c>
      <c r="J634" s="169">
        <f t="shared" si="731"/>
        <v>12839</v>
      </c>
      <c r="K634" s="20"/>
      <c r="L634" s="61" t="str">
        <f>Price!A634</f>
        <v>Stabilizace čel</v>
      </c>
      <c r="M634" s="15" t="str">
        <f>Price!B634</f>
        <v>Z96.10E1</v>
      </c>
      <c r="N634" s="15" t="str">
        <f>Price!C634</f>
        <v>R737</v>
      </c>
      <c r="O634" s="525">
        <f>Price!D634</f>
        <v>0</v>
      </c>
      <c r="P634" s="16"/>
      <c r="Q634" s="17">
        <f>Price!F634</f>
        <v>35.153820000000003</v>
      </c>
      <c r="R634" s="318"/>
      <c r="S634" s="318"/>
      <c r="T634" s="12">
        <f>Price!G634</f>
        <v>6448980</v>
      </c>
      <c r="U634" s="252">
        <f>Price!H634</f>
        <v>12839</v>
      </c>
      <c r="V634" s="13"/>
      <c r="W634" s="13"/>
      <c r="X634" s="19"/>
      <c r="Y634" s="19"/>
    </row>
    <row r="635" spans="1:25" x14ac:dyDescent="0.35">
      <c r="A635" s="90" t="str">
        <f t="shared" si="728"/>
        <v>Tlumící čočka k zavrtání</v>
      </c>
      <c r="B635" s="91" t="str">
        <f t="shared" si="728"/>
        <v>993.706</v>
      </c>
      <c r="C635" s="91" t="str">
        <f t="shared" si="728"/>
        <v>R906</v>
      </c>
      <c r="D635" s="91">
        <f t="shared" si="728"/>
        <v>0</v>
      </c>
      <c r="E635" s="92">
        <f t="shared" si="729"/>
        <v>0</v>
      </c>
      <c r="F635" s="17">
        <f t="shared" si="730"/>
        <v>4.1288499999999999</v>
      </c>
      <c r="G635" s="65"/>
      <c r="H635" s="65"/>
      <c r="I635" s="169">
        <f t="shared" si="731"/>
        <v>3283090</v>
      </c>
      <c r="J635" s="169">
        <f t="shared" si="731"/>
        <v>12388</v>
      </c>
      <c r="K635" s="20"/>
      <c r="L635" s="61" t="str">
        <f>Price!A635</f>
        <v>Tlumící čočka k zavrtání</v>
      </c>
      <c r="M635" s="15" t="str">
        <f>Price!B635</f>
        <v>993.706</v>
      </c>
      <c r="N635" s="15" t="str">
        <f>Price!C635</f>
        <v>R906</v>
      </c>
      <c r="O635" s="525">
        <f>Price!D635</f>
        <v>0</v>
      </c>
      <c r="P635" s="16"/>
      <c r="Q635" s="17">
        <f>Price!F635</f>
        <v>4.1288499999999999</v>
      </c>
      <c r="R635" s="318"/>
      <c r="S635" s="318"/>
      <c r="T635" s="12">
        <f>Price!G635</f>
        <v>3283090</v>
      </c>
      <c r="U635" s="252">
        <f>Price!H635</f>
        <v>12388</v>
      </c>
      <c r="V635" s="13"/>
      <c r="W635" s="13"/>
      <c r="X635" s="19"/>
      <c r="Y635" s="19"/>
    </row>
    <row r="636" spans="1:25" x14ac:dyDescent="0.35">
      <c r="A636" s="90" t="str">
        <f t="shared" ref="A636:D637" si="732">L636</f>
        <v>Torxový šroubovák, T20</v>
      </c>
      <c r="B636" s="91" t="str">
        <f t="shared" si="732"/>
        <v>209.093.7</v>
      </c>
      <c r="C636" s="91" t="str">
        <f t="shared" si="732"/>
        <v>OR</v>
      </c>
      <c r="D636" s="91">
        <f t="shared" si="732"/>
        <v>0</v>
      </c>
      <c r="E636" s="92">
        <f t="shared" si="729"/>
        <v>0</v>
      </c>
      <c r="F636" s="17">
        <f t="shared" si="730"/>
        <v>165</v>
      </c>
      <c r="G636" s="65"/>
      <c r="H636" s="65"/>
      <c r="I636" s="169">
        <f t="shared" ref="I636:J638" si="733">T636</f>
        <v>2090937</v>
      </c>
      <c r="J636" s="169">
        <f t="shared" si="733"/>
        <v>236550</v>
      </c>
      <c r="K636" s="20"/>
      <c r="L636" s="61" t="str">
        <f>Price!A636</f>
        <v>Torxový šroubovák, T20</v>
      </c>
      <c r="M636" s="15" t="str">
        <f>Price!B636</f>
        <v>209.093.7</v>
      </c>
      <c r="N636" s="15" t="str">
        <f>Price!C636</f>
        <v>OR</v>
      </c>
      <c r="O636" s="525">
        <f>Price!D636</f>
        <v>0</v>
      </c>
      <c r="P636" s="16"/>
      <c r="Q636" s="17">
        <f>Price!F636</f>
        <v>165</v>
      </c>
      <c r="R636" s="318"/>
      <c r="S636" s="318"/>
      <c r="T636" s="12">
        <f>Price!G636</f>
        <v>2090937</v>
      </c>
      <c r="U636" s="252">
        <f>Price!H636</f>
        <v>236550</v>
      </c>
      <c r="V636" s="13"/>
      <c r="W636" s="13"/>
      <c r="X636" s="19"/>
      <c r="Y636" s="19"/>
    </row>
    <row r="637" spans="1:25" x14ac:dyDescent="0.35">
      <c r="A637" s="90" t="str">
        <f t="shared" si="732"/>
        <v>Transportní pojistka</v>
      </c>
      <c r="B637" s="91" t="str">
        <f t="shared" si="732"/>
        <v>780C0009</v>
      </c>
      <c r="C637" s="91" t="str">
        <f t="shared" si="732"/>
        <v>GELB</v>
      </c>
      <c r="D637" s="91">
        <f t="shared" si="732"/>
        <v>0</v>
      </c>
      <c r="E637" s="92">
        <f t="shared" si="729"/>
        <v>0</v>
      </c>
      <c r="F637" s="17">
        <f t="shared" si="730"/>
        <v>33.796340000000001</v>
      </c>
      <c r="G637" s="65"/>
      <c r="H637" s="65"/>
      <c r="I637" s="169">
        <f t="shared" si="733"/>
        <v>1290697</v>
      </c>
      <c r="J637" s="169">
        <f t="shared" si="733"/>
        <v>267764</v>
      </c>
      <c r="K637" s="20"/>
      <c r="L637" s="61" t="str">
        <f>Price!A637</f>
        <v>Transportní pojistka</v>
      </c>
      <c r="M637" s="15" t="str">
        <f>Price!B637</f>
        <v>780C0009</v>
      </c>
      <c r="N637" s="15" t="str">
        <f>Price!C637</f>
        <v>GELB</v>
      </c>
      <c r="O637" s="525">
        <f>Price!D637</f>
        <v>0</v>
      </c>
      <c r="P637" s="16"/>
      <c r="Q637" s="17">
        <f>Price!F637</f>
        <v>33.796340000000001</v>
      </c>
      <c r="R637" s="318"/>
      <c r="S637" s="318"/>
      <c r="T637" s="12">
        <f>Price!G637</f>
        <v>1290697</v>
      </c>
      <c r="U637" s="252">
        <f>Price!H637</f>
        <v>267764</v>
      </c>
      <c r="V637" s="13"/>
      <c r="W637" s="13"/>
      <c r="X637" s="19"/>
      <c r="Y637" s="19"/>
    </row>
    <row r="638" spans="1:25" x14ac:dyDescent="0.35">
      <c r="A638" s="90" t="str">
        <f>L638</f>
        <v>Šablona pro nastavení mezery čela</v>
      </c>
      <c r="B638" s="91" t="str">
        <f>M638</f>
        <v>65.5631</v>
      </c>
      <c r="C638" s="91" t="str">
        <f>N638</f>
        <v>OR</v>
      </c>
      <c r="D638" s="91">
        <f>O638</f>
        <v>0</v>
      </c>
      <c r="E638" s="92">
        <f t="shared" si="729"/>
        <v>0</v>
      </c>
      <c r="F638" s="17">
        <f t="shared" si="730"/>
        <v>161.81934999999999</v>
      </c>
      <c r="G638" s="65"/>
      <c r="H638" s="65"/>
      <c r="I638" s="169">
        <f t="shared" si="733"/>
        <v>8946234</v>
      </c>
      <c r="J638" s="169">
        <f t="shared" si="733"/>
        <v>275419</v>
      </c>
      <c r="K638" s="20"/>
      <c r="L638" s="61" t="str">
        <f>Price!A638</f>
        <v>Šablona pro nastavení mezery čela</v>
      </c>
      <c r="M638" s="15" t="str">
        <f>Price!B638</f>
        <v>65.5631</v>
      </c>
      <c r="N638" s="15" t="str">
        <f>Price!C638</f>
        <v>OR</v>
      </c>
      <c r="O638" s="525">
        <f>Price!D638</f>
        <v>0</v>
      </c>
      <c r="P638" s="16"/>
      <c r="Q638" s="17">
        <f>Price!F638</f>
        <v>161.81934999999999</v>
      </c>
      <c r="R638" s="318"/>
      <c r="S638" s="318"/>
      <c r="T638" s="12">
        <f>Price!G638</f>
        <v>8946234</v>
      </c>
      <c r="U638" s="252">
        <f>Price!H638</f>
        <v>275419</v>
      </c>
      <c r="V638" s="13"/>
      <c r="W638" s="13"/>
      <c r="X638" s="19"/>
      <c r="Y638" s="19"/>
    </row>
    <row r="639" spans="1:25" x14ac:dyDescent="0.35">
      <c r="A639" s="90" t="str">
        <f t="shared" ref="A639:A640" si="734">L639</f>
        <v>Stabilizace čel, pro tenké materiály</v>
      </c>
      <c r="B639" s="91" t="str">
        <f t="shared" ref="B639:B640" si="735">M639</f>
        <v>Z96.00T1</v>
      </c>
      <c r="C639" s="91" t="str">
        <f t="shared" ref="C639:C640" si="736">N639</f>
        <v>R737</v>
      </c>
      <c r="D639" s="91">
        <f t="shared" ref="D639:D640" si="737">O639</f>
        <v>0</v>
      </c>
      <c r="E639" s="92">
        <f t="shared" ref="E639:E640" si="738">P639</f>
        <v>0</v>
      </c>
      <c r="F639" s="17">
        <f t="shared" ref="F639:F640" si="739">Q639*(100-$F$6)/100</f>
        <v>90.96396</v>
      </c>
      <c r="G639" s="65"/>
      <c r="H639" s="65"/>
      <c r="I639" s="169">
        <f t="shared" ref="I639:I640" si="740">T639</f>
        <v>7654487</v>
      </c>
      <c r="J639" s="169">
        <f t="shared" ref="J639:J640" si="741">U639</f>
        <v>347998</v>
      </c>
      <c r="K639" s="20"/>
      <c r="L639" s="61" t="str">
        <f>Price!A639</f>
        <v>Stabilizace čel, pro tenké materiály</v>
      </c>
      <c r="M639" s="15" t="str">
        <f>Price!B639</f>
        <v>Z96.00T1</v>
      </c>
      <c r="N639" s="15" t="str">
        <f>Price!C639</f>
        <v>R737</v>
      </c>
      <c r="O639" s="525">
        <f>Price!D639</f>
        <v>0</v>
      </c>
      <c r="P639" s="16"/>
      <c r="Q639" s="17">
        <f>Price!F639</f>
        <v>90.96396</v>
      </c>
      <c r="R639" s="318"/>
      <c r="S639" s="318"/>
      <c r="T639" s="12">
        <f>Price!G639</f>
        <v>7654487</v>
      </c>
      <c r="U639" s="252">
        <f>Price!H639</f>
        <v>347998</v>
      </c>
      <c r="V639" s="13"/>
      <c r="W639" s="13"/>
      <c r="X639" s="19"/>
      <c r="Y639" s="19"/>
    </row>
    <row r="640" spans="1:25" x14ac:dyDescent="0.35">
      <c r="A640" s="90" t="str">
        <f t="shared" si="734"/>
        <v>EXPANDO T, samostatná hmoždinka</v>
      </c>
      <c r="B640" s="91" t="str">
        <f t="shared" si="735"/>
        <v>70T4532T</v>
      </c>
      <c r="C640" s="91" t="str">
        <f t="shared" si="736"/>
        <v>DGR</v>
      </c>
      <c r="D640" s="91">
        <f t="shared" si="737"/>
        <v>0</v>
      </c>
      <c r="E640" s="92">
        <f t="shared" si="738"/>
        <v>0</v>
      </c>
      <c r="F640" s="17">
        <f t="shared" si="739"/>
        <v>58.394089999999998</v>
      </c>
      <c r="G640" s="65"/>
      <c r="H640" s="65"/>
      <c r="I640" s="169">
        <f t="shared" si="740"/>
        <v>4958478</v>
      </c>
      <c r="J640" s="169">
        <f t="shared" si="741"/>
        <v>347999</v>
      </c>
      <c r="K640" s="20"/>
      <c r="L640" s="61" t="str">
        <f>Price!A640</f>
        <v>EXPANDO T, samostatná hmoždinka</v>
      </c>
      <c r="M640" s="15" t="str">
        <f>Price!B640</f>
        <v>70T4532T</v>
      </c>
      <c r="N640" s="15" t="str">
        <f>Price!C640</f>
        <v>DGR</v>
      </c>
      <c r="O640" s="525">
        <f>Price!D640</f>
        <v>0</v>
      </c>
      <c r="P640" s="16"/>
      <c r="Q640" s="17">
        <f>Price!F640</f>
        <v>58.394089999999998</v>
      </c>
      <c r="R640" s="318"/>
      <c r="S640" s="318"/>
      <c r="T640" s="12">
        <f>Price!G640</f>
        <v>4958478</v>
      </c>
      <c r="U640" s="252">
        <f>Price!H640</f>
        <v>347999</v>
      </c>
      <c r="V640" s="13"/>
      <c r="W640" s="13"/>
      <c r="X640" s="19"/>
      <c r="Y640" s="19"/>
    </row>
    <row r="641" spans="1:25" x14ac:dyDescent="0.35">
      <c r="A641" s="58"/>
      <c r="B641" s="160"/>
      <c r="C641" s="160"/>
      <c r="D641" s="528"/>
      <c r="E641" s="83"/>
      <c r="F641" s="65"/>
      <c r="G641" s="65"/>
      <c r="H641" s="65"/>
      <c r="I641" s="65"/>
      <c r="J641" s="65"/>
      <c r="K641" s="20"/>
      <c r="L641" s="61">
        <f>Price!A641</f>
        <v>0</v>
      </c>
      <c r="M641" s="15">
        <f>Price!B641</f>
        <v>0</v>
      </c>
      <c r="N641" s="15">
        <f>Price!C641</f>
        <v>0</v>
      </c>
      <c r="O641" s="525">
        <f>Price!D641</f>
        <v>0</v>
      </c>
      <c r="P641" s="16"/>
      <c r="Q641" s="17">
        <f>Price!F641</f>
        <v>0</v>
      </c>
      <c r="R641" s="318"/>
      <c r="S641" s="318"/>
      <c r="T641" s="12">
        <f>Price!G641</f>
        <v>0</v>
      </c>
      <c r="U641" s="252">
        <f>Price!H641</f>
        <v>0</v>
      </c>
      <c r="V641" s="13"/>
      <c r="W641" s="13"/>
      <c r="X641" s="19"/>
      <c r="Y641" s="19"/>
    </row>
    <row r="642" spans="1:25" x14ac:dyDescent="0.35">
      <c r="A642" s="58"/>
      <c r="B642" s="160"/>
      <c r="C642" s="160"/>
      <c r="D642" s="528"/>
      <c r="E642" s="83"/>
      <c r="F642" s="65"/>
      <c r="G642" s="65"/>
      <c r="H642" s="65"/>
      <c r="I642" s="65"/>
      <c r="J642" s="65"/>
      <c r="K642" s="20"/>
      <c r="L642" s="61">
        <f>Price!A642</f>
        <v>0</v>
      </c>
      <c r="M642" s="15">
        <f>Price!B642</f>
        <v>0</v>
      </c>
      <c r="N642" s="15">
        <f>Price!C642</f>
        <v>0</v>
      </c>
      <c r="O642" s="525">
        <f>Price!D642</f>
        <v>0</v>
      </c>
      <c r="P642" s="16"/>
      <c r="Q642" s="17">
        <f>Price!F642</f>
        <v>0</v>
      </c>
      <c r="R642" s="318"/>
      <c r="S642" s="318"/>
      <c r="T642" s="12">
        <f>Price!G642</f>
        <v>0</v>
      </c>
      <c r="U642" s="252">
        <f>Price!H642</f>
        <v>0</v>
      </c>
      <c r="V642" s="13"/>
      <c r="W642" s="13"/>
      <c r="X642" s="19"/>
      <c r="Y642" s="19"/>
    </row>
    <row r="643" spans="1:25" x14ac:dyDescent="0.35">
      <c r="A643" s="58"/>
      <c r="B643" s="160"/>
      <c r="C643" s="160"/>
      <c r="D643" s="528"/>
      <c r="E643" s="83"/>
      <c r="F643" s="65"/>
      <c r="G643" s="65"/>
      <c r="H643" s="65"/>
      <c r="I643" s="65"/>
      <c r="J643" s="65"/>
      <c r="K643" s="20"/>
      <c r="L643" s="61">
        <f>Price!A643</f>
        <v>0</v>
      </c>
      <c r="M643" s="15">
        <f>Price!B643</f>
        <v>0</v>
      </c>
      <c r="N643" s="15">
        <f>Price!C643</f>
        <v>0</v>
      </c>
      <c r="O643" s="525">
        <f>Price!D643</f>
        <v>0</v>
      </c>
      <c r="P643" s="16"/>
      <c r="Q643" s="17">
        <f>Price!F643</f>
        <v>0</v>
      </c>
      <c r="R643" s="318"/>
      <c r="S643" s="318"/>
      <c r="T643" s="12">
        <f>Price!G643</f>
        <v>0</v>
      </c>
      <c r="U643" s="252">
        <f>Price!H643</f>
        <v>0</v>
      </c>
      <c r="V643" s="13"/>
      <c r="W643" s="13"/>
      <c r="X643" s="19"/>
      <c r="Y643" s="19"/>
    </row>
    <row r="644" spans="1:25" x14ac:dyDescent="0.35">
      <c r="A644" s="77"/>
      <c r="B644" s="160"/>
      <c r="C644" s="160"/>
      <c r="D644" s="528"/>
      <c r="E644" s="83"/>
      <c r="F644" s="84"/>
      <c r="G644" s="84"/>
      <c r="H644" s="84"/>
      <c r="I644" s="84"/>
      <c r="J644" s="84"/>
      <c r="K644" s="20"/>
      <c r="L644" s="61">
        <f>Price!A644</f>
        <v>0</v>
      </c>
      <c r="M644" s="15">
        <f>Price!B644</f>
        <v>0</v>
      </c>
      <c r="N644" s="15">
        <f>Price!C644</f>
        <v>0</v>
      </c>
      <c r="O644" s="525">
        <f>Price!D644</f>
        <v>0</v>
      </c>
      <c r="P644" s="16"/>
      <c r="Q644" s="17">
        <f>Price!F644</f>
        <v>0</v>
      </c>
      <c r="R644" s="318"/>
      <c r="S644" s="318"/>
      <c r="T644" s="12">
        <f>Price!G644</f>
        <v>0</v>
      </c>
      <c r="U644" s="252">
        <f>Price!H644</f>
        <v>0</v>
      </c>
      <c r="V644" s="13"/>
      <c r="W644" s="13"/>
      <c r="X644" s="19"/>
      <c r="Y644" s="19"/>
    </row>
    <row r="645" spans="1:25" x14ac:dyDescent="0.35">
      <c r="A645" s="77"/>
      <c r="B645" s="160"/>
      <c r="C645" s="160"/>
      <c r="D645" s="528"/>
      <c r="E645" s="78"/>
      <c r="F645" s="65"/>
      <c r="G645" s="65"/>
      <c r="H645" s="65"/>
      <c r="I645" s="171"/>
      <c r="J645" s="171"/>
      <c r="K645" s="20"/>
      <c r="L645" s="61">
        <f>Price!A645</f>
        <v>0</v>
      </c>
      <c r="M645" s="15">
        <f>Price!B645</f>
        <v>0</v>
      </c>
      <c r="N645" s="15">
        <f>Price!C645</f>
        <v>0</v>
      </c>
      <c r="O645" s="525">
        <f>Price!D645</f>
        <v>0</v>
      </c>
      <c r="P645" s="16"/>
      <c r="Q645" s="17">
        <f>Price!F645</f>
        <v>0</v>
      </c>
      <c r="R645" s="318"/>
      <c r="S645" s="318"/>
      <c r="T645" s="12">
        <f>Price!G645</f>
        <v>0</v>
      </c>
      <c r="U645" s="252">
        <f>Price!H645</f>
        <v>0</v>
      </c>
      <c r="V645" s="13"/>
      <c r="W645" s="13"/>
      <c r="X645" s="19"/>
      <c r="Y645" s="19"/>
    </row>
    <row r="646" spans="1:25" x14ac:dyDescent="0.35">
      <c r="A646" s="77"/>
      <c r="B646" s="160"/>
      <c r="C646" s="160"/>
      <c r="D646" s="528"/>
      <c r="E646" s="78"/>
      <c r="F646" s="65"/>
      <c r="G646" s="65"/>
      <c r="H646" s="65"/>
      <c r="I646" s="171"/>
      <c r="J646" s="171"/>
      <c r="K646" s="20"/>
      <c r="L646" s="61">
        <f>Price!A646</f>
        <v>0</v>
      </c>
      <c r="M646" s="15">
        <f>Price!B646</f>
        <v>0</v>
      </c>
      <c r="N646" s="15">
        <f>Price!C646</f>
        <v>0</v>
      </c>
      <c r="O646" s="525">
        <f>Price!D646</f>
        <v>0</v>
      </c>
      <c r="P646" s="16"/>
      <c r="Q646" s="17">
        <f>Price!F646</f>
        <v>0</v>
      </c>
      <c r="R646" s="318"/>
      <c r="S646" s="318"/>
      <c r="T646" s="12">
        <f>Price!G646</f>
        <v>0</v>
      </c>
      <c r="U646" s="252">
        <f>Price!H646</f>
        <v>0</v>
      </c>
      <c r="V646" s="13"/>
      <c r="W646" s="13"/>
      <c r="X646" s="19"/>
      <c r="Y646" s="19"/>
    </row>
    <row r="647" spans="1:25" x14ac:dyDescent="0.35">
      <c r="A647" s="77"/>
      <c r="B647" s="160"/>
      <c r="C647" s="160"/>
      <c r="D647" s="528"/>
      <c r="E647" s="78"/>
      <c r="F647" s="65"/>
      <c r="G647" s="65"/>
      <c r="H647" s="65"/>
      <c r="I647" s="171"/>
      <c r="J647" s="171"/>
      <c r="K647" s="20"/>
      <c r="L647" s="61">
        <f>Price!A647</f>
        <v>0</v>
      </c>
      <c r="M647" s="15">
        <f>Price!B647</f>
        <v>0</v>
      </c>
      <c r="N647" s="15">
        <f>Price!C647</f>
        <v>0</v>
      </c>
      <c r="O647" s="525">
        <f>Price!D647</f>
        <v>0</v>
      </c>
      <c r="P647" s="16"/>
      <c r="Q647" s="17">
        <f>Price!F647</f>
        <v>0</v>
      </c>
      <c r="R647" s="318"/>
      <c r="S647" s="318"/>
      <c r="T647" s="12">
        <f>Price!G647</f>
        <v>0</v>
      </c>
      <c r="U647" s="252">
        <f>Price!H647</f>
        <v>0</v>
      </c>
      <c r="V647" s="13"/>
      <c r="W647" s="13"/>
      <c r="X647" s="19"/>
      <c r="Y647" s="19"/>
    </row>
    <row r="648" spans="1:25" x14ac:dyDescent="0.35">
      <c r="A648" s="77"/>
      <c r="B648" s="160"/>
      <c r="C648" s="160"/>
      <c r="D648" s="528"/>
      <c r="E648" s="78"/>
      <c r="F648" s="65"/>
      <c r="G648" s="65"/>
      <c r="H648" s="65"/>
      <c r="I648" s="171"/>
      <c r="J648" s="171"/>
      <c r="K648" s="20"/>
      <c r="L648" s="61">
        <f>Price!A648</f>
        <v>0</v>
      </c>
      <c r="M648" s="15">
        <f>Price!B648</f>
        <v>0</v>
      </c>
      <c r="N648" s="15">
        <f>Price!C648</f>
        <v>0</v>
      </c>
      <c r="O648" s="525">
        <f>Price!D648</f>
        <v>0</v>
      </c>
      <c r="P648" s="16"/>
      <c r="Q648" s="17">
        <f>Price!F648</f>
        <v>0</v>
      </c>
      <c r="R648" s="318"/>
      <c r="S648" s="318"/>
      <c r="T648" s="12">
        <f>Price!G648</f>
        <v>0</v>
      </c>
      <c r="U648" s="252">
        <f>Price!H648</f>
        <v>0</v>
      </c>
      <c r="V648" s="13"/>
      <c r="W648" s="13"/>
      <c r="X648" s="19"/>
      <c r="Y648" s="19"/>
    </row>
    <row r="649" spans="1:25" x14ac:dyDescent="0.35">
      <c r="A649" s="77"/>
      <c r="B649" s="160"/>
      <c r="C649" s="160"/>
      <c r="D649" s="528"/>
      <c r="E649" s="78"/>
      <c r="F649" s="65"/>
      <c r="G649" s="65"/>
      <c r="H649" s="65"/>
      <c r="I649" s="171"/>
      <c r="J649" s="171"/>
      <c r="K649" s="63"/>
      <c r="L649" s="61">
        <f>Price!A649</f>
        <v>0</v>
      </c>
      <c r="M649" s="15">
        <f>Price!B649</f>
        <v>0</v>
      </c>
      <c r="N649" s="15">
        <f>Price!C649</f>
        <v>0</v>
      </c>
      <c r="O649" s="525">
        <f>Price!D649</f>
        <v>0</v>
      </c>
      <c r="P649" s="16"/>
      <c r="Q649" s="17">
        <f>Price!F649</f>
        <v>0</v>
      </c>
      <c r="R649" s="318"/>
      <c r="S649" s="318"/>
      <c r="T649" s="12">
        <f>Price!G649</f>
        <v>0</v>
      </c>
      <c r="U649" s="252">
        <f>Price!H649</f>
        <v>0</v>
      </c>
      <c r="V649" s="13"/>
      <c r="W649" s="13"/>
      <c r="X649" s="19"/>
      <c r="Y649" s="19"/>
    </row>
    <row r="650" spans="1:25" x14ac:dyDescent="0.35">
      <c r="A650" s="77"/>
      <c r="B650" s="160"/>
      <c r="C650" s="160"/>
      <c r="D650" s="528"/>
      <c r="E650" s="78"/>
      <c r="F650" s="65"/>
      <c r="G650" s="65"/>
      <c r="H650" s="65"/>
      <c r="I650" s="171"/>
      <c r="J650" s="171"/>
      <c r="K650" s="63"/>
      <c r="L650" s="61" t="str">
        <f>Price!A650</f>
        <v xml:space="preserve">   SERVO-DRIVE</v>
      </c>
      <c r="M650" s="15">
        <f>Price!B650</f>
        <v>0</v>
      </c>
      <c r="N650" s="15">
        <f>Price!C650</f>
        <v>0</v>
      </c>
      <c r="O650" s="525">
        <f>Price!D650</f>
        <v>0</v>
      </c>
      <c r="P650" s="16"/>
      <c r="Q650" s="17">
        <f>Price!F650</f>
        <v>0</v>
      </c>
      <c r="R650" s="318"/>
      <c r="S650" s="318"/>
      <c r="T650" s="12">
        <f>Price!G650</f>
        <v>0</v>
      </c>
      <c r="U650" s="252">
        <f>Price!H650</f>
        <v>0</v>
      </c>
      <c r="V650" s="13"/>
      <c r="W650" s="13"/>
      <c r="X650" s="19"/>
      <c r="Y650" s="19"/>
    </row>
    <row r="651" spans="1:25" x14ac:dyDescent="0.35">
      <c r="A651" s="90" t="str">
        <f t="shared" ref="A651:A677" si="742">L651</f>
        <v>Distanční doraz Blum, 5mm</v>
      </c>
      <c r="B651" s="91" t="str">
        <f t="shared" ref="B651:B677" si="743">M651</f>
        <v>993.0530</v>
      </c>
      <c r="C651" s="91" t="str">
        <f t="shared" ref="C651:D677" si="744">N651</f>
        <v>R737</v>
      </c>
      <c r="D651" s="91">
        <f t="shared" si="744"/>
        <v>0</v>
      </c>
      <c r="E651" s="92">
        <f t="shared" ref="E651:E677" si="745">P651</f>
        <v>0</v>
      </c>
      <c r="F651" s="17">
        <f t="shared" ref="F651:F677" si="746">Q651*(100-$F$6)/100</f>
        <v>20.736229999999999</v>
      </c>
      <c r="G651" s="65"/>
      <c r="H651" s="65"/>
      <c r="I651" s="169">
        <f t="shared" ref="I651:I677" si="747">T651</f>
        <v>7834990</v>
      </c>
      <c r="J651" s="169">
        <f t="shared" ref="J651:J677" si="748">U651</f>
        <v>99131</v>
      </c>
      <c r="K651" s="63"/>
      <c r="L651" s="61" t="str">
        <f>Price!A651</f>
        <v>Distanční doraz Blum, 5mm</v>
      </c>
      <c r="M651" s="15" t="str">
        <f>Price!B651</f>
        <v>993.0530</v>
      </c>
      <c r="N651" s="15" t="str">
        <f>Price!C651</f>
        <v>R737</v>
      </c>
      <c r="O651" s="525">
        <f>Price!D651</f>
        <v>0</v>
      </c>
      <c r="P651" s="16"/>
      <c r="Q651" s="17">
        <f>Price!F651</f>
        <v>20.736229999999999</v>
      </c>
      <c r="R651" s="318"/>
      <c r="S651" s="318"/>
      <c r="T651" s="12">
        <f>Price!G651</f>
        <v>7834990</v>
      </c>
      <c r="U651" s="252">
        <f>Price!H651</f>
        <v>99131</v>
      </c>
      <c r="V651" s="13"/>
      <c r="W651" s="13"/>
      <c r="X651" s="19"/>
      <c r="Y651" s="19"/>
    </row>
    <row r="652" spans="1:25" x14ac:dyDescent="0.35">
      <c r="A652" s="90" t="str">
        <f t="shared" si="742"/>
        <v>Distanční doraz Blum, 8mm</v>
      </c>
      <c r="B652" s="91" t="str">
        <f t="shared" si="743"/>
        <v>993.0830.01</v>
      </c>
      <c r="C652" s="91" t="str">
        <f t="shared" si="744"/>
        <v>R737</v>
      </c>
      <c r="D652" s="91">
        <f t="shared" si="744"/>
        <v>0</v>
      </c>
      <c r="E652" s="92">
        <f t="shared" si="745"/>
        <v>0</v>
      </c>
      <c r="F652" s="17">
        <f t="shared" si="746"/>
        <v>18.628139999999998</v>
      </c>
      <c r="G652" s="65"/>
      <c r="H652" s="65"/>
      <c r="I652" s="169">
        <f t="shared" si="747"/>
        <v>7402930</v>
      </c>
      <c r="J652" s="169">
        <f t="shared" si="748"/>
        <v>99120</v>
      </c>
      <c r="K652" s="63"/>
      <c r="L652" s="61" t="str">
        <f>Price!A652</f>
        <v>Distanční doraz Blum, 8mm</v>
      </c>
      <c r="M652" s="15" t="str">
        <f>Price!B652</f>
        <v>993.0830.01</v>
      </c>
      <c r="N652" s="15" t="str">
        <f>Price!C652</f>
        <v>R737</v>
      </c>
      <c r="O652" s="525">
        <f>Price!D652</f>
        <v>0</v>
      </c>
      <c r="P652" s="16"/>
      <c r="Q652" s="17">
        <f>Price!F652</f>
        <v>18.628139999999998</v>
      </c>
      <c r="R652" s="318"/>
      <c r="S652" s="318"/>
      <c r="T652" s="12">
        <f>Price!G652</f>
        <v>7402930</v>
      </c>
      <c r="U652" s="252">
        <f>Price!H652</f>
        <v>99120</v>
      </c>
      <c r="V652" s="13"/>
      <c r="W652" s="13"/>
      <c r="X652" s="19"/>
      <c r="Y652" s="19"/>
    </row>
    <row r="653" spans="1:25" x14ac:dyDescent="0.35">
      <c r="A653" s="90" t="str">
        <f t="shared" si="742"/>
        <v>Pohonná servo jednotka</v>
      </c>
      <c r="B653" s="91" t="str">
        <f t="shared" si="743"/>
        <v>Z10A3000.03</v>
      </c>
      <c r="C653" s="91" t="str">
        <f t="shared" si="744"/>
        <v>R737</v>
      </c>
      <c r="D653" s="91">
        <f t="shared" si="744"/>
        <v>0</v>
      </c>
      <c r="E653" s="92">
        <f t="shared" si="745"/>
        <v>0</v>
      </c>
      <c r="F653" s="17">
        <f t="shared" si="746"/>
        <v>2017.38859</v>
      </c>
      <c r="G653" s="65"/>
      <c r="H653" s="65"/>
      <c r="I653" s="169">
        <f t="shared" si="747"/>
        <v>6970029</v>
      </c>
      <c r="J653" s="169">
        <f t="shared" si="748"/>
        <v>99100</v>
      </c>
      <c r="K653" s="63"/>
      <c r="L653" s="61" t="str">
        <f>Price!A653</f>
        <v>Pohonná servo jednotka</v>
      </c>
      <c r="M653" s="15" t="str">
        <f>Price!B653</f>
        <v>Z10A3000.03</v>
      </c>
      <c r="N653" s="15" t="str">
        <f>Price!C653</f>
        <v>R737</v>
      </c>
      <c r="O653" s="525">
        <f>Price!D653</f>
        <v>0</v>
      </c>
      <c r="P653" s="16"/>
      <c r="Q653" s="17">
        <f>Price!F653</f>
        <v>2017.38859</v>
      </c>
      <c r="R653" s="318"/>
      <c r="S653" s="318"/>
      <c r="T653" s="12">
        <f>Price!G653</f>
        <v>6970029</v>
      </c>
      <c r="U653" s="252">
        <f>Price!H653</f>
        <v>99100</v>
      </c>
      <c r="V653" s="13"/>
      <c r="W653" s="13"/>
      <c r="X653" s="19"/>
      <c r="Y653" s="19"/>
    </row>
    <row r="654" spans="1:25" x14ac:dyDescent="0.35">
      <c r="A654" s="90" t="str">
        <f t="shared" si="742"/>
        <v>Držák nosníku, vlys naležato</v>
      </c>
      <c r="B654" s="91" t="str">
        <f t="shared" si="743"/>
        <v>Z10D01E0.01</v>
      </c>
      <c r="C654" s="91" t="str">
        <f t="shared" si="744"/>
        <v>R737</v>
      </c>
      <c r="D654" s="91">
        <f t="shared" si="744"/>
        <v>0</v>
      </c>
      <c r="E654" s="92">
        <f t="shared" si="745"/>
        <v>0</v>
      </c>
      <c r="F654" s="17">
        <f t="shared" si="746"/>
        <v>98.899799999999999</v>
      </c>
      <c r="G654" s="65"/>
      <c r="H654" s="65"/>
      <c r="I654" s="169">
        <f t="shared" si="747"/>
        <v>3061821</v>
      </c>
      <c r="J654" s="169">
        <f t="shared" si="748"/>
        <v>99101</v>
      </c>
      <c r="K654" s="63"/>
      <c r="L654" s="61" t="str">
        <f>Price!A654</f>
        <v>Držák nosníku, vlys naležato</v>
      </c>
      <c r="M654" s="15" t="str">
        <f>Price!B654</f>
        <v>Z10D01E0.01</v>
      </c>
      <c r="N654" s="15" t="str">
        <f>Price!C654</f>
        <v>R737</v>
      </c>
      <c r="O654" s="525">
        <f>Price!D654</f>
        <v>0</v>
      </c>
      <c r="P654" s="16"/>
      <c r="Q654" s="17">
        <f>Price!F654</f>
        <v>98.899799999999999</v>
      </c>
      <c r="R654" s="318"/>
      <c r="S654" s="318"/>
      <c r="T654" s="12">
        <f>Price!G654</f>
        <v>3061821</v>
      </c>
      <c r="U654" s="252">
        <f>Price!H654</f>
        <v>99101</v>
      </c>
      <c r="V654" s="13"/>
      <c r="W654" s="13"/>
      <c r="X654" s="19"/>
      <c r="Y654" s="19"/>
    </row>
    <row r="655" spans="1:25" x14ac:dyDescent="0.35">
      <c r="A655" s="90" t="str">
        <f t="shared" si="742"/>
        <v>Držák nosníku, vlys nastojato</v>
      </c>
      <c r="B655" s="91" t="str">
        <f t="shared" si="743"/>
        <v>Z10D01EA.01</v>
      </c>
      <c r="C655" s="91" t="str">
        <f t="shared" si="744"/>
        <v>R737</v>
      </c>
      <c r="D655" s="91">
        <f t="shared" si="744"/>
        <v>0</v>
      </c>
      <c r="E655" s="92">
        <f t="shared" si="745"/>
        <v>0</v>
      </c>
      <c r="F655" s="17">
        <f t="shared" si="746"/>
        <v>123.32662000000001</v>
      </c>
      <c r="G655" s="65"/>
      <c r="H655" s="65"/>
      <c r="I655" s="169">
        <f t="shared" si="747"/>
        <v>9879558</v>
      </c>
      <c r="J655" s="169">
        <f t="shared" si="748"/>
        <v>99102</v>
      </c>
      <c r="K655" s="63"/>
      <c r="L655" s="61" t="str">
        <f>Price!A655</f>
        <v>Držák nosníku, vlys nastojato</v>
      </c>
      <c r="M655" s="15" t="str">
        <f>Price!B655</f>
        <v>Z10D01EA.01</v>
      </c>
      <c r="N655" s="15" t="str">
        <f>Price!C655</f>
        <v>R737</v>
      </c>
      <c r="O655" s="525">
        <f>Price!D655</f>
        <v>0</v>
      </c>
      <c r="P655" s="16"/>
      <c r="Q655" s="17">
        <f>Price!F655</f>
        <v>123.32662000000001</v>
      </c>
      <c r="R655" s="318"/>
      <c r="S655" s="318"/>
      <c r="T655" s="12">
        <f>Price!G655</f>
        <v>9879558</v>
      </c>
      <c r="U655" s="252">
        <f>Price!H655</f>
        <v>99102</v>
      </c>
      <c r="V655" s="13"/>
      <c r="W655" s="13"/>
      <c r="X655" s="19"/>
      <c r="Y655" s="19"/>
    </row>
    <row r="656" spans="1:25" x14ac:dyDescent="0.35">
      <c r="A656" s="90" t="str">
        <f t="shared" si="742"/>
        <v>Držák servo jednotky jednoduchý</v>
      </c>
      <c r="B656" s="91" t="str">
        <f t="shared" si="743"/>
        <v>Z10D0311</v>
      </c>
      <c r="C656" s="91" t="str">
        <f t="shared" si="744"/>
        <v>R737</v>
      </c>
      <c r="D656" s="91">
        <f t="shared" si="744"/>
        <v>0</v>
      </c>
      <c r="E656" s="92">
        <f t="shared" si="745"/>
        <v>0</v>
      </c>
      <c r="F656" s="17">
        <f t="shared" si="746"/>
        <v>201.70495</v>
      </c>
      <c r="G656" s="65"/>
      <c r="H656" s="65"/>
      <c r="I656" s="169">
        <f t="shared" si="747"/>
        <v>4805174</v>
      </c>
      <c r="J656" s="169">
        <f t="shared" si="748"/>
        <v>99103</v>
      </c>
      <c r="K656" s="63"/>
      <c r="L656" s="61" t="str">
        <f>Price!A656</f>
        <v>Držák servo jednotky jednoduchý</v>
      </c>
      <c r="M656" s="15" t="str">
        <f>Price!B656</f>
        <v>Z10D0311</v>
      </c>
      <c r="N656" s="15" t="str">
        <f>Price!C656</f>
        <v>R737</v>
      </c>
      <c r="O656" s="525">
        <f>Price!D656</f>
        <v>0</v>
      </c>
      <c r="P656" s="16"/>
      <c r="Q656" s="17">
        <f>Price!F656</f>
        <v>201.70495</v>
      </c>
      <c r="R656" s="318"/>
      <c r="S656" s="318"/>
      <c r="T656" s="12">
        <f>Price!G656</f>
        <v>4805174</v>
      </c>
      <c r="U656" s="252">
        <f>Price!H656</f>
        <v>99103</v>
      </c>
      <c r="V656" s="13"/>
      <c r="W656" s="13"/>
      <c r="X656" s="19"/>
      <c r="Y656" s="19"/>
    </row>
    <row r="657" spans="1:25" x14ac:dyDescent="0.35">
      <c r="A657" s="90" t="str">
        <f t="shared" si="742"/>
        <v>Držák servo jednotky zdvojený</v>
      </c>
      <c r="B657" s="91" t="str">
        <f t="shared" si="743"/>
        <v>Z10D7201.01</v>
      </c>
      <c r="C657" s="91" t="str">
        <f t="shared" si="744"/>
        <v>R737</v>
      </c>
      <c r="D657" s="91">
        <f t="shared" si="744"/>
        <v>0</v>
      </c>
      <c r="E657" s="92">
        <f t="shared" si="745"/>
        <v>0</v>
      </c>
      <c r="F657" s="17">
        <f t="shared" si="746"/>
        <v>402.35302000000001</v>
      </c>
      <c r="G657" s="65"/>
      <c r="H657" s="65"/>
      <c r="I657" s="169">
        <f t="shared" si="747"/>
        <v>1640683</v>
      </c>
      <c r="J657" s="169">
        <f t="shared" si="748"/>
        <v>99104</v>
      </c>
      <c r="K657" s="63"/>
      <c r="L657" s="61" t="str">
        <f>Price!A657</f>
        <v>Držák servo jednotky zdvojený</v>
      </c>
      <c r="M657" s="15" t="str">
        <f>Price!B657</f>
        <v>Z10D7201.01</v>
      </c>
      <c r="N657" s="15" t="str">
        <f>Price!C657</f>
        <v>R737</v>
      </c>
      <c r="O657" s="525">
        <f>Price!D657</f>
        <v>0</v>
      </c>
      <c r="P657" s="16"/>
      <c r="Q657" s="17">
        <f>Price!F657</f>
        <v>402.35302000000001</v>
      </c>
      <c r="R657" s="318"/>
      <c r="S657" s="318"/>
      <c r="T657" s="12">
        <f>Price!G657</f>
        <v>1640683</v>
      </c>
      <c r="U657" s="252">
        <f>Price!H657</f>
        <v>99104</v>
      </c>
      <c r="V657" s="13"/>
      <c r="W657" s="13"/>
      <c r="X657" s="19"/>
      <c r="Y657" s="19"/>
    </row>
    <row r="658" spans="1:25" x14ac:dyDescent="0.35">
      <c r="A658" s="90" t="str">
        <f t="shared" si="742"/>
        <v>Držák servo jednotky horní</v>
      </c>
      <c r="B658" s="91" t="str">
        <f t="shared" si="743"/>
        <v>Z10D6252</v>
      </c>
      <c r="C658" s="91" t="str">
        <f t="shared" si="744"/>
        <v>R737</v>
      </c>
      <c r="D658" s="91">
        <f t="shared" si="744"/>
        <v>0</v>
      </c>
      <c r="E658" s="92">
        <f t="shared" si="745"/>
        <v>0</v>
      </c>
      <c r="F658" s="17">
        <f t="shared" si="746"/>
        <v>567.60990000000004</v>
      </c>
      <c r="G658" s="65"/>
      <c r="H658" s="65"/>
      <c r="I658" s="169">
        <f t="shared" si="747"/>
        <v>8010962</v>
      </c>
      <c r="J658" s="169">
        <f t="shared" si="748"/>
        <v>99127</v>
      </c>
      <c r="K658" s="63"/>
      <c r="L658" s="61" t="str">
        <f>Price!A658</f>
        <v>Držák servo jednotky horní</v>
      </c>
      <c r="M658" s="15" t="str">
        <f>Price!B658</f>
        <v>Z10D6252</v>
      </c>
      <c r="N658" s="15" t="str">
        <f>Price!C658</f>
        <v>R737</v>
      </c>
      <c r="O658" s="525">
        <f>Price!D658</f>
        <v>0</v>
      </c>
      <c r="P658" s="16"/>
      <c r="Q658" s="17">
        <f>Price!F658</f>
        <v>567.60990000000004</v>
      </c>
      <c r="R658" s="318"/>
      <c r="S658" s="318"/>
      <c r="T658" s="12">
        <f>Price!G658</f>
        <v>8010962</v>
      </c>
      <c r="U658" s="252">
        <f>Price!H658</f>
        <v>99127</v>
      </c>
      <c r="V658" s="13"/>
      <c r="W658" s="13"/>
      <c r="X658" s="19"/>
      <c r="Y658" s="19"/>
    </row>
    <row r="659" spans="1:25" x14ac:dyDescent="0.35">
      <c r="A659" s="90" t="str">
        <f t="shared" si="742"/>
        <v>Držák kabelu s Klebesockel</v>
      </c>
      <c r="B659" s="91" t="str">
        <f t="shared" si="743"/>
        <v>Z10K0009</v>
      </c>
      <c r="C659" s="91" t="str">
        <f t="shared" si="744"/>
        <v>NA</v>
      </c>
      <c r="D659" s="91">
        <f t="shared" si="744"/>
        <v>0</v>
      </c>
      <c r="E659" s="92">
        <f t="shared" si="745"/>
        <v>0</v>
      </c>
      <c r="F659" s="17">
        <f t="shared" si="746"/>
        <v>22.708690000000001</v>
      </c>
      <c r="G659" s="65"/>
      <c r="H659" s="65"/>
      <c r="I659" s="169">
        <f t="shared" si="747"/>
        <v>7283231</v>
      </c>
      <c r="J659" s="169">
        <f t="shared" si="748"/>
        <v>99105</v>
      </c>
      <c r="K659" s="63"/>
      <c r="L659" s="61" t="str">
        <f>Price!A659</f>
        <v>Držák kabelu s Klebesockel</v>
      </c>
      <c r="M659" s="15" t="str">
        <f>Price!B659</f>
        <v>Z10K0009</v>
      </c>
      <c r="N659" s="15" t="str">
        <f>Price!C659</f>
        <v>NA</v>
      </c>
      <c r="O659" s="525">
        <f>Price!D659</f>
        <v>0</v>
      </c>
      <c r="P659" s="16"/>
      <c r="Q659" s="17">
        <f>Price!F659</f>
        <v>22.708690000000001</v>
      </c>
      <c r="R659" s="318"/>
      <c r="S659" s="318"/>
      <c r="T659" s="12">
        <f>Price!G659</f>
        <v>7283231</v>
      </c>
      <c r="U659" s="252">
        <f>Price!H659</f>
        <v>99105</v>
      </c>
      <c r="V659" s="13"/>
      <c r="W659" s="13"/>
      <c r="X659" s="19"/>
      <c r="Y659" s="19"/>
    </row>
    <row r="660" spans="1:25" x14ac:dyDescent="0.35">
      <c r="A660" s="90" t="str">
        <f t="shared" si="742"/>
        <v>Synchronizační kabel 8cm</v>
      </c>
      <c r="B660" s="91" t="str">
        <f t="shared" si="743"/>
        <v xml:space="preserve">Z10K008S </v>
      </c>
      <c r="C660" s="91" t="str">
        <f t="shared" si="744"/>
        <v>W</v>
      </c>
      <c r="D660" s="91">
        <f t="shared" si="744"/>
        <v>0</v>
      </c>
      <c r="E660" s="92">
        <f t="shared" si="745"/>
        <v>0</v>
      </c>
      <c r="F660" s="17">
        <f t="shared" si="746"/>
        <v>126.53116</v>
      </c>
      <c r="G660" s="65"/>
      <c r="H660" s="65"/>
      <c r="I660" s="169">
        <f t="shared" si="747"/>
        <v>7288466</v>
      </c>
      <c r="J660" s="169">
        <f t="shared" si="748"/>
        <v>99106</v>
      </c>
      <c r="K660" s="63"/>
      <c r="L660" s="61" t="str">
        <f>Price!A660</f>
        <v>Synchronizační kabel 8cm</v>
      </c>
      <c r="M660" s="15" t="str">
        <f>Price!B660</f>
        <v xml:space="preserve">Z10K008S </v>
      </c>
      <c r="N660" s="15" t="str">
        <f>Price!C660</f>
        <v>W</v>
      </c>
      <c r="O660" s="525">
        <f>Price!D660</f>
        <v>0</v>
      </c>
      <c r="P660" s="16"/>
      <c r="Q660" s="17">
        <f>Price!F660</f>
        <v>126.53116</v>
      </c>
      <c r="R660" s="318"/>
      <c r="S660" s="318"/>
      <c r="T660" s="12">
        <f>Price!G660</f>
        <v>7288466</v>
      </c>
      <c r="U660" s="252">
        <f>Price!H660</f>
        <v>99106</v>
      </c>
      <c r="V660" s="13"/>
      <c r="W660" s="13"/>
      <c r="X660" s="19"/>
      <c r="Y660" s="19"/>
    </row>
    <row r="661" spans="1:25" x14ac:dyDescent="0.35">
      <c r="A661" s="90" t="str">
        <f t="shared" si="742"/>
        <v>Synchronizační kabel 50cm</v>
      </c>
      <c r="B661" s="91" t="str">
        <f t="shared" si="743"/>
        <v>Z10K050S</v>
      </c>
      <c r="C661" s="91" t="str">
        <f t="shared" si="744"/>
        <v>W</v>
      </c>
      <c r="D661" s="91">
        <f t="shared" si="744"/>
        <v>0</v>
      </c>
      <c r="E661" s="92">
        <f t="shared" si="745"/>
        <v>0</v>
      </c>
      <c r="F661" s="17">
        <f t="shared" si="746"/>
        <v>175.72389999999999</v>
      </c>
      <c r="G661" s="65"/>
      <c r="H661" s="65"/>
      <c r="I661" s="169">
        <f t="shared" si="747"/>
        <v>8013626</v>
      </c>
      <c r="J661" s="169">
        <f t="shared" si="748"/>
        <v>246077</v>
      </c>
      <c r="K661" s="63"/>
      <c r="L661" s="61" t="str">
        <f>Price!A661</f>
        <v>Synchronizační kabel 50cm</v>
      </c>
      <c r="M661" s="15" t="str">
        <f>Price!B661</f>
        <v>Z10K050S</v>
      </c>
      <c r="N661" s="15" t="str">
        <f>Price!C661</f>
        <v>W</v>
      </c>
      <c r="O661" s="525">
        <f>Price!D661</f>
        <v>0</v>
      </c>
      <c r="P661" s="16"/>
      <c r="Q661" s="17">
        <f>Price!F661</f>
        <v>175.72389999999999</v>
      </c>
      <c r="R661" s="318"/>
      <c r="S661" s="318"/>
      <c r="T661" s="12">
        <f>Price!G661</f>
        <v>8013626</v>
      </c>
      <c r="U661" s="252">
        <f>Price!H661</f>
        <v>246077</v>
      </c>
    </row>
    <row r="662" spans="1:25" x14ac:dyDescent="0.35">
      <c r="A662" s="90" t="str">
        <f t="shared" si="742"/>
        <v>Synchronizační kabel 120cm</v>
      </c>
      <c r="B662" s="91" t="str">
        <f t="shared" si="743"/>
        <v>Z10K120S</v>
      </c>
      <c r="C662" s="91" t="str">
        <f t="shared" si="744"/>
        <v>W</v>
      </c>
      <c r="D662" s="91">
        <f t="shared" si="744"/>
        <v>0</v>
      </c>
      <c r="E662" s="92">
        <f t="shared" si="745"/>
        <v>0</v>
      </c>
      <c r="F662" s="17">
        <f t="shared" si="746"/>
        <v>272.02954999999997</v>
      </c>
      <c r="G662" s="65"/>
      <c r="H662" s="65"/>
      <c r="I662" s="169">
        <f t="shared" si="747"/>
        <v>7288546</v>
      </c>
      <c r="J662" s="169">
        <f t="shared" si="748"/>
        <v>99128</v>
      </c>
      <c r="L662" s="61" t="str">
        <f>Price!A662</f>
        <v>Synchronizační kabel 120cm</v>
      </c>
      <c r="M662" s="15" t="str">
        <f>Price!B662</f>
        <v>Z10K120S</v>
      </c>
      <c r="N662" s="15" t="str">
        <f>Price!C662</f>
        <v>W</v>
      </c>
      <c r="O662" s="525">
        <f>Price!D662</f>
        <v>0</v>
      </c>
      <c r="P662" s="16"/>
      <c r="Q662" s="17">
        <f>Price!F662</f>
        <v>272.02954999999997</v>
      </c>
      <c r="R662" s="318"/>
      <c r="S662" s="318"/>
      <c r="T662" s="12">
        <f>Price!G662</f>
        <v>7288546</v>
      </c>
      <c r="U662" s="252">
        <f>Price!H662</f>
        <v>99128</v>
      </c>
    </row>
    <row r="663" spans="1:25" x14ac:dyDescent="0.35">
      <c r="A663" s="90" t="str">
        <f t="shared" si="742"/>
        <v>Synchronizační kabel 160cm</v>
      </c>
      <c r="B663" s="91" t="str">
        <f t="shared" si="743"/>
        <v>Z10K160S</v>
      </c>
      <c r="C663" s="91" t="str">
        <f t="shared" si="744"/>
        <v>W</v>
      </c>
      <c r="D663" s="91">
        <f t="shared" si="744"/>
        <v>0</v>
      </c>
      <c r="E663" s="92">
        <f t="shared" si="745"/>
        <v>0</v>
      </c>
      <c r="F663" s="17">
        <f t="shared" si="746"/>
        <v>307.17772000000002</v>
      </c>
      <c r="G663" s="65"/>
      <c r="H663" s="65"/>
      <c r="I663" s="169">
        <f t="shared" si="747"/>
        <v>7361306</v>
      </c>
      <c r="J663" s="169">
        <f t="shared" si="748"/>
        <v>99118</v>
      </c>
      <c r="L663" s="61" t="str">
        <f>Price!A663</f>
        <v>Synchronizační kabel 160cm</v>
      </c>
      <c r="M663" s="15" t="str">
        <f>Price!B663</f>
        <v>Z10K160S</v>
      </c>
      <c r="N663" s="15" t="str">
        <f>Price!C663</f>
        <v>W</v>
      </c>
      <c r="O663" s="525">
        <f>Price!D663</f>
        <v>0</v>
      </c>
      <c r="P663" s="16"/>
      <c r="Q663" s="17">
        <f>Price!F663</f>
        <v>307.17772000000002</v>
      </c>
      <c r="R663" s="318"/>
      <c r="S663" s="318"/>
      <c r="T663" s="12">
        <f>Price!G663</f>
        <v>7361306</v>
      </c>
      <c r="U663" s="252">
        <f>Price!H663</f>
        <v>99118</v>
      </c>
    </row>
    <row r="664" spans="1:25" x14ac:dyDescent="0.35">
      <c r="A664" s="90" t="str">
        <f t="shared" si="742"/>
        <v>Elektrokabel, délka 8m + 5 krytek</v>
      </c>
      <c r="B664" s="91" t="str">
        <f t="shared" si="743"/>
        <v>Z10K800AE</v>
      </c>
      <c r="C664" s="91" t="str">
        <f t="shared" si="744"/>
        <v>S</v>
      </c>
      <c r="D664" s="91">
        <f t="shared" si="744"/>
        <v>0</v>
      </c>
      <c r="E664" s="92">
        <f t="shared" si="745"/>
        <v>0</v>
      </c>
      <c r="F664" s="17">
        <f t="shared" si="746"/>
        <v>788.36121000000003</v>
      </c>
      <c r="G664" s="65"/>
      <c r="H664" s="65"/>
      <c r="I664" s="169">
        <f t="shared" si="747"/>
        <v>7550294</v>
      </c>
      <c r="J664" s="169">
        <f t="shared" si="748"/>
        <v>99107</v>
      </c>
      <c r="L664" s="61" t="str">
        <f>Price!A664</f>
        <v>Elektrokabel, délka 8m + 5 krytek</v>
      </c>
      <c r="M664" s="15" t="str">
        <f>Price!B664</f>
        <v>Z10K800AE</v>
      </c>
      <c r="N664" s="15" t="str">
        <f>Price!C664</f>
        <v>S</v>
      </c>
      <c r="O664" s="525">
        <f>Price!D664</f>
        <v>0</v>
      </c>
      <c r="P664" s="16"/>
      <c r="Q664" s="17">
        <f>Price!F664</f>
        <v>788.36121000000003</v>
      </c>
      <c r="R664" s="318"/>
      <c r="S664" s="318"/>
      <c r="T664" s="12">
        <f>Price!G664</f>
        <v>7550294</v>
      </c>
      <c r="U664" s="252">
        <f>Price!H664</f>
        <v>99107</v>
      </c>
    </row>
    <row r="665" spans="1:25" x14ac:dyDescent="0.35">
      <c r="A665" s="90" t="str">
        <f t="shared" si="742"/>
        <v>Napájecí kabel se zástrčkou, 2m</v>
      </c>
      <c r="B665" s="91" t="str">
        <f t="shared" si="743"/>
        <v xml:space="preserve">Z10M200E </v>
      </c>
      <c r="C665" s="91" t="str">
        <f t="shared" si="744"/>
        <v>S</v>
      </c>
      <c r="D665" s="91">
        <f t="shared" si="744"/>
        <v>0</v>
      </c>
      <c r="E665" s="92">
        <f t="shared" si="745"/>
        <v>0</v>
      </c>
      <c r="F665" s="17">
        <f t="shared" si="746"/>
        <v>191.19835999999998</v>
      </c>
      <c r="G665" s="65"/>
      <c r="H665" s="65"/>
      <c r="I665" s="169">
        <f t="shared" si="747"/>
        <v>7205784</v>
      </c>
      <c r="J665" s="169">
        <f t="shared" si="748"/>
        <v>99108</v>
      </c>
      <c r="L665" s="61" t="str">
        <f>Price!A665</f>
        <v>Napájecí kabel se zástrčkou, 2m</v>
      </c>
      <c r="M665" s="15" t="str">
        <f>Price!B665</f>
        <v xml:space="preserve">Z10M200E </v>
      </c>
      <c r="N665" s="15" t="str">
        <f>Price!C665</f>
        <v>S</v>
      </c>
      <c r="O665" s="525">
        <f>Price!D665</f>
        <v>0</v>
      </c>
      <c r="P665" s="16"/>
      <c r="Q665" s="17">
        <f>Price!F665</f>
        <v>191.19836000000001</v>
      </c>
      <c r="R665" s="318"/>
      <c r="S665" s="318"/>
      <c r="T665" s="12">
        <f>Price!G665</f>
        <v>7205784</v>
      </c>
      <c r="U665" s="252">
        <f>Price!H665</f>
        <v>99108</v>
      </c>
    </row>
    <row r="666" spans="1:25" x14ac:dyDescent="0.35">
      <c r="A666" s="90" t="str">
        <f t="shared" si="742"/>
        <v>Napájecí zdroj 24W</v>
      </c>
      <c r="B666" s="91" t="str">
        <f t="shared" si="743"/>
        <v>Z10NE030E</v>
      </c>
      <c r="C666" s="91" t="str">
        <f t="shared" si="744"/>
        <v>S</v>
      </c>
      <c r="D666" s="91">
        <f t="shared" si="744"/>
        <v>0</v>
      </c>
      <c r="E666" s="92">
        <f t="shared" si="745"/>
        <v>0</v>
      </c>
      <c r="F666" s="17">
        <f t="shared" si="746"/>
        <v>2910.1035299999999</v>
      </c>
      <c r="G666" s="65"/>
      <c r="H666" s="65"/>
      <c r="I666" s="169">
        <f t="shared" si="747"/>
        <v>5082891</v>
      </c>
      <c r="J666" s="169">
        <f t="shared" si="748"/>
        <v>129576</v>
      </c>
      <c r="L666" s="61" t="str">
        <f>Price!A666</f>
        <v>Napájecí zdroj 24W</v>
      </c>
      <c r="M666" s="15" t="str">
        <f>Price!B666</f>
        <v>Z10NE030E</v>
      </c>
      <c r="N666" s="15" t="str">
        <f>Price!C666</f>
        <v>S</v>
      </c>
      <c r="O666" s="525">
        <f>Price!D666</f>
        <v>0</v>
      </c>
      <c r="P666" s="16"/>
      <c r="Q666" s="17">
        <f>Price!F666</f>
        <v>2910.1035299999999</v>
      </c>
      <c r="R666" s="318"/>
      <c r="S666" s="318"/>
      <c r="T666" s="12">
        <f>Price!G666</f>
        <v>5082891</v>
      </c>
      <c r="U666" s="252">
        <f>Price!H666</f>
        <v>129576</v>
      </c>
    </row>
    <row r="667" spans="1:25" x14ac:dyDescent="0.35">
      <c r="A667" s="90" t="str">
        <f t="shared" si="742"/>
        <v>Držák napájecího zdroje - montáž do dna</v>
      </c>
      <c r="B667" s="91" t="str">
        <f t="shared" si="743"/>
        <v>Z10NG000</v>
      </c>
      <c r="C667" s="91" t="str">
        <f t="shared" si="744"/>
        <v>R737</v>
      </c>
      <c r="D667" s="91">
        <f t="shared" si="744"/>
        <v>0</v>
      </c>
      <c r="E667" s="92">
        <f t="shared" si="745"/>
        <v>0</v>
      </c>
      <c r="F667" s="17">
        <f t="shared" si="746"/>
        <v>196.81618999999998</v>
      </c>
      <c r="G667" s="65"/>
      <c r="H667" s="65"/>
      <c r="I667" s="169">
        <f t="shared" si="747"/>
        <v>7282180</v>
      </c>
      <c r="J667" s="169">
        <f t="shared" si="748"/>
        <v>991110</v>
      </c>
      <c r="L667" s="61" t="str">
        <f>Price!A667</f>
        <v>Držák napájecího zdroje - montáž do dna</v>
      </c>
      <c r="M667" s="15" t="str">
        <f>Price!B667</f>
        <v>Z10NG000</v>
      </c>
      <c r="N667" s="15" t="str">
        <f>Price!C667</f>
        <v>R737</v>
      </c>
      <c r="O667" s="525">
        <f>Price!D667</f>
        <v>0</v>
      </c>
      <c r="P667" s="16"/>
      <c r="Q667" s="17">
        <f>Price!F667</f>
        <v>196.81619000000001</v>
      </c>
      <c r="R667" s="318"/>
      <c r="S667" s="318"/>
      <c r="T667" s="12">
        <f>Price!G667</f>
        <v>7282180</v>
      </c>
      <c r="U667" s="252">
        <f>Price!H667</f>
        <v>991110</v>
      </c>
    </row>
    <row r="668" spans="1:25" x14ac:dyDescent="0.35">
      <c r="A668" s="90" t="str">
        <f t="shared" si="742"/>
        <v>Držák napájecího zdroje - montáž na stěnu</v>
      </c>
      <c r="B668" s="91" t="str">
        <f t="shared" si="743"/>
        <v>Z10NG120</v>
      </c>
      <c r="C668" s="91" t="str">
        <f t="shared" si="744"/>
        <v>WGR</v>
      </c>
      <c r="D668" s="91">
        <f t="shared" si="744"/>
        <v>0</v>
      </c>
      <c r="E668" s="92">
        <f t="shared" si="745"/>
        <v>0</v>
      </c>
      <c r="F668" s="17">
        <f t="shared" si="746"/>
        <v>106.14533</v>
      </c>
      <c r="G668" s="65"/>
      <c r="H668" s="65"/>
      <c r="I668" s="169">
        <f t="shared" si="747"/>
        <v>9327076</v>
      </c>
      <c r="J668" s="169">
        <f t="shared" si="748"/>
        <v>131344</v>
      </c>
      <c r="L668" s="61" t="str">
        <f>Price!A668</f>
        <v>Držák napájecího zdroje - montáž na stěnu</v>
      </c>
      <c r="M668" s="15" t="str">
        <f>Price!B668</f>
        <v>Z10NG120</v>
      </c>
      <c r="N668" s="15" t="str">
        <f>Price!C668</f>
        <v>WGR</v>
      </c>
      <c r="O668" s="525">
        <f>Price!D668</f>
        <v>0</v>
      </c>
      <c r="P668" s="16"/>
      <c r="Q668" s="17">
        <f>Price!F668</f>
        <v>106.14533</v>
      </c>
      <c r="R668" s="318"/>
      <c r="S668" s="318"/>
      <c r="T668" s="12">
        <f>Price!G668</f>
        <v>9327076</v>
      </c>
      <c r="U668" s="252">
        <f>Price!H668</f>
        <v>131344</v>
      </c>
    </row>
    <row r="669" spans="1:25" x14ac:dyDescent="0.35">
      <c r="A669" s="90" t="str">
        <f t="shared" si="742"/>
        <v>Propojovací svorka s hroty + krytka</v>
      </c>
      <c r="B669" s="91" t="str">
        <f t="shared" si="743"/>
        <v>Z10V100E.01</v>
      </c>
      <c r="C669" s="91" t="str">
        <f t="shared" si="744"/>
        <v>S</v>
      </c>
      <c r="D669" s="91">
        <f t="shared" si="744"/>
        <v>0</v>
      </c>
      <c r="E669" s="92">
        <f t="shared" si="745"/>
        <v>0</v>
      </c>
      <c r="F669" s="17">
        <f t="shared" si="746"/>
        <v>187.78470999999999</v>
      </c>
      <c r="G669" s="65"/>
      <c r="H669" s="65"/>
      <c r="I669" s="169">
        <f t="shared" si="747"/>
        <v>8820285</v>
      </c>
      <c r="J669" s="169">
        <f t="shared" si="748"/>
        <v>132954</v>
      </c>
      <c r="L669" s="61" t="str">
        <f>Price!A669</f>
        <v>Propojovací svorka s hroty + krytka</v>
      </c>
      <c r="M669" s="15" t="str">
        <f>Price!B669</f>
        <v>Z10V100E.01</v>
      </c>
      <c r="N669" s="15" t="str">
        <f>Price!C669</f>
        <v>S</v>
      </c>
      <c r="O669" s="525">
        <f>Price!D669</f>
        <v>0</v>
      </c>
      <c r="P669" s="16"/>
      <c r="Q669" s="17">
        <f>Price!F669</f>
        <v>187.78470999999999</v>
      </c>
      <c r="R669" s="318"/>
      <c r="S669" s="318"/>
      <c r="T669" s="12">
        <f>Price!G669</f>
        <v>8820285</v>
      </c>
      <c r="U669" s="252">
        <f>Price!H669</f>
        <v>132954</v>
      </c>
    </row>
    <row r="670" spans="1:25" x14ac:dyDescent="0.35">
      <c r="A670" s="90" t="str">
        <f t="shared" si="742"/>
        <v xml:space="preserve">Nosník, 670mm, s předmont. kabelem </v>
      </c>
      <c r="B670" s="91" t="str">
        <f t="shared" si="743"/>
        <v xml:space="preserve">Z10T670AA </v>
      </c>
      <c r="C670" s="91" t="str">
        <f t="shared" si="744"/>
        <v>Alu</v>
      </c>
      <c r="D670" s="91">
        <f t="shared" si="744"/>
        <v>0</v>
      </c>
      <c r="E670" s="92">
        <f t="shared" si="745"/>
        <v>0</v>
      </c>
      <c r="F670" s="17">
        <f t="shared" si="746"/>
        <v>1030.4817499999999</v>
      </c>
      <c r="G670" s="65"/>
      <c r="H670" s="65"/>
      <c r="I670" s="169">
        <f t="shared" si="747"/>
        <v>7716441</v>
      </c>
      <c r="J670" s="169">
        <f t="shared" si="748"/>
        <v>99125</v>
      </c>
      <c r="L670" s="61" t="str">
        <f>Price!A670</f>
        <v xml:space="preserve">Nosník, 670mm, s předmont. kabelem </v>
      </c>
      <c r="M670" s="15" t="str">
        <f>Price!B670</f>
        <v xml:space="preserve">Z10T670AA </v>
      </c>
      <c r="N670" s="15" t="str">
        <f>Price!C670</f>
        <v>Alu</v>
      </c>
      <c r="O670" s="525">
        <f>Price!D670</f>
        <v>0</v>
      </c>
      <c r="P670" s="16"/>
      <c r="Q670" s="17">
        <f>Price!F670</f>
        <v>1030.4817499999999</v>
      </c>
      <c r="R670" s="318"/>
      <c r="S670" s="318"/>
      <c r="T670" s="12">
        <f>Price!G670</f>
        <v>7716441</v>
      </c>
      <c r="U670" s="252">
        <f>Price!H670</f>
        <v>99125</v>
      </c>
    </row>
    <row r="671" spans="1:25" x14ac:dyDescent="0.35">
      <c r="A671" s="90" t="str">
        <f t="shared" si="742"/>
        <v xml:space="preserve">Nosník, 750mm, s předmont. kabelem </v>
      </c>
      <c r="B671" s="91" t="str">
        <f t="shared" si="743"/>
        <v xml:space="preserve">Z10T750AA </v>
      </c>
      <c r="C671" s="91" t="str">
        <f t="shared" si="744"/>
        <v>Alu</v>
      </c>
      <c r="D671" s="91">
        <f t="shared" si="744"/>
        <v>0</v>
      </c>
      <c r="E671" s="92">
        <f t="shared" si="745"/>
        <v>0</v>
      </c>
      <c r="F671" s="17">
        <f t="shared" si="746"/>
        <v>1128.9011499999999</v>
      </c>
      <c r="G671" s="65"/>
      <c r="H671" s="65"/>
      <c r="I671" s="169">
        <f t="shared" si="747"/>
        <v>7466401</v>
      </c>
      <c r="J671" s="169">
        <f t="shared" si="748"/>
        <v>99115</v>
      </c>
      <c r="L671" s="61" t="str">
        <f>Price!A671</f>
        <v xml:space="preserve">Nosník, 750mm, s předmont. kabelem </v>
      </c>
      <c r="M671" s="15" t="str">
        <f>Price!B671</f>
        <v xml:space="preserve">Z10T750AA </v>
      </c>
      <c r="N671" s="15" t="str">
        <f>Price!C671</f>
        <v>Alu</v>
      </c>
      <c r="O671" s="525">
        <f>Price!D671</f>
        <v>0</v>
      </c>
      <c r="P671" s="16"/>
      <c r="Q671" s="17">
        <f>Price!F671</f>
        <v>1128.9011499999999</v>
      </c>
      <c r="R671" s="318"/>
      <c r="S671" s="318"/>
      <c r="T671" s="12">
        <f>Price!G671</f>
        <v>7466401</v>
      </c>
      <c r="U671" s="252">
        <f>Price!H671</f>
        <v>99115</v>
      </c>
    </row>
    <row r="672" spans="1:25" x14ac:dyDescent="0.35">
      <c r="A672" s="90" t="str">
        <f t="shared" si="742"/>
        <v>Nosník 1170mm, bez kabelu</v>
      </c>
      <c r="B672" s="91" t="str">
        <f t="shared" si="743"/>
        <v>Z10T1170A</v>
      </c>
      <c r="C672" s="91" t="str">
        <f t="shared" si="744"/>
        <v>Alu</v>
      </c>
      <c r="D672" s="91">
        <f t="shared" si="744"/>
        <v>0</v>
      </c>
      <c r="E672" s="92">
        <f t="shared" si="745"/>
        <v>0</v>
      </c>
      <c r="F672" s="17">
        <f t="shared" si="746"/>
        <v>1202.0177100000001</v>
      </c>
      <c r="G672" s="65"/>
      <c r="H672" s="65"/>
      <c r="I672" s="169">
        <f t="shared" si="747"/>
        <v>7287731</v>
      </c>
      <c r="J672" s="169">
        <f t="shared" si="748"/>
        <v>99116</v>
      </c>
      <c r="L672" s="61" t="str">
        <f>Price!A672</f>
        <v>Nosník 1170mm, bez kabelu</v>
      </c>
      <c r="M672" s="15" t="str">
        <f>Price!B672</f>
        <v>Z10T1170A</v>
      </c>
      <c r="N672" s="15" t="str">
        <f>Price!C672</f>
        <v>Alu</v>
      </c>
      <c r="O672" s="525">
        <f>Price!D672</f>
        <v>0</v>
      </c>
      <c r="P672" s="16"/>
      <c r="Q672" s="17">
        <f>Price!F672</f>
        <v>1202.0177100000001</v>
      </c>
      <c r="R672" s="318"/>
      <c r="S672" s="318"/>
      <c r="T672" s="12">
        <f>Price!G672</f>
        <v>7287731</v>
      </c>
      <c r="U672" s="252">
        <f>Price!H672</f>
        <v>99116</v>
      </c>
    </row>
    <row r="673" spans="1:21" x14ac:dyDescent="0.35">
      <c r="A673" s="90" t="str">
        <f t="shared" si="742"/>
        <v xml:space="preserve">Mechanizmus vyhazovače </v>
      </c>
      <c r="B673" s="91" t="str">
        <f t="shared" si="743"/>
        <v>Z10A3H00</v>
      </c>
      <c r="C673" s="91" t="str">
        <f t="shared" si="744"/>
        <v>R737</v>
      </c>
      <c r="D673" s="91">
        <f t="shared" si="744"/>
        <v>0</v>
      </c>
      <c r="E673" s="92">
        <f t="shared" si="745"/>
        <v>0</v>
      </c>
      <c r="F673" s="17">
        <f t="shared" si="746"/>
        <v>84.346569999999986</v>
      </c>
      <c r="G673" s="65"/>
      <c r="H673" s="65"/>
      <c r="I673" s="169">
        <f t="shared" si="747"/>
        <v>7472980</v>
      </c>
      <c r="J673" s="169">
        <f t="shared" si="748"/>
        <v>99126</v>
      </c>
      <c r="L673" s="61" t="str">
        <f>Price!A673</f>
        <v xml:space="preserve">Mechanizmus vyhazovače </v>
      </c>
      <c r="M673" s="15" t="str">
        <f>Price!B673</f>
        <v>Z10A3H00</v>
      </c>
      <c r="N673" s="15" t="str">
        <f>Price!C673</f>
        <v>R737</v>
      </c>
      <c r="O673" s="525">
        <f>Price!D673</f>
        <v>0</v>
      </c>
      <c r="P673" s="16"/>
      <c r="Q673" s="17">
        <f>Price!F673</f>
        <v>84.34657</v>
      </c>
      <c r="R673" s="318"/>
      <c r="S673" s="318"/>
      <c r="T673" s="12">
        <f>Price!G673</f>
        <v>7472980</v>
      </c>
      <c r="U673" s="252">
        <f>Price!H673</f>
        <v>99126</v>
      </c>
    </row>
    <row r="674" spans="1:21" x14ac:dyDescent="0.35">
      <c r="A674" s="90" t="str">
        <f t="shared" si="742"/>
        <v>Horizontální nosník</v>
      </c>
      <c r="B674" s="91" t="str">
        <f t="shared" si="743"/>
        <v>Z10T1143B</v>
      </c>
      <c r="C674" s="91" t="str">
        <f t="shared" si="744"/>
        <v>Alu</v>
      </c>
      <c r="D674" s="91">
        <f t="shared" si="744"/>
        <v>0</v>
      </c>
      <c r="E674" s="92">
        <f t="shared" si="745"/>
        <v>0</v>
      </c>
      <c r="F674" s="17">
        <f t="shared" si="746"/>
        <v>496.95749999999998</v>
      </c>
      <c r="G674" s="65"/>
      <c r="H674" s="65"/>
      <c r="I674" s="169">
        <f t="shared" si="747"/>
        <v>7922191</v>
      </c>
      <c r="J674" s="169">
        <f t="shared" si="748"/>
        <v>99124</v>
      </c>
      <c r="L674" s="61" t="str">
        <f>Price!A674</f>
        <v>Horizontální nosník</v>
      </c>
      <c r="M674" s="15" t="str">
        <f>Price!B674</f>
        <v>Z10T1143B</v>
      </c>
      <c r="N674" s="15" t="str">
        <f>Price!C674</f>
        <v>Alu</v>
      </c>
      <c r="O674" s="525">
        <f>Price!D674</f>
        <v>0</v>
      </c>
      <c r="P674" s="16"/>
      <c r="Q674" s="17">
        <f>Price!F674</f>
        <v>496.95749999999998</v>
      </c>
      <c r="R674" s="318"/>
      <c r="S674" s="318"/>
      <c r="T674" s="12">
        <f>Price!G674</f>
        <v>7922191</v>
      </c>
      <c r="U674" s="252">
        <f>Price!H674</f>
        <v>99124</v>
      </c>
    </row>
    <row r="675" spans="1:21" x14ac:dyDescent="0.35">
      <c r="A675" s="90" t="str">
        <f t="shared" si="742"/>
        <v>Adaptér + držák horizont. nosníku</v>
      </c>
      <c r="B675" s="91" t="str">
        <f t="shared" si="743"/>
        <v>Z10D5210</v>
      </c>
      <c r="C675" s="91" t="str">
        <f t="shared" si="744"/>
        <v>R737</v>
      </c>
      <c r="D675" s="91">
        <f t="shared" si="744"/>
        <v>0</v>
      </c>
      <c r="E675" s="92">
        <f t="shared" si="745"/>
        <v>0</v>
      </c>
      <c r="F675" s="17">
        <f t="shared" si="746"/>
        <v>156.04454000000001</v>
      </c>
      <c r="G675" s="65"/>
      <c r="H675" s="65"/>
      <c r="I675" s="169">
        <f t="shared" si="747"/>
        <v>7867370</v>
      </c>
      <c r="J675" s="169">
        <f t="shared" si="748"/>
        <v>99123</v>
      </c>
      <c r="L675" s="61" t="str">
        <f>Price!A675</f>
        <v>Adaptér + držák horizont. nosníku</v>
      </c>
      <c r="M675" s="15" t="str">
        <f>Price!B675</f>
        <v>Z10D5210</v>
      </c>
      <c r="N675" s="15" t="str">
        <f>Price!C675</f>
        <v>R737</v>
      </c>
      <c r="O675" s="525">
        <f>Price!D675</f>
        <v>0</v>
      </c>
      <c r="P675" s="16"/>
      <c r="Q675" s="17">
        <f>Price!F675</f>
        <v>156.04454000000001</v>
      </c>
      <c r="R675" s="318"/>
      <c r="S675" s="318"/>
      <c r="T675" s="12">
        <f>Price!G675</f>
        <v>7867370</v>
      </c>
      <c r="U675" s="252">
        <f>Price!H675</f>
        <v>99123</v>
      </c>
    </row>
    <row r="676" spans="1:21" x14ac:dyDescent="0.35">
      <c r="A676" s="90" t="str">
        <f t="shared" si="742"/>
        <v>COMBOX</v>
      </c>
      <c r="B676" s="91" t="str">
        <f t="shared" si="743"/>
        <v>Z10ZC00A</v>
      </c>
      <c r="C676" s="91" t="str">
        <f t="shared" si="744"/>
        <v>S</v>
      </c>
      <c r="D676" s="91">
        <f t="shared" si="744"/>
        <v>0</v>
      </c>
      <c r="E676" s="92">
        <f t="shared" si="745"/>
        <v>0</v>
      </c>
      <c r="F676" s="17">
        <f t="shared" si="746"/>
        <v>3438.92031</v>
      </c>
      <c r="G676" s="65"/>
      <c r="H676" s="65"/>
      <c r="I676" s="169">
        <f t="shared" si="747"/>
        <v>5202593</v>
      </c>
      <c r="J676" s="169">
        <f t="shared" si="748"/>
        <v>159530</v>
      </c>
      <c r="L676" s="61" t="str">
        <f>Price!A676</f>
        <v>COMBOX</v>
      </c>
      <c r="M676" s="15" t="str">
        <f>Price!B676</f>
        <v>Z10ZC00A</v>
      </c>
      <c r="N676" s="15" t="str">
        <f>Price!C676</f>
        <v>S</v>
      </c>
      <c r="O676" s="525">
        <f>Price!D676</f>
        <v>0</v>
      </c>
      <c r="P676" s="16"/>
      <c r="Q676" s="17">
        <f>Price!F676</f>
        <v>3438.92031</v>
      </c>
      <c r="R676" s="318"/>
      <c r="S676" s="318"/>
      <c r="T676" s="12">
        <f>Price!G676</f>
        <v>5202593</v>
      </c>
      <c r="U676" s="252">
        <f>Price!H676</f>
        <v>159530</v>
      </c>
    </row>
    <row r="677" spans="1:21" x14ac:dyDescent="0.35">
      <c r="A677" s="90" t="str">
        <f t="shared" si="742"/>
        <v>SD uno - sada pro výsuv na odpad</v>
      </c>
      <c r="B677" s="91" t="str">
        <f t="shared" si="743"/>
        <v>Z10NA30EE</v>
      </c>
      <c r="C677" s="91" t="str">
        <f t="shared" si="744"/>
        <v>R737</v>
      </c>
      <c r="D677" s="91">
        <f t="shared" si="744"/>
        <v>0</v>
      </c>
      <c r="E677" s="92">
        <f t="shared" si="745"/>
        <v>0</v>
      </c>
      <c r="F677" s="17">
        <f t="shared" si="746"/>
        <v>3967.578</v>
      </c>
      <c r="G677" s="65"/>
      <c r="H677" s="65"/>
      <c r="I677" s="169">
        <f t="shared" si="747"/>
        <v>8284875</v>
      </c>
      <c r="J677" s="169">
        <f t="shared" si="748"/>
        <v>130787</v>
      </c>
      <c r="L677" s="61" t="str">
        <f>Price!A677</f>
        <v>SD uno - sada pro výsuv na odpad</v>
      </c>
      <c r="M677" s="15" t="str">
        <f>Price!B677</f>
        <v>Z10NA30EE</v>
      </c>
      <c r="N677" s="15" t="str">
        <f>Price!C677</f>
        <v>R737</v>
      </c>
      <c r="O677" s="525">
        <f>Price!D677</f>
        <v>0</v>
      </c>
      <c r="P677" s="16"/>
      <c r="Q677" s="17">
        <f>Price!F677</f>
        <v>3967.578</v>
      </c>
      <c r="R677" s="318"/>
      <c r="S677" s="318"/>
      <c r="T677" s="12">
        <f>Price!G677</f>
        <v>8284875</v>
      </c>
      <c r="U677" s="252">
        <f>Price!H677</f>
        <v>130787</v>
      </c>
    </row>
    <row r="678" spans="1:21" x14ac:dyDescent="0.35">
      <c r="A678" s="90" t="str">
        <f t="shared" ref="A678:A683" si="749">L678</f>
        <v>SERVO-DRIVE flex - jednotka (sada)</v>
      </c>
      <c r="B678" s="91" t="str">
        <f t="shared" ref="B678:B683" si="750">M678</f>
        <v>Z10C500A</v>
      </c>
      <c r="C678" s="91" t="str">
        <f t="shared" ref="C678:C683" si="751">N678</f>
        <v>R736</v>
      </c>
      <c r="D678" s="91">
        <f t="shared" ref="D678:D683" si="752">O678</f>
        <v>0</v>
      </c>
      <c r="E678" s="92">
        <f t="shared" ref="E678:E683" si="753">P678</f>
        <v>0</v>
      </c>
      <c r="F678" s="17">
        <f t="shared" ref="F678:F683" si="754">Q678*(100-$F$6)/100</f>
        <v>4810.0468899999996</v>
      </c>
      <c r="G678" s="65"/>
      <c r="H678" s="65"/>
      <c r="I678" s="169">
        <f t="shared" ref="I678:I683" si="755">T678</f>
        <v>4784397</v>
      </c>
      <c r="J678" s="169">
        <f t="shared" ref="J678:J683" si="756">U678</f>
        <v>265145</v>
      </c>
      <c r="L678" s="61" t="str">
        <f>Price!A678</f>
        <v>SERVO-DRIVE flex - jednotka (sada)</v>
      </c>
      <c r="M678" s="15" t="str">
        <f>Price!B678</f>
        <v>Z10C500A</v>
      </c>
      <c r="N678" s="15" t="str">
        <f>Price!C678</f>
        <v>R736</v>
      </c>
      <c r="O678" s="525">
        <f>Price!D678</f>
        <v>0</v>
      </c>
      <c r="P678" s="16"/>
      <c r="Q678" s="17">
        <f>Price!F678</f>
        <v>4810.0468899999996</v>
      </c>
      <c r="R678" s="318"/>
      <c r="S678" s="318"/>
      <c r="T678" s="12">
        <f>Price!G678</f>
        <v>4784397</v>
      </c>
      <c r="U678" s="252">
        <f>Price!H678</f>
        <v>265145</v>
      </c>
    </row>
    <row r="679" spans="1:21" x14ac:dyDescent="0.35">
      <c r="A679" s="90" t="str">
        <f t="shared" si="749"/>
        <v>SERVO-DRIVE flex - bezdrátový přijímač</v>
      </c>
      <c r="B679" s="91" t="str">
        <f t="shared" si="750"/>
        <v>Z10C5007</v>
      </c>
      <c r="C679" s="91" t="str">
        <f t="shared" si="751"/>
        <v>R736</v>
      </c>
      <c r="D679" s="91">
        <f t="shared" si="752"/>
        <v>0</v>
      </c>
      <c r="E679" s="92">
        <f t="shared" si="753"/>
        <v>0</v>
      </c>
      <c r="F679" s="17">
        <f t="shared" si="754"/>
        <v>1884.95928</v>
      </c>
      <c r="G679" s="65"/>
      <c r="H679" s="65"/>
      <c r="I679" s="169">
        <f t="shared" si="755"/>
        <v>1120793</v>
      </c>
      <c r="J679" s="169">
        <f t="shared" si="756"/>
        <v>265355</v>
      </c>
      <c r="L679" s="61" t="str">
        <f>Price!A679</f>
        <v>SERVO-DRIVE flex - bezdrátový přijímač</v>
      </c>
      <c r="M679" s="15" t="str">
        <f>Price!B679</f>
        <v>Z10C5007</v>
      </c>
      <c r="N679" s="15" t="str">
        <f>Price!C679</f>
        <v>R736</v>
      </c>
      <c r="O679" s="525">
        <f>Price!D679</f>
        <v>0</v>
      </c>
      <c r="P679" s="16"/>
      <c r="Q679" s="17">
        <f>Price!F679</f>
        <v>1884.95928</v>
      </c>
      <c r="R679" s="318"/>
      <c r="S679" s="318"/>
      <c r="T679" s="12">
        <f>Price!G679</f>
        <v>1120793</v>
      </c>
      <c r="U679" s="252">
        <f>Price!H679</f>
        <v>265355</v>
      </c>
    </row>
    <row r="680" spans="1:21" x14ac:dyDescent="0.35">
      <c r="A680" s="90" t="str">
        <f t="shared" si="749"/>
        <v>Spínač SERVO-DRIVE, světle šedá</v>
      </c>
      <c r="B680" s="91" t="str">
        <f t="shared" si="750"/>
        <v>21P5020</v>
      </c>
      <c r="C680" s="91" t="str">
        <f t="shared" si="751"/>
        <v>HGR</v>
      </c>
      <c r="D680" s="91">
        <f t="shared" si="752"/>
        <v>0</v>
      </c>
      <c r="E680" s="92">
        <f t="shared" si="753"/>
        <v>0</v>
      </c>
      <c r="F680" s="17">
        <f t="shared" si="754"/>
        <v>841.70610999999985</v>
      </c>
      <c r="G680" s="65"/>
      <c r="H680" s="65"/>
      <c r="I680" s="169">
        <f t="shared" si="755"/>
        <v>8978398</v>
      </c>
      <c r="J680" s="169">
        <f t="shared" si="756"/>
        <v>123015</v>
      </c>
      <c r="L680" s="61" t="str">
        <f>Price!A680</f>
        <v>Spínač SERVO-DRIVE, světle šedá</v>
      </c>
      <c r="M680" s="15" t="str">
        <f>Price!B680</f>
        <v>21P5020</v>
      </c>
      <c r="N680" s="15" t="str">
        <f>Price!C680</f>
        <v>HGR</v>
      </c>
      <c r="O680" s="525">
        <f>Price!D680</f>
        <v>0</v>
      </c>
      <c r="P680" s="16"/>
      <c r="Q680" s="17">
        <f>Price!F680</f>
        <v>841.70610999999997</v>
      </c>
      <c r="R680" s="318"/>
      <c r="S680" s="318"/>
      <c r="T680" s="12">
        <f>Price!G680</f>
        <v>8978398</v>
      </c>
      <c r="U680" s="252">
        <f>Price!H680</f>
        <v>123015</v>
      </c>
    </row>
    <row r="681" spans="1:21" x14ac:dyDescent="0.35">
      <c r="A681" s="90" t="str">
        <f t="shared" si="749"/>
        <v>Spínač SERVO-DRIVE, hedvábně bílá</v>
      </c>
      <c r="B681" s="91" t="str">
        <f t="shared" si="750"/>
        <v>21P5020</v>
      </c>
      <c r="C681" s="91" t="str">
        <f t="shared" si="751"/>
        <v>SW</v>
      </c>
      <c r="D681" s="91">
        <f t="shared" si="752"/>
        <v>0</v>
      </c>
      <c r="E681" s="92">
        <f t="shared" si="753"/>
        <v>0</v>
      </c>
      <c r="F681" s="17">
        <f t="shared" si="754"/>
        <v>875.38149999999996</v>
      </c>
      <c r="G681" s="65"/>
      <c r="H681" s="65"/>
      <c r="I681" s="169">
        <f t="shared" si="755"/>
        <v>8978392</v>
      </c>
      <c r="J681" s="169">
        <f t="shared" si="756"/>
        <v>123016</v>
      </c>
      <c r="L681" s="61" t="str">
        <f>Price!A681</f>
        <v>Spínač SERVO-DRIVE, hedvábně bílá</v>
      </c>
      <c r="M681" s="15" t="str">
        <f>Price!B681</f>
        <v>21P5020</v>
      </c>
      <c r="N681" s="15" t="str">
        <f>Price!C681</f>
        <v>SW</v>
      </c>
      <c r="O681" s="525">
        <f>Price!D681</f>
        <v>0</v>
      </c>
      <c r="P681" s="16"/>
      <c r="Q681" s="17">
        <f>Price!F681</f>
        <v>875.38149999999996</v>
      </c>
      <c r="R681" s="318"/>
      <c r="S681" s="318"/>
      <c r="T681" s="12">
        <f>Price!G681</f>
        <v>8978392</v>
      </c>
      <c r="U681" s="252">
        <f>Price!H681</f>
        <v>123016</v>
      </c>
    </row>
    <row r="682" spans="1:21" x14ac:dyDescent="0.35">
      <c r="A682" s="90" t="str">
        <f t="shared" si="749"/>
        <v>Montážní podložka - boční adaptér</v>
      </c>
      <c r="B682" s="91" t="str">
        <f t="shared" si="750"/>
        <v>Z10C5005</v>
      </c>
      <c r="C682" s="91" t="str">
        <f t="shared" si="751"/>
        <v>R735</v>
      </c>
      <c r="D682" s="91">
        <f t="shared" si="752"/>
        <v>0</v>
      </c>
      <c r="E682" s="92">
        <f t="shared" si="753"/>
        <v>0</v>
      </c>
      <c r="F682" s="17">
        <f t="shared" si="754"/>
        <v>16.96725</v>
      </c>
      <c r="G682" s="65"/>
      <c r="H682" s="65"/>
      <c r="I682" s="169">
        <f t="shared" si="755"/>
        <v>1157179</v>
      </c>
      <c r="J682" s="169">
        <f t="shared" si="756"/>
        <v>265356</v>
      </c>
      <c r="L682" s="61" t="str">
        <f>Price!A682</f>
        <v>Montážní podložka - boční adaptér</v>
      </c>
      <c r="M682" s="15" t="str">
        <f>Price!B682</f>
        <v>Z10C5005</v>
      </c>
      <c r="N682" s="15" t="str">
        <f>Price!C682</f>
        <v>R735</v>
      </c>
      <c r="O682" s="525">
        <f>Price!D682</f>
        <v>0</v>
      </c>
      <c r="P682" s="16"/>
      <c r="Q682" s="17">
        <f>Price!F682</f>
        <v>16.96725</v>
      </c>
      <c r="R682" s="318"/>
      <c r="S682" s="318"/>
      <c r="T682" s="12">
        <f>Price!G682</f>
        <v>1157179</v>
      </c>
      <c r="U682" s="252">
        <f>Price!H682</f>
        <v>265356</v>
      </c>
    </row>
    <row r="683" spans="1:21" x14ac:dyDescent="0.35">
      <c r="A683" s="90" t="str">
        <f t="shared" si="749"/>
        <v>Synchronizační kabel 300 cm, světle šedá</v>
      </c>
      <c r="B683" s="91" t="str">
        <f t="shared" si="750"/>
        <v>Z10K300A</v>
      </c>
      <c r="C683" s="91" t="str">
        <f t="shared" si="751"/>
        <v>R735</v>
      </c>
      <c r="D683" s="91" t="str">
        <f t="shared" si="752"/>
        <v>!</v>
      </c>
      <c r="E683" s="92">
        <f t="shared" si="753"/>
        <v>0</v>
      </c>
      <c r="F683" s="17">
        <f t="shared" si="754"/>
        <v>249.88544999999999</v>
      </c>
      <c r="G683" s="65"/>
      <c r="H683" s="65"/>
      <c r="I683" s="169">
        <f t="shared" si="755"/>
        <v>4340633</v>
      </c>
      <c r="J683" s="169">
        <f t="shared" si="756"/>
        <v>304165</v>
      </c>
      <c r="L683" s="61" t="str">
        <f>Price!A683</f>
        <v>Synchronizační kabel 300 cm, světle šedá</v>
      </c>
      <c r="M683" s="15" t="str">
        <f>Price!B683</f>
        <v>Z10K300A</v>
      </c>
      <c r="N683" s="15" t="str">
        <f>Price!C683</f>
        <v>R735</v>
      </c>
      <c r="O683" s="525" t="str">
        <f>Price!D683</f>
        <v>!</v>
      </c>
      <c r="P683" s="16"/>
      <c r="Q683" s="17">
        <f>Price!F683</f>
        <v>249.88544999999999</v>
      </c>
      <c r="R683" s="318"/>
      <c r="S683" s="318"/>
      <c r="T683" s="12">
        <f>Price!G683</f>
        <v>4340633</v>
      </c>
      <c r="U683" s="252">
        <f>Price!H683</f>
        <v>304165</v>
      </c>
    </row>
    <row r="684" spans="1:21" x14ac:dyDescent="0.35">
      <c r="A684" s="77"/>
      <c r="B684" s="160"/>
      <c r="C684" s="160"/>
      <c r="D684" s="528"/>
      <c r="E684" s="78"/>
      <c r="F684" s="65"/>
      <c r="G684" s="65"/>
      <c r="H684" s="65"/>
      <c r="I684" s="171"/>
      <c r="J684" s="171"/>
      <c r="L684" s="61">
        <f>Price!A684</f>
        <v>0</v>
      </c>
      <c r="M684" s="15">
        <f>Price!B684</f>
        <v>0</v>
      </c>
      <c r="N684" s="15">
        <f>Price!C684</f>
        <v>0</v>
      </c>
      <c r="O684" s="525">
        <f>Price!D684</f>
        <v>0</v>
      </c>
      <c r="P684" s="16"/>
      <c r="Q684" s="17">
        <f>Price!F684</f>
        <v>0</v>
      </c>
      <c r="R684" s="318"/>
      <c r="S684" s="318"/>
      <c r="T684" s="12">
        <f>Price!G684</f>
        <v>0</v>
      </c>
      <c r="U684" s="252">
        <f>Price!H684</f>
        <v>0</v>
      </c>
    </row>
    <row r="685" spans="1:21" x14ac:dyDescent="0.35">
      <c r="A685" s="79"/>
      <c r="B685" s="161"/>
      <c r="C685" s="161"/>
      <c r="D685" s="529"/>
      <c r="E685" s="82"/>
      <c r="F685" s="65"/>
      <c r="G685" s="65"/>
      <c r="H685" s="65"/>
      <c r="I685" s="65"/>
      <c r="J685" s="65"/>
      <c r="L685" s="61">
        <f>Price!A685</f>
        <v>0</v>
      </c>
      <c r="M685" s="15">
        <f>Price!B685</f>
        <v>0</v>
      </c>
      <c r="N685" s="15">
        <f>Price!C685</f>
        <v>0</v>
      </c>
      <c r="O685" s="525">
        <f>Price!D685</f>
        <v>0</v>
      </c>
      <c r="P685" s="16"/>
      <c r="Q685" s="17">
        <f>Price!F685</f>
        <v>0</v>
      </c>
      <c r="R685" s="318"/>
      <c r="S685" s="318"/>
      <c r="T685" s="12">
        <f>Price!G685</f>
        <v>0</v>
      </c>
      <c r="U685" s="252">
        <f>Price!H685</f>
        <v>0</v>
      </c>
    </row>
    <row r="686" spans="1:21" x14ac:dyDescent="0.35">
      <c r="A686" s="79"/>
      <c r="B686" s="161"/>
      <c r="C686" s="161"/>
      <c r="D686" s="529"/>
      <c r="E686" s="82"/>
      <c r="F686" s="65"/>
      <c r="G686" s="65"/>
      <c r="H686" s="65"/>
      <c r="I686" s="65"/>
      <c r="J686" s="65"/>
      <c r="L686" s="61">
        <f>Price!A686</f>
        <v>0</v>
      </c>
      <c r="M686" s="15">
        <f>Price!B686</f>
        <v>0</v>
      </c>
      <c r="N686" s="15">
        <f>Price!C686</f>
        <v>0</v>
      </c>
      <c r="O686" s="525">
        <f>Price!D686</f>
        <v>0</v>
      </c>
      <c r="P686" s="16"/>
      <c r="Q686" s="17">
        <f>Price!F686</f>
        <v>0</v>
      </c>
      <c r="R686" s="318"/>
      <c r="S686" s="318"/>
      <c r="T686" s="12">
        <f>Price!G686</f>
        <v>0</v>
      </c>
      <c r="U686" s="252">
        <f>Price!H686</f>
        <v>0</v>
      </c>
    </row>
    <row r="687" spans="1:21" x14ac:dyDescent="0.35">
      <c r="A687" s="79"/>
      <c r="B687" s="161"/>
      <c r="C687" s="161"/>
      <c r="D687" s="529"/>
      <c r="E687" s="82"/>
      <c r="F687" s="65"/>
      <c r="G687" s="65"/>
      <c r="H687" s="65"/>
      <c r="I687" s="65"/>
      <c r="J687" s="65"/>
      <c r="L687" s="61" t="str">
        <f>Price!A687</f>
        <v xml:space="preserve">   Ostatní</v>
      </c>
      <c r="M687" s="15">
        <f>Price!B687</f>
        <v>0</v>
      </c>
      <c r="N687" s="15">
        <f>Price!C687</f>
        <v>0</v>
      </c>
      <c r="O687" s="525">
        <f>Price!D687</f>
        <v>0</v>
      </c>
      <c r="P687" s="16"/>
      <c r="Q687" s="17">
        <f>Price!F687</f>
        <v>0</v>
      </c>
      <c r="R687" s="318"/>
      <c r="S687" s="318"/>
      <c r="T687" s="12">
        <f>Price!G687</f>
        <v>0</v>
      </c>
      <c r="U687" s="252">
        <f>Price!H687</f>
        <v>0</v>
      </c>
    </row>
    <row r="688" spans="1:21" x14ac:dyDescent="0.35">
      <c r="A688" s="79"/>
      <c r="B688" s="161"/>
      <c r="C688" s="161"/>
      <c r="D688" s="529"/>
      <c r="E688" s="82"/>
      <c r="F688" s="65"/>
      <c r="G688" s="65"/>
      <c r="H688" s="65"/>
      <c r="I688" s="65"/>
      <c r="J688" s="65"/>
      <c r="L688" s="61">
        <f>Price!A688</f>
        <v>0</v>
      </c>
      <c r="M688" s="15">
        <f>Price!B688</f>
        <v>0</v>
      </c>
      <c r="N688" s="15">
        <f>Price!C688</f>
        <v>0</v>
      </c>
      <c r="O688" s="525">
        <f>Price!D688</f>
        <v>0</v>
      </c>
      <c r="P688" s="16"/>
      <c r="Q688" s="17">
        <f>Price!F688</f>
        <v>0</v>
      </c>
      <c r="R688" s="318"/>
      <c r="S688" s="318"/>
      <c r="T688" s="12">
        <f>Price!G688</f>
        <v>0</v>
      </c>
      <c r="U688" s="252">
        <f>Price!H688</f>
        <v>0</v>
      </c>
    </row>
    <row r="689" spans="1:21" x14ac:dyDescent="0.35">
      <c r="A689" s="77"/>
      <c r="B689" s="160"/>
      <c r="C689" s="160"/>
      <c r="D689" s="528"/>
      <c r="E689" s="83"/>
      <c r="F689" s="84"/>
      <c r="G689" s="84"/>
      <c r="H689" s="84"/>
      <c r="I689" s="84"/>
      <c r="J689" s="84"/>
      <c r="L689" s="61">
        <f>Price!A689</f>
        <v>0</v>
      </c>
      <c r="M689" s="15">
        <f>Price!B689</f>
        <v>0</v>
      </c>
      <c r="N689" s="15">
        <f>Price!C689</f>
        <v>0</v>
      </c>
      <c r="O689" s="525">
        <f>Price!D689</f>
        <v>0</v>
      </c>
      <c r="P689" s="16"/>
      <c r="Q689" s="17">
        <f>Price!F689</f>
        <v>0</v>
      </c>
      <c r="R689" s="318"/>
      <c r="S689" s="318"/>
      <c r="T689" s="12">
        <f>Price!G689</f>
        <v>0</v>
      </c>
      <c r="U689" s="252">
        <f>Price!H689</f>
        <v>0</v>
      </c>
    </row>
    <row r="690" spans="1:21" x14ac:dyDescent="0.35">
      <c r="A690" s="326"/>
      <c r="B690" s="160"/>
      <c r="C690" s="160"/>
      <c r="D690" s="528"/>
      <c r="E690" s="83"/>
      <c r="F690" s="84"/>
      <c r="G690" s="84"/>
      <c r="H690" s="84"/>
      <c r="I690" s="84"/>
      <c r="J690" s="84"/>
      <c r="L690" s="61">
        <f>Price!A690</f>
        <v>0</v>
      </c>
      <c r="M690" s="15">
        <f>Price!B690</f>
        <v>0</v>
      </c>
      <c r="N690" s="15">
        <f>Price!C690</f>
        <v>0</v>
      </c>
      <c r="O690" s="525">
        <f>Price!D690</f>
        <v>0</v>
      </c>
      <c r="P690" s="16"/>
      <c r="Q690" s="17">
        <f>Price!F690</f>
        <v>0</v>
      </c>
      <c r="R690" s="318"/>
      <c r="S690" s="318"/>
      <c r="T690" s="12">
        <f>Price!G690</f>
        <v>0</v>
      </c>
      <c r="U690" s="252">
        <f>Price!H690</f>
        <v>0</v>
      </c>
    </row>
    <row r="691" spans="1:21" x14ac:dyDescent="0.35">
      <c r="A691" s="319"/>
      <c r="B691" s="160"/>
      <c r="C691" s="160"/>
      <c r="D691" s="528"/>
      <c r="E691" s="83"/>
      <c r="F691" s="65"/>
      <c r="G691" s="65"/>
      <c r="H691" s="65"/>
      <c r="I691" s="65"/>
      <c r="J691" s="65"/>
      <c r="L691" s="61">
        <f>Price!A691</f>
        <v>0</v>
      </c>
      <c r="M691" s="15">
        <f>Price!B691</f>
        <v>0</v>
      </c>
      <c r="N691" s="15">
        <f>Price!C691</f>
        <v>0</v>
      </c>
      <c r="O691" s="525">
        <f>Price!D691</f>
        <v>0</v>
      </c>
      <c r="P691" s="16"/>
      <c r="Q691" s="17">
        <f>Price!F691</f>
        <v>0</v>
      </c>
      <c r="R691" s="318"/>
      <c r="S691" s="318"/>
      <c r="T691" s="12">
        <f>Price!G691</f>
        <v>0</v>
      </c>
      <c r="U691" s="252">
        <f>Price!H691</f>
        <v>0</v>
      </c>
    </row>
    <row r="692" spans="1:21" x14ac:dyDescent="0.35">
      <c r="A692" s="77"/>
      <c r="B692" s="160"/>
      <c r="C692" s="160"/>
      <c r="D692" s="528"/>
      <c r="E692" s="83"/>
      <c r="F692" s="84"/>
      <c r="G692" s="84"/>
      <c r="H692" s="84"/>
      <c r="I692" s="84"/>
      <c r="J692" s="84"/>
      <c r="L692" s="61">
        <f>Price!A692</f>
        <v>0</v>
      </c>
      <c r="M692" s="15">
        <f>Price!B692</f>
        <v>0</v>
      </c>
      <c r="N692" s="15">
        <f>Price!C692</f>
        <v>0</v>
      </c>
      <c r="O692" s="525">
        <f>Price!D692</f>
        <v>0</v>
      </c>
      <c r="P692" s="16"/>
      <c r="Q692" s="17">
        <f>Price!F692</f>
        <v>0</v>
      </c>
      <c r="R692" s="318"/>
      <c r="S692" s="318"/>
      <c r="T692" s="12">
        <f>Price!G692</f>
        <v>0</v>
      </c>
      <c r="U692" s="252">
        <f>Price!H692</f>
        <v>0</v>
      </c>
    </row>
    <row r="693" spans="1:21" x14ac:dyDescent="0.35">
      <c r="A693" s="77"/>
      <c r="B693" s="160"/>
      <c r="C693" s="160"/>
      <c r="D693" s="528"/>
      <c r="E693" s="83"/>
      <c r="F693" s="84"/>
      <c r="G693" s="84"/>
      <c r="H693" s="84"/>
      <c r="I693" s="84"/>
      <c r="J693" s="84"/>
      <c r="L693" s="61">
        <f>Price!A693</f>
        <v>0</v>
      </c>
      <c r="M693" s="15">
        <f>Price!B693</f>
        <v>0</v>
      </c>
      <c r="N693" s="15">
        <f>Price!C693</f>
        <v>0</v>
      </c>
      <c r="O693" s="525">
        <f>Price!D693</f>
        <v>0</v>
      </c>
      <c r="P693" s="16"/>
      <c r="Q693" s="17">
        <f>Price!F693</f>
        <v>0</v>
      </c>
      <c r="R693" s="318"/>
      <c r="S693" s="318"/>
      <c r="T693" s="12">
        <f>Price!G693</f>
        <v>0</v>
      </c>
      <c r="U693" s="252">
        <f>Price!H693</f>
        <v>0</v>
      </c>
    </row>
    <row r="694" spans="1:21" x14ac:dyDescent="0.35">
      <c r="A694" s="77"/>
      <c r="B694" s="160"/>
      <c r="C694" s="160"/>
      <c r="D694" s="528"/>
      <c r="E694" s="83"/>
      <c r="F694" s="84"/>
      <c r="G694" s="84"/>
      <c r="H694" s="84"/>
      <c r="I694" s="84"/>
      <c r="J694" s="84"/>
      <c r="L694" s="61">
        <f>Price!A694</f>
        <v>0</v>
      </c>
      <c r="M694" s="15">
        <f>Price!B694</f>
        <v>0</v>
      </c>
      <c r="N694" s="15">
        <f>Price!C694</f>
        <v>0</v>
      </c>
      <c r="O694" s="525">
        <f>Price!D694</f>
        <v>0</v>
      </c>
      <c r="P694" s="16"/>
      <c r="Q694" s="17">
        <f>Price!F694</f>
        <v>0</v>
      </c>
      <c r="R694" s="318"/>
      <c r="S694" s="318"/>
      <c r="T694" s="12">
        <f>Price!G694</f>
        <v>0</v>
      </c>
      <c r="U694" s="252">
        <f>Price!H694</f>
        <v>0</v>
      </c>
    </row>
    <row r="695" spans="1:21" x14ac:dyDescent="0.35">
      <c r="A695" s="77"/>
      <c r="B695" s="160"/>
      <c r="C695" s="160"/>
      <c r="D695" s="528"/>
      <c r="E695" s="83"/>
      <c r="F695" s="65"/>
      <c r="G695" s="65"/>
      <c r="H695" s="65"/>
      <c r="I695" s="65"/>
      <c r="J695" s="65"/>
      <c r="L695" s="61">
        <f>Price!A695</f>
        <v>0</v>
      </c>
      <c r="M695" s="15">
        <f>Price!B695</f>
        <v>0</v>
      </c>
      <c r="N695" s="15">
        <f>Price!C695</f>
        <v>0</v>
      </c>
      <c r="O695" s="525">
        <f>Price!D695</f>
        <v>0</v>
      </c>
      <c r="P695" s="16"/>
      <c r="Q695" s="17">
        <f>Price!F695</f>
        <v>0</v>
      </c>
      <c r="R695" s="318"/>
      <c r="S695" s="318"/>
      <c r="T695" s="12">
        <f>Price!G695</f>
        <v>0</v>
      </c>
      <c r="U695" s="252">
        <f>Price!H695</f>
        <v>0</v>
      </c>
    </row>
    <row r="696" spans="1:21" x14ac:dyDescent="0.35">
      <c r="A696" s="77"/>
      <c r="B696" s="160"/>
      <c r="C696" s="160"/>
      <c r="D696" s="528"/>
      <c r="E696" s="83"/>
      <c r="F696" s="84"/>
      <c r="G696" s="84"/>
      <c r="H696" s="84"/>
      <c r="I696" s="84"/>
      <c r="J696" s="84"/>
      <c r="L696" s="61">
        <f>Price!A696</f>
        <v>0</v>
      </c>
      <c r="M696" s="15">
        <f>Price!B696</f>
        <v>0</v>
      </c>
      <c r="N696" s="15">
        <f>Price!C696</f>
        <v>0</v>
      </c>
      <c r="O696" s="525">
        <f>Price!D696</f>
        <v>0</v>
      </c>
      <c r="P696" s="16"/>
      <c r="Q696" s="17">
        <f>Price!F696</f>
        <v>0</v>
      </c>
      <c r="R696" s="318"/>
      <c r="S696" s="318"/>
      <c r="T696" s="12">
        <f>Price!G696</f>
        <v>0</v>
      </c>
      <c r="U696" s="252">
        <f>Price!H696</f>
        <v>0</v>
      </c>
    </row>
    <row r="697" spans="1:21" x14ac:dyDescent="0.35">
      <c r="A697" s="77"/>
      <c r="B697" s="160"/>
      <c r="C697" s="160"/>
      <c r="D697" s="528"/>
      <c r="E697" s="83"/>
      <c r="F697" s="65"/>
      <c r="G697" s="65"/>
      <c r="H697" s="65"/>
      <c r="I697" s="65"/>
      <c r="J697" s="65"/>
      <c r="L697" s="61">
        <f>Price!A697</f>
        <v>0</v>
      </c>
      <c r="M697" s="15">
        <f>Price!B697</f>
        <v>0</v>
      </c>
      <c r="N697" s="15">
        <f>Price!C697</f>
        <v>0</v>
      </c>
      <c r="O697" s="525">
        <f>Price!D697</f>
        <v>0</v>
      </c>
      <c r="P697" s="16"/>
      <c r="Q697" s="17">
        <f>Price!F697</f>
        <v>0</v>
      </c>
      <c r="R697" s="318"/>
      <c r="S697" s="318"/>
      <c r="T697" s="12">
        <f>Price!G697</f>
        <v>0</v>
      </c>
      <c r="U697" s="252">
        <f>Price!H697</f>
        <v>0</v>
      </c>
    </row>
    <row r="698" spans="1:21" x14ac:dyDescent="0.35">
      <c r="A698" s="77"/>
      <c r="B698" s="160"/>
      <c r="C698" s="160"/>
      <c r="D698" s="528"/>
      <c r="E698" s="78"/>
      <c r="F698" s="65"/>
      <c r="G698" s="65"/>
      <c r="H698" s="65"/>
      <c r="I698" s="171"/>
      <c r="J698" s="171"/>
      <c r="L698" s="61">
        <f>Price!A698</f>
        <v>0</v>
      </c>
      <c r="M698" s="15">
        <f>Price!B698</f>
        <v>0</v>
      </c>
      <c r="N698" s="15">
        <f>Price!C698</f>
        <v>0</v>
      </c>
      <c r="O698" s="525">
        <f>Price!D698</f>
        <v>0</v>
      </c>
      <c r="P698" s="16"/>
      <c r="Q698" s="17">
        <f>Price!F698</f>
        <v>0</v>
      </c>
      <c r="R698" s="318"/>
      <c r="S698" s="318"/>
      <c r="T698" s="12">
        <f>Price!G698</f>
        <v>0</v>
      </c>
      <c r="U698" s="252">
        <f>Price!H698</f>
        <v>0</v>
      </c>
    </row>
    <row r="699" spans="1:21" x14ac:dyDescent="0.35">
      <c r="A699" s="77"/>
      <c r="B699" s="160"/>
      <c r="C699" s="160"/>
      <c r="D699" s="528"/>
      <c r="E699" s="78"/>
      <c r="F699" s="65"/>
      <c r="G699" s="65"/>
      <c r="H699" s="65"/>
      <c r="I699" s="171"/>
      <c r="J699" s="171"/>
      <c r="L699" s="61">
        <f>Price!A699</f>
        <v>0</v>
      </c>
      <c r="M699" s="15">
        <f>Price!B699</f>
        <v>0</v>
      </c>
      <c r="N699" s="15">
        <f>Price!C699</f>
        <v>0</v>
      </c>
      <c r="O699" s="525">
        <f>Price!D699</f>
        <v>0</v>
      </c>
      <c r="P699" s="16"/>
      <c r="Q699" s="17">
        <f>Price!F699</f>
        <v>0</v>
      </c>
      <c r="R699" s="318"/>
      <c r="S699" s="318"/>
      <c r="T699" s="12">
        <f>Price!G699</f>
        <v>0</v>
      </c>
      <c r="U699" s="252">
        <f>Price!H699</f>
        <v>0</v>
      </c>
    </row>
    <row r="700" spans="1:21" x14ac:dyDescent="0.35">
      <c r="A700" s="77"/>
      <c r="B700" s="160"/>
      <c r="C700" s="160"/>
      <c r="D700" s="528"/>
      <c r="E700" s="78"/>
      <c r="F700" s="65"/>
      <c r="G700" s="65"/>
      <c r="H700" s="65"/>
      <c r="I700" s="171"/>
      <c r="J700" s="171"/>
      <c r="L700" s="61">
        <f>Price!A700</f>
        <v>0</v>
      </c>
      <c r="M700" s="15">
        <f>Price!B700</f>
        <v>0</v>
      </c>
      <c r="N700" s="15">
        <f>Price!C700</f>
        <v>0</v>
      </c>
      <c r="O700" s="525">
        <f>Price!D700</f>
        <v>0</v>
      </c>
      <c r="P700" s="16"/>
      <c r="Q700" s="17">
        <f>Price!F700</f>
        <v>0</v>
      </c>
      <c r="R700" s="318"/>
      <c r="S700" s="318"/>
      <c r="T700" s="12">
        <f>Price!G700</f>
        <v>0</v>
      </c>
      <c r="U700" s="252">
        <f>Price!H700</f>
        <v>0</v>
      </c>
    </row>
    <row r="701" spans="1:21" x14ac:dyDescent="0.35">
      <c r="A701" s="77"/>
      <c r="B701" s="160"/>
      <c r="C701" s="160"/>
      <c r="D701" s="528"/>
      <c r="E701" s="78"/>
      <c r="F701" s="65"/>
      <c r="G701" s="65"/>
      <c r="H701" s="65"/>
      <c r="I701" s="171"/>
      <c r="J701" s="171"/>
      <c r="L701" s="61">
        <f>Price!A701</f>
        <v>0</v>
      </c>
      <c r="M701" s="15">
        <f>Price!B701</f>
        <v>0</v>
      </c>
      <c r="N701" s="15">
        <f>Price!C701</f>
        <v>0</v>
      </c>
      <c r="O701" s="525">
        <f>Price!D701</f>
        <v>0</v>
      </c>
      <c r="P701" s="16"/>
      <c r="Q701" s="17">
        <f>Price!F701</f>
        <v>0</v>
      </c>
      <c r="R701" s="318"/>
      <c r="S701" s="318"/>
      <c r="T701" s="12">
        <f>Price!G701</f>
        <v>0</v>
      </c>
      <c r="U701" s="252">
        <f>Price!H701</f>
        <v>0</v>
      </c>
    </row>
    <row r="702" spans="1:21" x14ac:dyDescent="0.35">
      <c r="A702" s="77"/>
      <c r="B702" s="160"/>
      <c r="C702" s="160"/>
      <c r="D702" s="528"/>
      <c r="E702" s="78"/>
      <c r="F702" s="65"/>
      <c r="G702" s="65"/>
      <c r="H702" s="65"/>
      <c r="I702" s="171"/>
      <c r="J702" s="171"/>
      <c r="L702" s="61">
        <f>Price!A702</f>
        <v>0</v>
      </c>
      <c r="M702" s="15">
        <f>Price!B702</f>
        <v>0</v>
      </c>
      <c r="N702" s="15">
        <f>Price!C702</f>
        <v>0</v>
      </c>
      <c r="O702" s="525">
        <f>Price!D702</f>
        <v>0</v>
      </c>
      <c r="P702" s="16"/>
      <c r="Q702" s="17">
        <f>Price!F702</f>
        <v>0</v>
      </c>
      <c r="R702" s="318"/>
      <c r="S702" s="318"/>
      <c r="T702" s="12">
        <f>Price!G702</f>
        <v>0</v>
      </c>
      <c r="U702" s="252">
        <f>Price!H702</f>
        <v>0</v>
      </c>
    </row>
    <row r="703" spans="1:21" x14ac:dyDescent="0.35">
      <c r="A703" s="77"/>
      <c r="B703" s="160"/>
      <c r="C703" s="160"/>
      <c r="D703" s="528"/>
      <c r="E703" s="78"/>
      <c r="F703" s="65"/>
      <c r="G703" s="65"/>
      <c r="H703" s="65"/>
      <c r="I703" s="171"/>
      <c r="J703" s="171"/>
      <c r="L703" s="61" t="str">
        <f>Price!A703</f>
        <v xml:space="preserve">   Závěsy</v>
      </c>
      <c r="M703" s="15">
        <f>Price!B703</f>
        <v>0</v>
      </c>
      <c r="N703" s="15">
        <f>Price!C703</f>
        <v>0</v>
      </c>
      <c r="O703" s="525">
        <f>Price!D703</f>
        <v>0</v>
      </c>
      <c r="P703" s="16"/>
      <c r="Q703" s="17">
        <f>Price!F703</f>
        <v>0</v>
      </c>
      <c r="R703" s="318"/>
      <c r="S703" s="318"/>
      <c r="T703" s="12">
        <f>Price!G703</f>
        <v>0</v>
      </c>
      <c r="U703" s="252">
        <f>Price!H703</f>
        <v>0</v>
      </c>
    </row>
    <row r="704" spans="1:21" x14ac:dyDescent="0.35">
      <c r="A704" s="90" t="str">
        <f t="shared" ref="A704:A727" si="757">L704</f>
        <v>CLIP top BLUMOTION 155° s nulovým přesahem</v>
      </c>
      <c r="B704" s="91" t="str">
        <f t="shared" ref="B704:B727" si="758">M704</f>
        <v>71B7550</v>
      </c>
      <c r="C704" s="91" t="str">
        <f t="shared" ref="C704:D727" si="759">N704</f>
        <v>NI</v>
      </c>
      <c r="D704" s="91">
        <f t="shared" si="759"/>
        <v>0</v>
      </c>
      <c r="E704" s="92">
        <f t="shared" ref="E704:E727" si="760">P704</f>
        <v>0</v>
      </c>
      <c r="F704" s="17">
        <f t="shared" ref="F704:F727" si="761">Q704*(100-$F$6)/100</f>
        <v>165.76643000000001</v>
      </c>
      <c r="G704" s="65"/>
      <c r="H704" s="65"/>
      <c r="I704" s="169">
        <f t="shared" ref="I704:I727" si="762">T704</f>
        <v>1181769</v>
      </c>
      <c r="J704" s="169">
        <f t="shared" ref="J704:J727" si="763">U704</f>
        <v>347923</v>
      </c>
      <c r="L704" s="61" t="str">
        <f>Price!A704</f>
        <v>CLIP top BLUMOTION 155° s nulovým přesahem</v>
      </c>
      <c r="M704" s="15" t="str">
        <f>Price!B704</f>
        <v>71B7550</v>
      </c>
      <c r="N704" s="15" t="str">
        <f>Price!C704</f>
        <v>NI</v>
      </c>
      <c r="O704" s="525">
        <f>Price!D704</f>
        <v>0</v>
      </c>
      <c r="P704" s="16"/>
      <c r="Q704" s="17">
        <f>Price!F704</f>
        <v>165.76643000000001</v>
      </c>
      <c r="R704" s="318"/>
      <c r="S704" s="318"/>
      <c r="T704" s="12">
        <f>Price!G704</f>
        <v>1181769</v>
      </c>
      <c r="U704" s="252">
        <f>Price!H704</f>
        <v>347923</v>
      </c>
    </row>
    <row r="705" spans="1:21" x14ac:dyDescent="0.35">
      <c r="A705" s="90" t="str">
        <f t="shared" si="757"/>
        <v>CLIP top BLUMOTION 155° s nul. přes., EXPANDO</v>
      </c>
      <c r="B705" s="91" t="str">
        <f t="shared" si="758"/>
        <v>71B758E</v>
      </c>
      <c r="C705" s="91" t="str">
        <f t="shared" si="759"/>
        <v>NI</v>
      </c>
      <c r="D705" s="91">
        <f t="shared" si="759"/>
        <v>0</v>
      </c>
      <c r="E705" s="92">
        <f t="shared" si="760"/>
        <v>0</v>
      </c>
      <c r="F705" s="17">
        <f t="shared" si="761"/>
        <v>0</v>
      </c>
      <c r="G705" s="65"/>
      <c r="H705" s="65"/>
      <c r="I705" s="169">
        <f t="shared" si="762"/>
        <v>4606320</v>
      </c>
      <c r="J705" s="169" t="str">
        <f t="shared" si="763"/>
        <v>-</v>
      </c>
      <c r="L705" s="61" t="str">
        <f>Price!A705</f>
        <v>CLIP top BLUMOTION 155° s nul. přes., EXPANDO</v>
      </c>
      <c r="M705" s="15" t="str">
        <f>Price!B705</f>
        <v>71B758E</v>
      </c>
      <c r="N705" s="15" t="str">
        <f>Price!C705</f>
        <v>NI</v>
      </c>
      <c r="O705" s="525">
        <f>Price!D705</f>
        <v>0</v>
      </c>
      <c r="P705" s="16"/>
      <c r="Q705" s="17">
        <f>Price!F705</f>
        <v>0</v>
      </c>
      <c r="R705" s="318"/>
      <c r="S705" s="318"/>
      <c r="T705" s="12">
        <f>Price!G705</f>
        <v>4606320</v>
      </c>
      <c r="U705" s="252" t="str">
        <f>Price!H705</f>
        <v>-</v>
      </c>
    </row>
    <row r="706" spans="1:21" x14ac:dyDescent="0.35">
      <c r="A706" s="90" t="str">
        <f t="shared" si="757"/>
        <v>CLIP top 155° s nulovým přesahem, bez pružiny</v>
      </c>
      <c r="B706" s="91" t="str">
        <f t="shared" si="758"/>
        <v>70T7550.TL</v>
      </c>
      <c r="C706" s="91" t="str">
        <f t="shared" si="759"/>
        <v>NI</v>
      </c>
      <c r="D706" s="91">
        <f t="shared" si="759"/>
        <v>0</v>
      </c>
      <c r="E706" s="92">
        <f t="shared" si="760"/>
        <v>0</v>
      </c>
      <c r="F706" s="17">
        <f t="shared" si="761"/>
        <v>125.78175000000002</v>
      </c>
      <c r="G706" s="65"/>
      <c r="H706" s="65"/>
      <c r="I706" s="169">
        <f t="shared" si="762"/>
        <v>7523966</v>
      </c>
      <c r="J706" s="169">
        <f t="shared" si="763"/>
        <v>347929</v>
      </c>
      <c r="L706" s="61" t="str">
        <f>Price!A706</f>
        <v>CLIP top 155° s nulovým přesahem, bez pružiny</v>
      </c>
      <c r="M706" s="15" t="str">
        <f>Price!B706</f>
        <v>70T7550.TL</v>
      </c>
      <c r="N706" s="15" t="str">
        <f>Price!C706</f>
        <v>NI</v>
      </c>
      <c r="O706" s="525">
        <f>Price!D706</f>
        <v>0</v>
      </c>
      <c r="P706" s="16"/>
      <c r="Q706" s="17">
        <f>Price!F706</f>
        <v>125.78175</v>
      </c>
      <c r="R706" s="318"/>
      <c r="S706" s="318"/>
      <c r="T706" s="12">
        <f>Price!G706</f>
        <v>7523966</v>
      </c>
      <c r="U706" s="252">
        <f>Price!H706</f>
        <v>347929</v>
      </c>
    </row>
    <row r="707" spans="1:21" x14ac:dyDescent="0.35">
      <c r="A707" s="90" t="str">
        <f t="shared" ref="A707:D710" si="764">L707</f>
        <v>CLIP top BLUMOTION 125° s nulovým přesahem</v>
      </c>
      <c r="B707" s="91" t="str">
        <f t="shared" si="764"/>
        <v>71B7550D</v>
      </c>
      <c r="C707" s="91" t="str">
        <f t="shared" si="764"/>
        <v>NI</v>
      </c>
      <c r="D707" s="91">
        <f t="shared" si="764"/>
        <v>0</v>
      </c>
      <c r="E707" s="92">
        <f>P707</f>
        <v>0</v>
      </c>
      <c r="F707" s="17">
        <f>Q707*(100-$F$6)/100</f>
        <v>165.76643000000001</v>
      </c>
      <c r="G707" s="65"/>
      <c r="H707" s="65"/>
      <c r="I707" s="169">
        <f>T707</f>
        <v>7422203</v>
      </c>
      <c r="J707" s="169">
        <f>U707</f>
        <v>347947</v>
      </c>
      <c r="L707" s="61" t="str">
        <f>Price!A707</f>
        <v>CLIP top BLUMOTION 125° s nulovým přesahem</v>
      </c>
      <c r="M707" s="15" t="str">
        <f>Price!B707</f>
        <v>71B7550D</v>
      </c>
      <c r="N707" s="15" t="str">
        <f>Price!C707</f>
        <v>NI</v>
      </c>
      <c r="O707" s="525">
        <f>Price!D707</f>
        <v>0</v>
      </c>
      <c r="P707" s="16"/>
      <c r="Q707" s="17">
        <f>Price!F707</f>
        <v>165.76643000000001</v>
      </c>
      <c r="R707" s="318"/>
      <c r="S707" s="318"/>
      <c r="T707" s="12">
        <f>Price!G707</f>
        <v>7422203</v>
      </c>
      <c r="U707" s="252">
        <f>Price!H707</f>
        <v>347947</v>
      </c>
    </row>
    <row r="708" spans="1:21" s="762" customFormat="1" x14ac:dyDescent="0.35">
      <c r="A708" s="90" t="str">
        <f t="shared" ref="A708:A709" si="765">L708</f>
        <v>CLIP top BLUMOTION 110° pro tenké materiály</v>
      </c>
      <c r="B708" s="91" t="str">
        <f t="shared" ref="B708:B709" si="766">M708</f>
        <v>71B453T</v>
      </c>
      <c r="C708" s="91" t="str">
        <f t="shared" ref="C708:C709" si="767">N708</f>
        <v>NI</v>
      </c>
      <c r="D708" s="91">
        <f t="shared" ref="D708:D709" si="768">O708</f>
        <v>0</v>
      </c>
      <c r="E708" s="92">
        <f t="shared" ref="E708:E709" si="769">P708</f>
        <v>0</v>
      </c>
      <c r="F708" s="17">
        <f t="shared" ref="F708:F709" si="770">Q708*(100-$F$6)/100</f>
        <v>330.55977000000001</v>
      </c>
      <c r="G708" s="65"/>
      <c r="H708" s="65"/>
      <c r="I708" s="169">
        <f t="shared" ref="I708:I709" si="771">T708</f>
        <v>7021363</v>
      </c>
      <c r="J708" s="169">
        <f t="shared" ref="J708:J709" si="772">U708</f>
        <v>347988</v>
      </c>
      <c r="K708" s="24"/>
      <c r="L708" s="61" t="str">
        <f>Price!A708</f>
        <v>CLIP top BLUMOTION 110° pro tenké materiály</v>
      </c>
      <c r="M708" s="15" t="str">
        <f>Price!B708</f>
        <v>71B453T</v>
      </c>
      <c r="N708" s="15" t="str">
        <f>Price!C708</f>
        <v>NI</v>
      </c>
      <c r="O708" s="525">
        <f>Price!D708</f>
        <v>0</v>
      </c>
      <c r="P708" s="16"/>
      <c r="Q708" s="17">
        <f>Price!F708</f>
        <v>330.55977000000001</v>
      </c>
      <c r="R708" s="318"/>
      <c r="S708" s="318"/>
      <c r="T708" s="12">
        <f>Price!G708</f>
        <v>7021363</v>
      </c>
      <c r="U708" s="252">
        <f>Price!H708</f>
        <v>347988</v>
      </c>
    </row>
    <row r="709" spans="1:21" s="762" customFormat="1" x14ac:dyDescent="0.35">
      <c r="A709" s="90" t="str">
        <f t="shared" si="765"/>
        <v>CLIP top 110°, pro tenké materiály, bez pružiny</v>
      </c>
      <c r="B709" s="91" t="str">
        <f t="shared" si="766"/>
        <v>70T753T.TL</v>
      </c>
      <c r="C709" s="91" t="str">
        <f t="shared" si="767"/>
        <v>NI</v>
      </c>
      <c r="D709" s="91">
        <f t="shared" si="768"/>
        <v>0</v>
      </c>
      <c r="E709" s="92">
        <f t="shared" si="769"/>
        <v>0</v>
      </c>
      <c r="F709" s="17">
        <f t="shared" si="770"/>
        <v>283.51188000000002</v>
      </c>
      <c r="G709" s="65"/>
      <c r="H709" s="65"/>
      <c r="I709" s="169">
        <f t="shared" si="771"/>
        <v>1524002</v>
      </c>
      <c r="J709" s="169">
        <f t="shared" si="772"/>
        <v>347989</v>
      </c>
      <c r="K709" s="24"/>
      <c r="L709" s="61" t="str">
        <f>Price!A709</f>
        <v>CLIP top 110°, pro tenké materiály, bez pružiny</v>
      </c>
      <c r="M709" s="15" t="str">
        <f>Price!B709</f>
        <v>70T753T.TL</v>
      </c>
      <c r="N709" s="15" t="str">
        <f>Price!C709</f>
        <v>NI</v>
      </c>
      <c r="O709" s="525">
        <f>Price!D709</f>
        <v>0</v>
      </c>
      <c r="P709" s="16"/>
      <c r="Q709" s="17">
        <f>Price!F709</f>
        <v>283.51188000000002</v>
      </c>
      <c r="R709" s="318"/>
      <c r="S709" s="318"/>
      <c r="T709" s="12">
        <f>Price!G709</f>
        <v>1524002</v>
      </c>
      <c r="U709" s="252">
        <f>Price!H709</f>
        <v>347989</v>
      </c>
    </row>
    <row r="710" spans="1:21" x14ac:dyDescent="0.35">
      <c r="A710" s="90">
        <f t="shared" si="764"/>
        <v>0</v>
      </c>
      <c r="B710" s="91">
        <f t="shared" si="764"/>
        <v>0</v>
      </c>
      <c r="C710" s="91">
        <f t="shared" si="764"/>
        <v>0</v>
      </c>
      <c r="D710" s="91">
        <f t="shared" si="764"/>
        <v>0</v>
      </c>
      <c r="E710" s="92">
        <f>P710</f>
        <v>0</v>
      </c>
      <c r="F710" s="17">
        <f>Q710*(100-$F$6)/100</f>
        <v>0</v>
      </c>
      <c r="G710" s="65"/>
      <c r="H710" s="65"/>
      <c r="I710" s="169">
        <f>T710</f>
        <v>0</v>
      </c>
      <c r="J710" s="169">
        <f>U710</f>
        <v>0</v>
      </c>
      <c r="L710" s="61">
        <f>Price!A710</f>
        <v>0</v>
      </c>
      <c r="M710" s="15">
        <f>Price!B710</f>
        <v>0</v>
      </c>
      <c r="N710" s="15">
        <f>Price!C710</f>
        <v>0</v>
      </c>
      <c r="O710" s="525">
        <f>Price!D710</f>
        <v>0</v>
      </c>
      <c r="P710" s="16"/>
      <c r="Q710" s="17">
        <f>Price!F710</f>
        <v>0</v>
      </c>
      <c r="R710" s="318"/>
      <c r="S710" s="318"/>
      <c r="T710" s="12">
        <f>Price!G710</f>
        <v>0</v>
      </c>
      <c r="U710" s="252">
        <f>Price!H710</f>
        <v>0</v>
      </c>
    </row>
    <row r="711" spans="1:21" x14ac:dyDescent="0.35">
      <c r="A711" s="90" t="str">
        <f t="shared" si="757"/>
        <v>Podložka CLIP na vruty</v>
      </c>
      <c r="B711" s="91" t="str">
        <f t="shared" si="758"/>
        <v>173L6100</v>
      </c>
      <c r="C711" s="91" t="str">
        <f t="shared" si="759"/>
        <v>NI</v>
      </c>
      <c r="D711" s="91">
        <f t="shared" si="759"/>
        <v>0</v>
      </c>
      <c r="E711" s="92">
        <f t="shared" si="760"/>
        <v>0</v>
      </c>
      <c r="F711" s="17">
        <f t="shared" si="761"/>
        <v>5.3514999999999997</v>
      </c>
      <c r="G711" s="65"/>
      <c r="H711" s="65"/>
      <c r="I711" s="169">
        <f t="shared" si="762"/>
        <v>1925383</v>
      </c>
      <c r="J711" s="169">
        <f t="shared" si="763"/>
        <v>296379</v>
      </c>
      <c r="L711" s="61" t="str">
        <f>Price!A711</f>
        <v>Podložka CLIP na vruty</v>
      </c>
      <c r="M711" s="15" t="str">
        <f>Price!B711</f>
        <v>173L6100</v>
      </c>
      <c r="N711" s="15" t="str">
        <f>Price!C711</f>
        <v>NI</v>
      </c>
      <c r="O711" s="525">
        <f>Price!D711</f>
        <v>0</v>
      </c>
      <c r="P711" s="16"/>
      <c r="Q711" s="17">
        <f>Price!F711</f>
        <v>5.3514999999999997</v>
      </c>
      <c r="R711" s="318"/>
      <c r="S711" s="318"/>
      <c r="T711" s="12">
        <f>Price!G711</f>
        <v>1925383</v>
      </c>
      <c r="U711" s="252">
        <f>Price!H711</f>
        <v>296379</v>
      </c>
    </row>
    <row r="712" spans="1:21" x14ac:dyDescent="0.35">
      <c r="A712" s="90" t="str">
        <f t="shared" si="757"/>
        <v>Podložka CLIP EXPANDO</v>
      </c>
      <c r="B712" s="91" t="str">
        <f t="shared" si="758"/>
        <v>174E6100.01</v>
      </c>
      <c r="C712" s="91" t="str">
        <f t="shared" si="759"/>
        <v>NI</v>
      </c>
      <c r="D712" s="91">
        <f t="shared" si="759"/>
        <v>0</v>
      </c>
      <c r="E712" s="92">
        <f t="shared" si="760"/>
        <v>0</v>
      </c>
      <c r="F712" s="17">
        <f t="shared" si="761"/>
        <v>8.2889099999999996</v>
      </c>
      <c r="G712" s="65"/>
      <c r="H712" s="65"/>
      <c r="I712" s="169">
        <f t="shared" si="762"/>
        <v>1863003</v>
      </c>
      <c r="J712" s="169">
        <f t="shared" si="763"/>
        <v>12302</v>
      </c>
      <c r="L712" s="61" t="str">
        <f>Price!A712</f>
        <v>Podložka CLIP EXPANDO</v>
      </c>
      <c r="M712" s="15" t="str">
        <f>Price!B712</f>
        <v>174E6100.01</v>
      </c>
      <c r="N712" s="15" t="str">
        <f>Price!C712</f>
        <v>NI</v>
      </c>
      <c r="O712" s="525">
        <f>Price!D712</f>
        <v>0</v>
      </c>
      <c r="P712" s="16"/>
      <c r="Q712" s="17">
        <f>Price!F712</f>
        <v>8.2889099999999996</v>
      </c>
      <c r="R712" s="318"/>
      <c r="S712" s="318"/>
      <c r="T712" s="12">
        <f>Price!G712</f>
        <v>1863003</v>
      </c>
      <c r="U712" s="252">
        <f>Price!H712</f>
        <v>12302</v>
      </c>
    </row>
    <row r="713" spans="1:21" x14ac:dyDescent="0.35">
      <c r="A713" s="90" t="str">
        <f t="shared" si="757"/>
        <v>Podložka CLIP s excentrem</v>
      </c>
      <c r="B713" s="91" t="str">
        <f t="shared" si="758"/>
        <v>173H7100</v>
      </c>
      <c r="C713" s="91" t="str">
        <f t="shared" si="759"/>
        <v>NI</v>
      </c>
      <c r="D713" s="91">
        <f t="shared" si="759"/>
        <v>0</v>
      </c>
      <c r="E713" s="92">
        <f t="shared" si="760"/>
        <v>0</v>
      </c>
      <c r="F713" s="17">
        <f t="shared" si="761"/>
        <v>13.941179999999999</v>
      </c>
      <c r="G713" s="65"/>
      <c r="H713" s="65"/>
      <c r="I713" s="169">
        <f t="shared" si="762"/>
        <v>2364043</v>
      </c>
      <c r="J713" s="169">
        <f t="shared" si="763"/>
        <v>12340</v>
      </c>
      <c r="L713" s="61" t="str">
        <f>Price!A713</f>
        <v>Podložka CLIP s excentrem</v>
      </c>
      <c r="M713" s="15" t="str">
        <f>Price!B713</f>
        <v>173H7100</v>
      </c>
      <c r="N713" s="15" t="str">
        <f>Price!C713</f>
        <v>NI</v>
      </c>
      <c r="O713" s="525">
        <f>Price!D713</f>
        <v>0</v>
      </c>
      <c r="P713" s="16"/>
      <c r="Q713" s="17">
        <f>Price!F713</f>
        <v>13.941179999999999</v>
      </c>
      <c r="R713" s="318"/>
      <c r="S713" s="318"/>
      <c r="T713" s="12">
        <f>Price!G713</f>
        <v>2364043</v>
      </c>
      <c r="U713" s="252">
        <f>Price!H713</f>
        <v>12340</v>
      </c>
    </row>
    <row r="714" spans="1:21" x14ac:dyDescent="0.35">
      <c r="A714" s="90" t="str">
        <f t="shared" si="757"/>
        <v>Podložka CLIP s excentrem, EXPANDO</v>
      </c>
      <c r="B714" s="91" t="str">
        <f t="shared" si="758"/>
        <v>174H7100E</v>
      </c>
      <c r="C714" s="91" t="str">
        <f t="shared" si="759"/>
        <v>NI</v>
      </c>
      <c r="D714" s="91">
        <f t="shared" si="759"/>
        <v>0</v>
      </c>
      <c r="E714" s="92">
        <f t="shared" si="760"/>
        <v>0</v>
      </c>
      <c r="F714" s="17">
        <f t="shared" si="761"/>
        <v>17.038019999999999</v>
      </c>
      <c r="G714" s="65"/>
      <c r="H714" s="65"/>
      <c r="I714" s="169">
        <f t="shared" si="762"/>
        <v>2364983</v>
      </c>
      <c r="J714" s="169">
        <f t="shared" si="763"/>
        <v>12312</v>
      </c>
      <c r="L714" s="61" t="str">
        <f>Price!A714</f>
        <v>Podložka CLIP s excentrem, EXPANDO</v>
      </c>
      <c r="M714" s="15" t="str">
        <f>Price!B714</f>
        <v>174H7100E</v>
      </c>
      <c r="N714" s="15" t="str">
        <f>Price!C714</f>
        <v>NI</v>
      </c>
      <c r="O714" s="525">
        <f>Price!D714</f>
        <v>0</v>
      </c>
      <c r="P714" s="16"/>
      <c r="Q714" s="17">
        <f>Price!F714</f>
        <v>17.038019999999999</v>
      </c>
      <c r="R714" s="318"/>
      <c r="S714" s="318"/>
      <c r="T714" s="12">
        <f>Price!G714</f>
        <v>2364983</v>
      </c>
      <c r="U714" s="252">
        <f>Price!H714</f>
        <v>12312</v>
      </c>
    </row>
    <row r="715" spans="1:21" x14ac:dyDescent="0.35">
      <c r="A715" s="90" t="str">
        <f t="shared" si="757"/>
        <v>Podložka CLIP top přímá</v>
      </c>
      <c r="B715" s="91" t="str">
        <f t="shared" si="758"/>
        <v>175H5400</v>
      </c>
      <c r="C715" s="91" t="str">
        <f t="shared" si="759"/>
        <v>NI</v>
      </c>
      <c r="D715" s="91">
        <f t="shared" si="759"/>
        <v>0</v>
      </c>
      <c r="E715" s="92">
        <f t="shared" si="760"/>
        <v>0</v>
      </c>
      <c r="F715" s="17">
        <f t="shared" si="761"/>
        <v>20.467960000000001</v>
      </c>
      <c r="G715" s="65"/>
      <c r="H715" s="65"/>
      <c r="I715" s="169">
        <f t="shared" si="762"/>
        <v>8002803</v>
      </c>
      <c r="J715" s="169">
        <f t="shared" si="763"/>
        <v>12323</v>
      </c>
      <c r="L715" s="61" t="str">
        <f>Price!A715</f>
        <v>Podložka CLIP top přímá</v>
      </c>
      <c r="M715" s="15" t="str">
        <f>Price!B715</f>
        <v>175H5400</v>
      </c>
      <c r="N715" s="15" t="str">
        <f>Price!C715</f>
        <v>NI</v>
      </c>
      <c r="O715" s="525">
        <f>Price!D715</f>
        <v>0</v>
      </c>
      <c r="P715" s="16"/>
      <c r="Q715" s="17">
        <f>Price!F715</f>
        <v>20.467960000000001</v>
      </c>
      <c r="R715" s="318"/>
      <c r="S715" s="318"/>
      <c r="T715" s="12">
        <f>Price!G715</f>
        <v>8002803</v>
      </c>
      <c r="U715" s="252">
        <f>Price!H715</f>
        <v>12323</v>
      </c>
    </row>
    <row r="716" spans="1:21" x14ac:dyDescent="0.35">
      <c r="A716" s="90" t="str">
        <f t="shared" si="757"/>
        <v>Podložka CLIP top přímá, EXPANDO</v>
      </c>
      <c r="B716" s="91" t="str">
        <f t="shared" si="758"/>
        <v>177H5400E</v>
      </c>
      <c r="C716" s="91" t="str">
        <f t="shared" si="759"/>
        <v>NI</v>
      </c>
      <c r="D716" s="91">
        <f t="shared" si="759"/>
        <v>0</v>
      </c>
      <c r="E716" s="92">
        <f t="shared" si="760"/>
        <v>0</v>
      </c>
      <c r="F716" s="17">
        <f t="shared" si="761"/>
        <v>23.60594</v>
      </c>
      <c r="G716" s="65"/>
      <c r="H716" s="65"/>
      <c r="I716" s="169">
        <f t="shared" si="762"/>
        <v>8003033</v>
      </c>
      <c r="J716" s="169">
        <f t="shared" si="763"/>
        <v>12326</v>
      </c>
      <c r="L716" s="61" t="str">
        <f>Price!A716</f>
        <v>Podložka CLIP top přímá, EXPANDO</v>
      </c>
      <c r="M716" s="15" t="str">
        <f>Price!B716</f>
        <v>177H5400E</v>
      </c>
      <c r="N716" s="15" t="str">
        <f>Price!C716</f>
        <v>NI</v>
      </c>
      <c r="O716" s="525">
        <f>Price!D716</f>
        <v>0</v>
      </c>
      <c r="P716" s="16"/>
      <c r="Q716" s="17">
        <f>Price!F716</f>
        <v>23.60594</v>
      </c>
      <c r="R716" s="318"/>
      <c r="S716" s="318"/>
      <c r="T716" s="12">
        <f>Price!G716</f>
        <v>8003033</v>
      </c>
      <c r="U716" s="252">
        <f>Price!H716</f>
        <v>12326</v>
      </c>
    </row>
    <row r="717" spans="1:21" x14ac:dyDescent="0.35">
      <c r="A717" s="90" t="str">
        <f t="shared" si="757"/>
        <v>Podložka CLIP top přímá, ocel.</v>
      </c>
      <c r="B717" s="91" t="str">
        <f t="shared" si="758"/>
        <v>175H3100</v>
      </c>
      <c r="C717" s="91" t="str">
        <f t="shared" si="759"/>
        <v>NI</v>
      </c>
      <c r="D717" s="91">
        <f t="shared" si="759"/>
        <v>0</v>
      </c>
      <c r="E717" s="92">
        <f t="shared" si="760"/>
        <v>0</v>
      </c>
      <c r="F717" s="17">
        <f t="shared" si="761"/>
        <v>13.269839999999999</v>
      </c>
      <c r="G717" s="65"/>
      <c r="H717" s="65"/>
      <c r="I717" s="169">
        <f t="shared" si="762"/>
        <v>1037431</v>
      </c>
      <c r="J717" s="169">
        <f t="shared" si="763"/>
        <v>203387</v>
      </c>
      <c r="L717" s="61" t="str">
        <f>Price!A717</f>
        <v>Podložka CLIP top přímá, ocel.</v>
      </c>
      <c r="M717" s="15" t="str">
        <f>Price!B717</f>
        <v>175H3100</v>
      </c>
      <c r="N717" s="15" t="str">
        <f>Price!C717</f>
        <v>NI</v>
      </c>
      <c r="O717" s="525">
        <f>Price!D717</f>
        <v>0</v>
      </c>
      <c r="P717" s="16"/>
      <c r="Q717" s="17">
        <f>Price!F717</f>
        <v>13.26984</v>
      </c>
      <c r="R717" s="318"/>
      <c r="S717" s="318"/>
      <c r="T717" s="12">
        <f>Price!G717</f>
        <v>1037431</v>
      </c>
      <c r="U717" s="252">
        <f>Price!H717</f>
        <v>203387</v>
      </c>
    </row>
    <row r="718" spans="1:21" x14ac:dyDescent="0.35">
      <c r="A718" s="90" t="str">
        <f t="shared" si="757"/>
        <v>Podložka CLIP top přímá, ocel., EXPANDO</v>
      </c>
      <c r="B718" s="91" t="str">
        <f t="shared" si="758"/>
        <v>177H3100E</v>
      </c>
      <c r="C718" s="91" t="str">
        <f t="shared" si="759"/>
        <v>NI</v>
      </c>
      <c r="D718" s="91">
        <f t="shared" si="759"/>
        <v>0</v>
      </c>
      <c r="E718" s="92">
        <f t="shared" si="760"/>
        <v>0</v>
      </c>
      <c r="F718" s="17">
        <f t="shared" si="761"/>
        <v>15.007749999999998</v>
      </c>
      <c r="G718" s="65"/>
      <c r="H718" s="65"/>
      <c r="I718" s="169">
        <f t="shared" si="762"/>
        <v>3120329</v>
      </c>
      <c r="J718" s="169">
        <f t="shared" si="763"/>
        <v>211476</v>
      </c>
      <c r="L718" s="61" t="str">
        <f>Price!A718</f>
        <v>Podložka CLIP top přímá, ocel., EXPANDO</v>
      </c>
      <c r="M718" s="15" t="str">
        <f>Price!B718</f>
        <v>177H3100E</v>
      </c>
      <c r="N718" s="15" t="str">
        <f>Price!C718</f>
        <v>NI</v>
      </c>
      <c r="O718" s="525">
        <f>Price!D718</f>
        <v>0</v>
      </c>
      <c r="P718" s="16"/>
      <c r="Q718" s="17">
        <f>Price!F718</f>
        <v>15.00775</v>
      </c>
      <c r="R718" s="318"/>
      <c r="S718" s="318"/>
      <c r="T718" s="12">
        <f>Price!G718</f>
        <v>3120329</v>
      </c>
      <c r="U718" s="252">
        <f>Price!H718</f>
        <v>211476</v>
      </c>
    </row>
    <row r="719" spans="1:21" x14ac:dyDescent="0.35">
      <c r="A719" s="90" t="str">
        <f t="shared" si="757"/>
        <v>BLUMOTION pro nasazení na závěs 155° a 125°</v>
      </c>
      <c r="B719" s="91" t="str">
        <f t="shared" si="758"/>
        <v>973A7000</v>
      </c>
      <c r="C719" s="91" t="str">
        <f t="shared" si="759"/>
        <v>NI</v>
      </c>
      <c r="D719" s="91">
        <f t="shared" si="759"/>
        <v>0</v>
      </c>
      <c r="E719" s="92">
        <f t="shared" si="760"/>
        <v>0</v>
      </c>
      <c r="F719" s="17">
        <f t="shared" si="761"/>
        <v>44.194180000000003</v>
      </c>
      <c r="G719" s="65"/>
      <c r="H719" s="65"/>
      <c r="I719" s="169">
        <f t="shared" si="762"/>
        <v>8975943</v>
      </c>
      <c r="J719" s="169">
        <f t="shared" si="763"/>
        <v>12223</v>
      </c>
      <c r="L719" s="61" t="str">
        <f>Price!A719</f>
        <v>BLUMOTION pro nasazení na závěs 155° a 125°</v>
      </c>
      <c r="M719" s="15" t="str">
        <f>Price!B719</f>
        <v>973A7000</v>
      </c>
      <c r="N719" s="15" t="str">
        <f>Price!C719</f>
        <v>NI</v>
      </c>
      <c r="O719" s="525">
        <f>Price!D719</f>
        <v>0</v>
      </c>
      <c r="P719" s="16"/>
      <c r="Q719" s="17">
        <f>Price!F719</f>
        <v>44.194180000000003</v>
      </c>
      <c r="R719" s="318"/>
      <c r="S719" s="318"/>
      <c r="T719" s="12">
        <f>Price!G719</f>
        <v>8975943</v>
      </c>
      <c r="U719" s="252">
        <f>Price!H719</f>
        <v>12223</v>
      </c>
    </row>
    <row r="720" spans="1:21" x14ac:dyDescent="0.35">
      <c r="A720" s="90" t="str">
        <f t="shared" si="757"/>
        <v>BLUMOTION v křížovém adaptéru</v>
      </c>
      <c r="B720" s="91" t="str">
        <f t="shared" si="758"/>
        <v>971A0500</v>
      </c>
      <c r="C720" s="91" t="str">
        <f t="shared" si="759"/>
        <v>NI</v>
      </c>
      <c r="D720" s="91">
        <f t="shared" si="759"/>
        <v>0</v>
      </c>
      <c r="E720" s="92">
        <f t="shared" si="760"/>
        <v>0</v>
      </c>
      <c r="F720" s="17">
        <f t="shared" si="761"/>
        <v>79.750699999999995</v>
      </c>
      <c r="G720" s="65"/>
      <c r="H720" s="65"/>
      <c r="I720" s="169">
        <f t="shared" si="762"/>
        <v>6823663</v>
      </c>
      <c r="J720" s="169">
        <f t="shared" si="763"/>
        <v>12392</v>
      </c>
      <c r="L720" s="61" t="str">
        <f>Price!A720</f>
        <v>BLUMOTION v křížovém adaptéru</v>
      </c>
      <c r="M720" s="15" t="str">
        <f>Price!B720</f>
        <v>971A0500</v>
      </c>
      <c r="N720" s="15" t="str">
        <f>Price!C720</f>
        <v>NI</v>
      </c>
      <c r="O720" s="525">
        <f>Price!D720</f>
        <v>0</v>
      </c>
      <c r="P720" s="16"/>
      <c r="Q720" s="17">
        <f>Price!F720</f>
        <v>79.750699999999995</v>
      </c>
      <c r="R720" s="318"/>
      <c r="S720" s="318"/>
      <c r="T720" s="12">
        <f>Price!G720</f>
        <v>6823663</v>
      </c>
      <c r="U720" s="252">
        <f>Price!H720</f>
        <v>12392</v>
      </c>
    </row>
    <row r="721" spans="1:21" ht="15" thickBot="1" x14ac:dyDescent="0.4">
      <c r="A721" s="320" t="str">
        <f>IF(OR($C$2=1, $C$2=4),L721,IF($C$2=2,L722,IF($C$2=3,L723,IF($C$2=5,L723,"  chyba"))))</f>
        <v>TIP-ON, prodloužená délka, šedá</v>
      </c>
      <c r="B721" s="324" t="str">
        <f t="shared" ref="B721" si="773">IF(OR($C$2=1, $C$2=4),M721,IF($C$2=2,M722,IF($C$2=3,M723,IF($C$2=5,M723,"  chyba"))))</f>
        <v>956A1004</v>
      </c>
      <c r="C721" s="324" t="str">
        <f t="shared" ref="C721" si="774">IF(OR($C$2=1, $C$2=4),N721,IF($C$2=2,N722,IF($C$2=3,N723,IF($C$2=5,N723,"  chyba"))))</f>
        <v>PG</v>
      </c>
      <c r="D721" s="324">
        <f t="shared" ref="D721" si="775">IF(OR($C$2=1, $C$2=4),O721,IF($C$2=2,O722,IF($C$2=3,O723,IF($C$2=5,O723,"  chyba"))))</f>
        <v>0</v>
      </c>
      <c r="E721" s="321">
        <f t="shared" ref="E721" si="776">IF(OR($C$2=1, $C$2=4),P721,IF($C$2=2,P722,IF($C$2=3,P723,IF($C$2=5,P723,"  chyba"))))</f>
        <v>0</v>
      </c>
      <c r="F721" s="322">
        <f t="shared" ref="F721" si="777">IF(OR($C$2=1, $C$2=4),Q721,IF($C$2=2,Q722,IF($C$2=3,Q723,IF($C$2=5,Q723,"  chyba"))))</f>
        <v>129.02763999999999</v>
      </c>
      <c r="G721" s="323"/>
      <c r="H721" s="323"/>
      <c r="I721" s="325">
        <f t="shared" ref="I721" si="778">IF(OR($C$2=1, $C$2=4),T721,IF($C$2=2,T722,IF($C$2=3,T723,IF($C$2=5,T723,"  chyba"))))</f>
        <v>6484096</v>
      </c>
      <c r="J721" s="325">
        <f t="shared" ref="J721" si="779">IF(OR($C$2=1, $C$2=4),U721,IF($C$2=2,U722,IF($C$2=3,U723,IF($C$2=5,U723,"  chyba"))))</f>
        <v>250833</v>
      </c>
      <c r="L721" s="61" t="str">
        <f>Price!A721</f>
        <v>TIP-ON, prodloužená délka, šedá</v>
      </c>
      <c r="M721" s="15" t="str">
        <f>Price!B721</f>
        <v>956A1004</v>
      </c>
      <c r="N721" s="15" t="str">
        <f>Price!C721</f>
        <v>PG</v>
      </c>
      <c r="O721" s="525">
        <f>Price!D721</f>
        <v>0</v>
      </c>
      <c r="P721" s="16"/>
      <c r="Q721" s="17">
        <f>Price!F721</f>
        <v>129.02763999999999</v>
      </c>
      <c r="R721" s="318"/>
      <c r="S721" s="318"/>
      <c r="T721" s="12">
        <f>Price!G721</f>
        <v>6484096</v>
      </c>
      <c r="U721" s="252">
        <f>Price!H721</f>
        <v>250833</v>
      </c>
    </row>
    <row r="722" spans="1:21" x14ac:dyDescent="0.35">
      <c r="A722" s="90"/>
      <c r="B722" s="91"/>
      <c r="C722" s="91"/>
      <c r="D722" s="91"/>
      <c r="E722" s="92"/>
      <c r="F722" s="17"/>
      <c r="G722" s="65"/>
      <c r="H722" s="65"/>
      <c r="I722" s="169"/>
      <c r="J722" s="169"/>
      <c r="L722" s="61" t="str">
        <f>Price!A722</f>
        <v>TIP-ON, prodloužená délka, hedvábně bílá</v>
      </c>
      <c r="M722" s="15" t="str">
        <f>Price!B722</f>
        <v>956A1004</v>
      </c>
      <c r="N722" s="15" t="str">
        <f>Price!C722</f>
        <v>WA</v>
      </c>
      <c r="O722" s="525">
        <f>Price!D722</f>
        <v>0</v>
      </c>
      <c r="P722" s="16"/>
      <c r="Q722" s="17">
        <f>Price!F722</f>
        <v>129.02763999999999</v>
      </c>
      <c r="R722" s="318"/>
      <c r="S722" s="318"/>
      <c r="T722" s="12">
        <f>Price!G722</f>
        <v>6856758</v>
      </c>
      <c r="U722" s="252">
        <f>Price!H722</f>
        <v>250831</v>
      </c>
    </row>
    <row r="723" spans="1:21" x14ac:dyDescent="0.35">
      <c r="A723" s="90"/>
      <c r="B723" s="91"/>
      <c r="C723" s="91"/>
      <c r="D723" s="91"/>
      <c r="E723" s="92"/>
      <c r="F723" s="17"/>
      <c r="G723" s="65"/>
      <c r="H723" s="65"/>
      <c r="I723" s="169"/>
      <c r="J723" s="169"/>
      <c r="L723" s="61" t="str">
        <f>Price!A723</f>
        <v>TIP-ON, prodloužená délka, Terra černá</v>
      </c>
      <c r="M723" s="15" t="str">
        <f>Price!B723</f>
        <v>956A1004</v>
      </c>
      <c r="N723" s="15" t="str">
        <f>Price!C723</f>
        <v>TS</v>
      </c>
      <c r="O723" s="525">
        <f>Price!D723</f>
        <v>0</v>
      </c>
      <c r="P723" s="16"/>
      <c r="Q723" s="17">
        <f>Price!F723</f>
        <v>130.28645</v>
      </c>
      <c r="R723" s="318"/>
      <c r="S723" s="318"/>
      <c r="T723" s="12">
        <f>Price!G723</f>
        <v>2019241</v>
      </c>
      <c r="U723" s="252">
        <f>Price!H723</f>
        <v>250834</v>
      </c>
    </row>
    <row r="724" spans="1:21" ht="15" thickBot="1" x14ac:dyDescent="0.4">
      <c r="A724" s="320" t="str">
        <f>IF(OR($C$2=1, $C$2=4),L724,IF($C$2=2,L725,IF($C$2=3,L726,IF($C$2=5,L726,"  chyba"))))</f>
        <v>TIP-ON přímý adaptér, prodl.délka, šedá</v>
      </c>
      <c r="B724" s="324" t="str">
        <f t="shared" ref="B724" si="780">IF(OR($C$2=1, $C$2=4),M724,IF($C$2=2,M725,IF($C$2=3,M726,IF($C$2=5,M726,"  chyba"))))</f>
        <v>956A1201</v>
      </c>
      <c r="C724" s="324" t="str">
        <f t="shared" ref="C724" si="781">IF(OR($C$2=1, $C$2=4),N724,IF($C$2=2,N725,IF($C$2=3,N726,IF($C$2=5,N726,"  chyba"))))</f>
        <v>PG</v>
      </c>
      <c r="D724" s="324">
        <f t="shared" ref="D724" si="782">IF(OR($C$2=1, $C$2=4),O724,IF($C$2=2,O725,IF($C$2=3,O726,IF($C$2=5,O726,"  chyba"))))</f>
        <v>0</v>
      </c>
      <c r="E724" s="321">
        <f t="shared" ref="E724" si="783">IF(OR($C$2=1, $C$2=4),P724,IF($C$2=2,P725,IF($C$2=3,P726,IF($C$2=5,P726,"  chyba"))))</f>
        <v>0</v>
      </c>
      <c r="F724" s="322">
        <f t="shared" ref="F724" si="784">IF(OR($C$2=1, $C$2=4),Q724,IF($C$2=2,Q725,IF($C$2=3,Q726,IF($C$2=5,Q726,"  chyba"))))</f>
        <v>25.413550000000001</v>
      </c>
      <c r="G724" s="323"/>
      <c r="H724" s="323"/>
      <c r="I724" s="325">
        <f t="shared" ref="I724" si="785">IF(OR($C$2=1, $C$2=4),T724,IF($C$2=2,T725,IF($C$2=3,T726,IF($C$2=5,T726,"  chyba"))))</f>
        <v>8849808</v>
      </c>
      <c r="J724" s="325">
        <f t="shared" ref="J724" si="786">IF(OR($C$2=1, $C$2=4),U724,IF($C$2=2,U725,IF($C$2=3,U726,IF($C$2=5,U726,"  chyba"))))</f>
        <v>250842</v>
      </c>
      <c r="L724" s="61" t="str">
        <f>Price!A724</f>
        <v>TIP-ON přímý adaptér, prodl.délka, šedá</v>
      </c>
      <c r="M724" s="15" t="str">
        <f>Price!B724</f>
        <v>956A1201</v>
      </c>
      <c r="N724" s="15" t="str">
        <f>Price!C724</f>
        <v>PG</v>
      </c>
      <c r="O724" s="525">
        <f>Price!D724</f>
        <v>0</v>
      </c>
      <c r="P724" s="16"/>
      <c r="Q724" s="17">
        <f>Price!F724</f>
        <v>25.413550000000001</v>
      </c>
      <c r="R724" s="318"/>
      <c r="S724" s="318"/>
      <c r="T724" s="12">
        <f>Price!G724</f>
        <v>8849808</v>
      </c>
      <c r="U724" s="252">
        <f>Price!H724</f>
        <v>250842</v>
      </c>
    </row>
    <row r="725" spans="1:21" x14ac:dyDescent="0.35">
      <c r="A725" s="90"/>
      <c r="B725" s="91"/>
      <c r="C725" s="91"/>
      <c r="D725" s="91"/>
      <c r="E725" s="92"/>
      <c r="F725" s="17"/>
      <c r="G725" s="65"/>
      <c r="H725" s="65"/>
      <c r="I725" s="169"/>
      <c r="J725" s="169"/>
      <c r="L725" s="61" t="str">
        <f>Price!A725</f>
        <v>TIP-ON přímý adaptér, prodl.délka, hedv. bílá</v>
      </c>
      <c r="M725" s="15" t="str">
        <f>Price!B725</f>
        <v>956A1201</v>
      </c>
      <c r="N725" s="15" t="str">
        <f>Price!C725</f>
        <v>WA</v>
      </c>
      <c r="O725" s="525">
        <f>Price!D725</f>
        <v>0</v>
      </c>
      <c r="P725" s="16"/>
      <c r="Q725" s="17">
        <f>Price!F725</f>
        <v>25.413550000000001</v>
      </c>
      <c r="R725" s="318"/>
      <c r="S725" s="318"/>
      <c r="T725" s="12">
        <f>Price!G725</f>
        <v>4619688</v>
      </c>
      <c r="U725" s="252">
        <f>Price!H725</f>
        <v>250841</v>
      </c>
    </row>
    <row r="726" spans="1:21" x14ac:dyDescent="0.35">
      <c r="A726" s="90"/>
      <c r="B726" s="91"/>
      <c r="C726" s="91"/>
      <c r="D726" s="91"/>
      <c r="E726" s="92"/>
      <c r="F726" s="17"/>
      <c r="G726" s="65"/>
      <c r="H726" s="65"/>
      <c r="I726" s="169"/>
      <c r="J726" s="169"/>
      <c r="L726" s="61" t="str">
        <f>Price!A726</f>
        <v>TIP-ON přímý adaptér, prodl.délka, Terra černá</v>
      </c>
      <c r="M726" s="15" t="str">
        <f>Price!B726</f>
        <v>956A1201</v>
      </c>
      <c r="N726" s="15" t="str">
        <f>Price!C726</f>
        <v>TS</v>
      </c>
      <c r="O726" s="525">
        <f>Price!D726</f>
        <v>0</v>
      </c>
      <c r="P726" s="16"/>
      <c r="Q726" s="17">
        <f>Price!F726</f>
        <v>25.661490000000001</v>
      </c>
      <c r="R726" s="318"/>
      <c r="S726" s="318"/>
      <c r="T726" s="12">
        <f>Price!G726</f>
        <v>5730134</v>
      </c>
      <c r="U726" s="252">
        <f>Price!H726</f>
        <v>250843</v>
      </c>
    </row>
    <row r="727" spans="1:21" x14ac:dyDescent="0.35">
      <c r="A727" s="90" t="str">
        <f t="shared" si="757"/>
        <v>TIP-ON křížový adaptér, šedá</v>
      </c>
      <c r="B727" s="91" t="str">
        <f t="shared" si="758"/>
        <v>956A1501</v>
      </c>
      <c r="C727" s="91" t="str">
        <f t="shared" si="759"/>
        <v>PG</v>
      </c>
      <c r="D727" s="91">
        <f t="shared" si="759"/>
        <v>0</v>
      </c>
      <c r="E727" s="92">
        <f t="shared" si="760"/>
        <v>0</v>
      </c>
      <c r="F727" s="17">
        <f t="shared" si="761"/>
        <v>19.052040000000002</v>
      </c>
      <c r="G727" s="65"/>
      <c r="H727" s="65"/>
      <c r="I727" s="169">
        <f t="shared" si="762"/>
        <v>2583646</v>
      </c>
      <c r="J727" s="169">
        <f t="shared" si="763"/>
        <v>250844</v>
      </c>
      <c r="L727" s="61" t="str">
        <f>Price!A727</f>
        <v>TIP-ON křížový adaptér, šedá</v>
      </c>
      <c r="M727" s="15" t="str">
        <f>Price!B727</f>
        <v>956A1501</v>
      </c>
      <c r="N727" s="15" t="str">
        <f>Price!C727</f>
        <v>PG</v>
      </c>
      <c r="O727" s="525">
        <f>Price!D727</f>
        <v>0</v>
      </c>
      <c r="P727" s="16"/>
      <c r="Q727" s="17">
        <f>Price!F727</f>
        <v>19.052040000000002</v>
      </c>
      <c r="R727" s="318"/>
      <c r="S727" s="318"/>
      <c r="T727" s="12">
        <f>Price!G727</f>
        <v>2583646</v>
      </c>
      <c r="U727" s="252">
        <f>Price!H727</f>
        <v>250844</v>
      </c>
    </row>
    <row r="728" spans="1:21" x14ac:dyDescent="0.35">
      <c r="A728" s="90">
        <f>L728</f>
        <v>0</v>
      </c>
      <c r="B728" s="91">
        <f>M728</f>
        <v>0</v>
      </c>
      <c r="C728" s="91">
        <f>N728</f>
        <v>0</v>
      </c>
      <c r="D728" s="91">
        <f>O728</f>
        <v>0</v>
      </c>
      <c r="E728" s="92">
        <f>P728</f>
        <v>0</v>
      </c>
      <c r="F728" s="17">
        <f>Q728*(100-$F$6)/100</f>
        <v>0</v>
      </c>
      <c r="G728" s="65"/>
      <c r="H728" s="65"/>
      <c r="I728" s="169">
        <f>T728</f>
        <v>0</v>
      </c>
      <c r="J728" s="169">
        <f>U728</f>
        <v>0</v>
      </c>
      <c r="L728" s="61">
        <f>Price!A728</f>
        <v>0</v>
      </c>
      <c r="M728" s="15">
        <f>Price!B728</f>
        <v>0</v>
      </c>
      <c r="N728" s="15">
        <f>Price!C728</f>
        <v>0</v>
      </c>
      <c r="O728" s="525">
        <f>Price!D728</f>
        <v>0</v>
      </c>
      <c r="P728" s="16"/>
      <c r="Q728" s="17">
        <f>Price!F728</f>
        <v>0</v>
      </c>
      <c r="R728" s="318"/>
      <c r="S728" s="318"/>
      <c r="T728" s="12">
        <f>Price!G728</f>
        <v>0</v>
      </c>
      <c r="U728" s="252">
        <f>Price!H728</f>
        <v>0</v>
      </c>
    </row>
    <row r="729" spans="1:21" x14ac:dyDescent="0.35">
      <c r="A729" s="77"/>
      <c r="B729" s="160"/>
      <c r="C729" s="160"/>
      <c r="D729" s="528"/>
      <c r="E729" s="83"/>
      <c r="F729" s="65"/>
      <c r="G729" s="65"/>
      <c r="H729" s="65"/>
      <c r="I729" s="65"/>
      <c r="J729" s="65"/>
      <c r="L729" s="61">
        <f>Price!A729</f>
        <v>0</v>
      </c>
      <c r="M729" s="15">
        <f>Price!B729</f>
        <v>0</v>
      </c>
      <c r="N729" s="15">
        <f>Price!C729</f>
        <v>0</v>
      </c>
      <c r="O729" s="525">
        <f>Price!D729</f>
        <v>0</v>
      </c>
      <c r="P729" s="16"/>
      <c r="Q729" s="17">
        <f>Price!F729</f>
        <v>0</v>
      </c>
      <c r="R729" s="318"/>
      <c r="S729" s="318"/>
      <c r="T729" s="12">
        <f>Price!G729</f>
        <v>0</v>
      </c>
      <c r="U729" s="252">
        <f>Price!H729</f>
        <v>0</v>
      </c>
    </row>
    <row r="730" spans="1:21" x14ac:dyDescent="0.35">
      <c r="A730" s="77"/>
      <c r="B730" s="160"/>
      <c r="C730" s="160"/>
      <c r="D730" s="528"/>
      <c r="E730" s="83"/>
      <c r="F730" s="65"/>
      <c r="G730" s="65"/>
      <c r="H730" s="65"/>
      <c r="I730" s="65"/>
      <c r="J730" s="65"/>
      <c r="L730" s="61">
        <f>Price!A730</f>
        <v>0</v>
      </c>
      <c r="M730" s="15">
        <f>Price!B730</f>
        <v>0</v>
      </c>
      <c r="N730" s="15">
        <f>Price!C730</f>
        <v>0</v>
      </c>
      <c r="O730" s="525">
        <f>Price!D730</f>
        <v>0</v>
      </c>
      <c r="P730" s="16"/>
      <c r="Q730" s="17">
        <f>Price!F730</f>
        <v>0</v>
      </c>
      <c r="R730" s="318"/>
      <c r="S730" s="318"/>
      <c r="T730" s="12">
        <f>Price!G730</f>
        <v>0</v>
      </c>
      <c r="U730" s="252">
        <f>Price!H730</f>
        <v>0</v>
      </c>
    </row>
    <row r="731" spans="1:21" x14ac:dyDescent="0.35">
      <c r="A731" s="77"/>
      <c r="B731" s="160"/>
      <c r="C731" s="160"/>
      <c r="D731" s="528"/>
      <c r="E731" s="83"/>
      <c r="F731" s="65"/>
      <c r="G731" s="65"/>
      <c r="H731" s="65"/>
      <c r="I731" s="65"/>
      <c r="J731" s="65"/>
      <c r="L731" s="61">
        <f>Price!A731</f>
        <v>0</v>
      </c>
      <c r="M731" s="15">
        <f>Price!B731</f>
        <v>0</v>
      </c>
      <c r="N731" s="15">
        <f>Price!C731</f>
        <v>0</v>
      </c>
      <c r="O731" s="525">
        <f>Price!D731</f>
        <v>0</v>
      </c>
      <c r="P731" s="16"/>
      <c r="Q731" s="17">
        <f>Price!F731</f>
        <v>0</v>
      </c>
      <c r="R731" s="318"/>
      <c r="S731" s="318"/>
      <c r="T731" s="12">
        <f>Price!G731</f>
        <v>0</v>
      </c>
      <c r="U731" s="252">
        <f>Price!H731</f>
        <v>0</v>
      </c>
    </row>
    <row r="732" spans="1:21" x14ac:dyDescent="0.35">
      <c r="A732" s="77"/>
      <c r="B732" s="160"/>
      <c r="C732" s="160"/>
      <c r="D732" s="528"/>
      <c r="E732" s="83"/>
      <c r="F732" s="65"/>
      <c r="G732" s="65"/>
      <c r="H732" s="65"/>
      <c r="I732" s="65"/>
      <c r="J732" s="65"/>
      <c r="L732" s="61">
        <f>Price!A732</f>
        <v>0</v>
      </c>
      <c r="M732" s="15">
        <f>Price!B732</f>
        <v>0</v>
      </c>
      <c r="N732" s="15">
        <f>Price!C732</f>
        <v>0</v>
      </c>
      <c r="O732" s="525">
        <f>Price!D732</f>
        <v>0</v>
      </c>
      <c r="P732" s="16"/>
      <c r="Q732" s="17">
        <f>Price!F732</f>
        <v>0</v>
      </c>
      <c r="R732" s="318"/>
      <c r="S732" s="318"/>
      <c r="T732" s="12">
        <f>Price!G732</f>
        <v>0</v>
      </c>
      <c r="U732" s="252">
        <f>Price!H732</f>
        <v>0</v>
      </c>
    </row>
    <row r="733" spans="1:21" x14ac:dyDescent="0.35">
      <c r="A733" s="77"/>
      <c r="B733" s="160"/>
      <c r="C733" s="160"/>
      <c r="D733" s="528"/>
      <c r="E733" s="83"/>
      <c r="F733" s="65"/>
      <c r="G733" s="65"/>
      <c r="H733" s="65"/>
      <c r="I733" s="65"/>
      <c r="J733" s="65"/>
      <c r="L733" s="61">
        <f>Price!A733</f>
        <v>0</v>
      </c>
      <c r="M733" s="15">
        <f>Price!B733</f>
        <v>0</v>
      </c>
      <c r="N733" s="15">
        <f>Price!C733</f>
        <v>0</v>
      </c>
      <c r="O733" s="525">
        <f>Price!D733</f>
        <v>0</v>
      </c>
      <c r="P733" s="16"/>
      <c r="Q733" s="17">
        <f>Price!F733</f>
        <v>0</v>
      </c>
      <c r="R733" s="318"/>
      <c r="S733" s="318"/>
      <c r="T733" s="12">
        <f>Price!G733</f>
        <v>0</v>
      </c>
      <c r="U733" s="252">
        <f>Price!H733</f>
        <v>0</v>
      </c>
    </row>
    <row r="734" spans="1:21" x14ac:dyDescent="0.35">
      <c r="A734" s="77"/>
      <c r="B734" s="160"/>
      <c r="C734" s="160"/>
      <c r="D734" s="528"/>
      <c r="E734" s="83"/>
      <c r="F734" s="65"/>
      <c r="G734" s="65"/>
      <c r="H734" s="65"/>
      <c r="I734" s="65"/>
      <c r="J734" s="65"/>
      <c r="L734" s="61">
        <f>Price!A734</f>
        <v>0</v>
      </c>
      <c r="M734" s="15">
        <f>Price!B734</f>
        <v>0</v>
      </c>
      <c r="N734" s="15">
        <f>Price!C734</f>
        <v>0</v>
      </c>
      <c r="O734" s="525">
        <f>Price!D734</f>
        <v>0</v>
      </c>
      <c r="P734" s="16"/>
      <c r="Q734" s="17">
        <f>Price!F734</f>
        <v>0</v>
      </c>
      <c r="R734" s="318"/>
      <c r="S734" s="318"/>
      <c r="T734" s="12">
        <f>Price!G734</f>
        <v>0</v>
      </c>
      <c r="U734" s="252">
        <f>Price!H734</f>
        <v>0</v>
      </c>
    </row>
    <row r="735" spans="1:21" x14ac:dyDescent="0.35">
      <c r="A735" s="77"/>
      <c r="B735" s="160"/>
      <c r="C735" s="160"/>
      <c r="D735" s="528"/>
      <c r="E735" s="83"/>
      <c r="F735" s="65"/>
      <c r="G735" s="65"/>
      <c r="H735" s="65"/>
      <c r="I735" s="65"/>
      <c r="J735" s="65"/>
      <c r="L735" s="61">
        <f>Price!A735</f>
        <v>0</v>
      </c>
      <c r="M735" s="15">
        <f>Price!B735</f>
        <v>0</v>
      </c>
      <c r="N735" s="15">
        <f>Price!C735</f>
        <v>0</v>
      </c>
      <c r="O735" s="525">
        <f>Price!D735</f>
        <v>0</v>
      </c>
      <c r="P735" s="16"/>
      <c r="Q735" s="17">
        <f>Price!F735</f>
        <v>0</v>
      </c>
      <c r="R735" s="318"/>
      <c r="S735" s="318"/>
      <c r="T735" s="12">
        <f>Price!G735</f>
        <v>0</v>
      </c>
      <c r="U735" s="252">
        <f>Price!H735</f>
        <v>0</v>
      </c>
    </row>
    <row r="736" spans="1:21" x14ac:dyDescent="0.35">
      <c r="A736" s="77"/>
      <c r="B736" s="160"/>
      <c r="C736" s="160"/>
      <c r="D736" s="528"/>
      <c r="E736" s="83"/>
      <c r="F736" s="65"/>
      <c r="G736" s="65"/>
      <c r="H736" s="65"/>
      <c r="I736" s="65"/>
      <c r="J736" s="65"/>
      <c r="L736" s="61">
        <f>Price!A736</f>
        <v>0</v>
      </c>
      <c r="M736" s="15">
        <f>Price!B736</f>
        <v>0</v>
      </c>
      <c r="N736" s="15">
        <f>Price!C736</f>
        <v>0</v>
      </c>
      <c r="O736" s="525">
        <f>Price!D736</f>
        <v>0</v>
      </c>
      <c r="P736" s="16"/>
      <c r="Q736" s="17">
        <f>Price!F736</f>
        <v>0</v>
      </c>
      <c r="R736" s="318"/>
      <c r="S736" s="318"/>
      <c r="T736" s="12">
        <f>Price!G736</f>
        <v>0</v>
      </c>
      <c r="U736" s="252">
        <f>Price!H736</f>
        <v>0</v>
      </c>
    </row>
    <row r="737" spans="1:21" x14ac:dyDescent="0.35">
      <c r="A737" s="77"/>
      <c r="B737" s="160"/>
      <c r="C737" s="160"/>
      <c r="D737" s="528"/>
      <c r="E737" s="78"/>
      <c r="F737" s="65"/>
      <c r="G737" s="65"/>
      <c r="H737" s="65"/>
      <c r="I737" s="171"/>
      <c r="J737" s="171"/>
      <c r="L737" s="61">
        <f>Price!A737</f>
        <v>0</v>
      </c>
      <c r="M737" s="15">
        <f>Price!B737</f>
        <v>0</v>
      </c>
      <c r="N737" s="15">
        <f>Price!C737</f>
        <v>0</v>
      </c>
      <c r="O737" s="525">
        <f>Price!D737</f>
        <v>0</v>
      </c>
      <c r="P737" s="16"/>
      <c r="Q737" s="17">
        <f>Price!F737</f>
        <v>0</v>
      </c>
      <c r="R737" s="318"/>
      <c r="S737" s="318"/>
      <c r="T737" s="12">
        <f>Price!G737</f>
        <v>0</v>
      </c>
      <c r="U737" s="252">
        <f>Price!H737</f>
        <v>0</v>
      </c>
    </row>
    <row r="738" spans="1:21" x14ac:dyDescent="0.35">
      <c r="A738" s="77"/>
      <c r="B738" s="160"/>
      <c r="C738" s="160"/>
      <c r="D738" s="528"/>
      <c r="E738" s="78"/>
      <c r="F738" s="65"/>
      <c r="G738" s="65"/>
      <c r="H738" s="65"/>
      <c r="I738" s="171"/>
      <c r="J738" s="171"/>
      <c r="L738" s="61">
        <f>Price!A738</f>
        <v>0</v>
      </c>
      <c r="M738" s="15">
        <f>Price!B738</f>
        <v>0</v>
      </c>
      <c r="N738" s="15">
        <f>Price!C738</f>
        <v>0</v>
      </c>
      <c r="O738" s="525">
        <f>Price!D738</f>
        <v>0</v>
      </c>
      <c r="P738" s="16"/>
      <c r="Q738" s="17">
        <f>Price!F738</f>
        <v>0</v>
      </c>
      <c r="R738" s="318"/>
      <c r="S738" s="318"/>
      <c r="T738" s="12">
        <f>Price!G738</f>
        <v>0</v>
      </c>
      <c r="U738" s="252">
        <f>Price!H738</f>
        <v>0</v>
      </c>
    </row>
    <row r="739" spans="1:21" x14ac:dyDescent="0.35">
      <c r="A739" s="77"/>
      <c r="B739" s="160"/>
      <c r="C739" s="160"/>
      <c r="D739" s="528"/>
      <c r="E739" s="78"/>
      <c r="F739" s="65"/>
      <c r="G739" s="65"/>
      <c r="H739" s="65"/>
      <c r="I739" s="171"/>
      <c r="J739" s="171"/>
      <c r="L739" s="61">
        <f>Price!A739</f>
        <v>0</v>
      </c>
      <c r="M739" s="15">
        <f>Price!B739</f>
        <v>0</v>
      </c>
      <c r="N739" s="15">
        <f>Price!C739</f>
        <v>0</v>
      </c>
      <c r="O739" s="525">
        <f>Price!D739</f>
        <v>0</v>
      </c>
      <c r="P739" s="16"/>
      <c r="Q739" s="17">
        <f>Price!F739</f>
        <v>0</v>
      </c>
      <c r="R739" s="318"/>
      <c r="S739" s="318"/>
      <c r="T739" s="12">
        <f>Price!G739</f>
        <v>0</v>
      </c>
      <c r="U739" s="252">
        <f>Price!H739</f>
        <v>0</v>
      </c>
    </row>
    <row r="740" spans="1:21" x14ac:dyDescent="0.35">
      <c r="A740" s="77"/>
      <c r="B740" s="160"/>
      <c r="C740" s="160"/>
      <c r="D740" s="528"/>
      <c r="E740" s="78"/>
      <c r="F740" s="65"/>
      <c r="G740" s="65"/>
      <c r="H740" s="65"/>
      <c r="I740" s="171"/>
      <c r="J740" s="171"/>
      <c r="L740" s="61">
        <f>Price!A740</f>
        <v>0</v>
      </c>
      <c r="M740" s="15">
        <f>Price!B740</f>
        <v>0</v>
      </c>
      <c r="N740" s="15">
        <f>Price!C740</f>
        <v>0</v>
      </c>
      <c r="O740" s="525">
        <f>Price!D740</f>
        <v>0</v>
      </c>
      <c r="P740" s="16"/>
      <c r="Q740" s="17">
        <f>Price!F740</f>
        <v>0</v>
      </c>
      <c r="R740" s="318"/>
      <c r="S740" s="318"/>
      <c r="T740" s="12">
        <f>Price!G740</f>
        <v>0</v>
      </c>
      <c r="U740" s="252">
        <f>Price!H740</f>
        <v>0</v>
      </c>
    </row>
    <row r="741" spans="1:21" x14ac:dyDescent="0.35">
      <c r="A741" s="77"/>
      <c r="B741" s="160"/>
      <c r="C741" s="160"/>
      <c r="D741" s="528"/>
      <c r="E741" s="78"/>
      <c r="F741" s="65"/>
      <c r="G741" s="65"/>
      <c r="H741" s="65"/>
      <c r="I741" s="171"/>
      <c r="J741" s="171"/>
      <c r="L741" s="61">
        <f>Price!A741</f>
        <v>0</v>
      </c>
      <c r="M741" s="15">
        <f>Price!B741</f>
        <v>0</v>
      </c>
      <c r="N741" s="15">
        <f>Price!C741</f>
        <v>0</v>
      </c>
      <c r="O741" s="525">
        <f>Price!D741</f>
        <v>0</v>
      </c>
      <c r="P741" s="16"/>
      <c r="Q741" s="17">
        <f>Price!F741</f>
        <v>0</v>
      </c>
      <c r="R741" s="318"/>
      <c r="S741" s="318"/>
      <c r="T741" s="12">
        <f>Price!G741</f>
        <v>0</v>
      </c>
      <c r="U741" s="252">
        <f>Price!H741</f>
        <v>0</v>
      </c>
    </row>
    <row r="742" spans="1:21" x14ac:dyDescent="0.35">
      <c r="A742" s="77"/>
      <c r="B742" s="160"/>
      <c r="C742" s="160"/>
      <c r="D742" s="528"/>
      <c r="E742" s="78"/>
      <c r="F742" s="65"/>
      <c r="G742" s="65"/>
      <c r="H742" s="65"/>
      <c r="I742" s="171"/>
      <c r="J742" s="171"/>
      <c r="L742" s="61" t="str">
        <f>Price!A742</f>
        <v>Zde můžete vložit vlastní položky (následujících 10 řádků, zobrazí se v objednávce)</v>
      </c>
      <c r="M742" s="15">
        <f>Price!B742</f>
        <v>0</v>
      </c>
      <c r="N742" s="15">
        <f>Price!C742</f>
        <v>0</v>
      </c>
      <c r="O742" s="525"/>
      <c r="P742" s="16"/>
      <c r="Q742" s="17">
        <f>Price!F742</f>
        <v>0</v>
      </c>
      <c r="R742" s="318"/>
      <c r="S742" s="318"/>
      <c r="T742" s="12">
        <f>Price!G742</f>
        <v>0</v>
      </c>
      <c r="U742" s="252">
        <f>Price!H742</f>
        <v>0</v>
      </c>
    </row>
    <row r="743" spans="1:21" x14ac:dyDescent="0.35">
      <c r="A743" s="90">
        <f>L743</f>
        <v>0</v>
      </c>
      <c r="B743" s="91">
        <f>M743</f>
        <v>0</v>
      </c>
      <c r="C743" s="91">
        <f>N743</f>
        <v>0</v>
      </c>
      <c r="D743" s="91">
        <f>O743</f>
        <v>0</v>
      </c>
      <c r="E743" s="92">
        <f>P743</f>
        <v>0</v>
      </c>
      <c r="F743" s="17">
        <f>Q743*(100-$F$6)/100</f>
        <v>0</v>
      </c>
      <c r="G743" s="65"/>
      <c r="H743" s="65"/>
      <c r="I743" s="169">
        <f>T743</f>
        <v>0</v>
      </c>
      <c r="J743" s="169">
        <f>U743</f>
        <v>0</v>
      </c>
      <c r="L743" s="61">
        <f>Price!A743</f>
        <v>0</v>
      </c>
      <c r="M743" s="15">
        <f>Price!B743</f>
        <v>0</v>
      </c>
      <c r="N743" s="15">
        <f>Price!C743</f>
        <v>0</v>
      </c>
      <c r="O743" s="525"/>
      <c r="P743" s="16"/>
      <c r="Q743" s="17">
        <f>Price!F743</f>
        <v>0</v>
      </c>
      <c r="R743" s="318"/>
      <c r="S743" s="318"/>
      <c r="T743" s="12">
        <f>Price!G743</f>
        <v>0</v>
      </c>
      <c r="U743" s="252">
        <f>Price!H743</f>
        <v>0</v>
      </c>
    </row>
    <row r="744" spans="1:21" x14ac:dyDescent="0.35">
      <c r="A744" s="90">
        <f t="shared" ref="A744:A752" si="787">L744</f>
        <v>0</v>
      </c>
      <c r="B744" s="91">
        <f t="shared" ref="B744:B752" si="788">M744</f>
        <v>0</v>
      </c>
      <c r="C744" s="91">
        <f t="shared" ref="C744:C752" si="789">N744</f>
        <v>0</v>
      </c>
      <c r="D744" s="91">
        <f t="shared" ref="D744:D752" si="790">O744</f>
        <v>0</v>
      </c>
      <c r="E744" s="92">
        <f t="shared" ref="E744:E752" si="791">P744</f>
        <v>0</v>
      </c>
      <c r="F744" s="17">
        <f t="shared" ref="F744:F752" si="792">Q744*(100-$F$6)/100</f>
        <v>0</v>
      </c>
      <c r="G744" s="65"/>
      <c r="H744" s="65"/>
      <c r="I744" s="169">
        <f t="shared" ref="I744:I752" si="793">T744</f>
        <v>0</v>
      </c>
      <c r="J744" s="169">
        <f t="shared" ref="J744:J752" si="794">U744</f>
        <v>0</v>
      </c>
      <c r="L744" s="61">
        <f>Price!A744</f>
        <v>0</v>
      </c>
      <c r="M744" s="15">
        <f>Price!B744</f>
        <v>0</v>
      </c>
      <c r="N744" s="15">
        <f>Price!C744</f>
        <v>0</v>
      </c>
      <c r="O744" s="525"/>
      <c r="P744" s="16"/>
      <c r="Q744" s="17">
        <f>Price!F744</f>
        <v>0</v>
      </c>
      <c r="R744" s="318"/>
      <c r="S744" s="318"/>
      <c r="T744" s="12">
        <f>Price!G744</f>
        <v>0</v>
      </c>
      <c r="U744" s="252">
        <f>Price!H744</f>
        <v>0</v>
      </c>
    </row>
    <row r="745" spans="1:21" x14ac:dyDescent="0.35">
      <c r="A745" s="90">
        <f t="shared" si="787"/>
        <v>0</v>
      </c>
      <c r="B745" s="91">
        <f t="shared" si="788"/>
        <v>0</v>
      </c>
      <c r="C745" s="91">
        <f t="shared" si="789"/>
        <v>0</v>
      </c>
      <c r="D745" s="91">
        <f t="shared" si="790"/>
        <v>0</v>
      </c>
      <c r="E745" s="92">
        <f t="shared" si="791"/>
        <v>0</v>
      </c>
      <c r="F745" s="17">
        <f t="shared" si="792"/>
        <v>0</v>
      </c>
      <c r="G745" s="65"/>
      <c r="H745" s="65"/>
      <c r="I745" s="169">
        <f t="shared" si="793"/>
        <v>0</v>
      </c>
      <c r="J745" s="169">
        <f t="shared" si="794"/>
        <v>0</v>
      </c>
      <c r="L745" s="61">
        <f>Price!A745</f>
        <v>0</v>
      </c>
      <c r="M745" s="15">
        <f>Price!B745</f>
        <v>0</v>
      </c>
      <c r="N745" s="15">
        <f>Price!C745</f>
        <v>0</v>
      </c>
      <c r="O745" s="525"/>
      <c r="P745" s="16"/>
      <c r="Q745" s="17">
        <f>Price!F745</f>
        <v>0</v>
      </c>
      <c r="R745" s="318"/>
      <c r="S745" s="318"/>
      <c r="T745" s="12">
        <f>Price!G745</f>
        <v>0</v>
      </c>
      <c r="U745" s="252">
        <f>Price!H745</f>
        <v>0</v>
      </c>
    </row>
    <row r="746" spans="1:21" x14ac:dyDescent="0.35">
      <c r="A746" s="90">
        <f t="shared" si="787"/>
        <v>0</v>
      </c>
      <c r="B746" s="91">
        <f t="shared" si="788"/>
        <v>0</v>
      </c>
      <c r="C746" s="91">
        <f t="shared" si="789"/>
        <v>0</v>
      </c>
      <c r="D746" s="91">
        <f t="shared" si="790"/>
        <v>0</v>
      </c>
      <c r="E746" s="92">
        <f t="shared" si="791"/>
        <v>0</v>
      </c>
      <c r="F746" s="17">
        <f t="shared" si="792"/>
        <v>0</v>
      </c>
      <c r="G746" s="65"/>
      <c r="H746" s="65"/>
      <c r="I746" s="169">
        <f t="shared" si="793"/>
        <v>0</v>
      </c>
      <c r="J746" s="169">
        <f t="shared" si="794"/>
        <v>0</v>
      </c>
      <c r="L746" s="61">
        <f>Price!A746</f>
        <v>0</v>
      </c>
      <c r="M746" s="15">
        <f>Price!B746</f>
        <v>0</v>
      </c>
      <c r="N746" s="15">
        <f>Price!C746</f>
        <v>0</v>
      </c>
      <c r="O746" s="525"/>
      <c r="P746" s="16"/>
      <c r="Q746" s="17">
        <f>Price!F746</f>
        <v>0</v>
      </c>
      <c r="R746" s="318"/>
      <c r="S746" s="318"/>
      <c r="T746" s="12">
        <f>Price!G746</f>
        <v>0</v>
      </c>
      <c r="U746" s="252">
        <f>Price!H746</f>
        <v>0</v>
      </c>
    </row>
    <row r="747" spans="1:21" x14ac:dyDescent="0.35">
      <c r="A747" s="90">
        <f t="shared" si="787"/>
        <v>0</v>
      </c>
      <c r="B747" s="91">
        <f t="shared" si="788"/>
        <v>0</v>
      </c>
      <c r="C747" s="91">
        <f t="shared" si="789"/>
        <v>0</v>
      </c>
      <c r="D747" s="91">
        <f t="shared" si="790"/>
        <v>0</v>
      </c>
      <c r="E747" s="92">
        <f t="shared" si="791"/>
        <v>0</v>
      </c>
      <c r="F747" s="17">
        <f t="shared" si="792"/>
        <v>0</v>
      </c>
      <c r="G747" s="65"/>
      <c r="H747" s="65"/>
      <c r="I747" s="169">
        <f t="shared" si="793"/>
        <v>0</v>
      </c>
      <c r="J747" s="169">
        <f t="shared" si="794"/>
        <v>0</v>
      </c>
      <c r="L747" s="61">
        <f>Price!A747</f>
        <v>0</v>
      </c>
      <c r="M747" s="15">
        <f>Price!B747</f>
        <v>0</v>
      </c>
      <c r="N747" s="15">
        <f>Price!C747</f>
        <v>0</v>
      </c>
      <c r="O747" s="525"/>
      <c r="P747" s="16"/>
      <c r="Q747" s="17">
        <f>Price!F747</f>
        <v>0</v>
      </c>
      <c r="R747" s="318"/>
      <c r="S747" s="318"/>
      <c r="T747" s="12">
        <f>Price!G747</f>
        <v>0</v>
      </c>
      <c r="U747" s="252">
        <f>Price!H747</f>
        <v>0</v>
      </c>
    </row>
    <row r="748" spans="1:21" x14ac:dyDescent="0.35">
      <c r="A748" s="90">
        <f t="shared" si="787"/>
        <v>0</v>
      </c>
      <c r="B748" s="91">
        <f t="shared" si="788"/>
        <v>0</v>
      </c>
      <c r="C748" s="91">
        <f t="shared" si="789"/>
        <v>0</v>
      </c>
      <c r="D748" s="91">
        <f t="shared" si="790"/>
        <v>0</v>
      </c>
      <c r="E748" s="92">
        <f t="shared" si="791"/>
        <v>0</v>
      </c>
      <c r="F748" s="17">
        <f t="shared" si="792"/>
        <v>0</v>
      </c>
      <c r="G748" s="65"/>
      <c r="H748" s="65"/>
      <c r="I748" s="169">
        <f t="shared" si="793"/>
        <v>0</v>
      </c>
      <c r="J748" s="169">
        <f t="shared" si="794"/>
        <v>0</v>
      </c>
      <c r="L748" s="61">
        <f>Price!A748</f>
        <v>0</v>
      </c>
      <c r="M748" s="15">
        <f>Price!B748</f>
        <v>0</v>
      </c>
      <c r="N748" s="15">
        <f>Price!C748</f>
        <v>0</v>
      </c>
      <c r="O748" s="525"/>
      <c r="P748" s="16"/>
      <c r="Q748" s="17">
        <f>Price!F748</f>
        <v>0</v>
      </c>
      <c r="R748" s="318"/>
      <c r="S748" s="318"/>
      <c r="T748" s="12">
        <f>Price!G748</f>
        <v>0</v>
      </c>
      <c r="U748" s="252">
        <f>Price!H748</f>
        <v>0</v>
      </c>
    </row>
    <row r="749" spans="1:21" x14ac:dyDescent="0.35">
      <c r="A749" s="90">
        <f t="shared" si="787"/>
        <v>0</v>
      </c>
      <c r="B749" s="91">
        <f t="shared" si="788"/>
        <v>0</v>
      </c>
      <c r="C749" s="91">
        <f t="shared" si="789"/>
        <v>0</v>
      </c>
      <c r="D749" s="91">
        <f t="shared" si="790"/>
        <v>0</v>
      </c>
      <c r="E749" s="92">
        <f t="shared" si="791"/>
        <v>0</v>
      </c>
      <c r="F749" s="17">
        <f t="shared" si="792"/>
        <v>0</v>
      </c>
      <c r="G749" s="65"/>
      <c r="H749" s="65"/>
      <c r="I749" s="169">
        <f t="shared" si="793"/>
        <v>0</v>
      </c>
      <c r="J749" s="169">
        <f t="shared" si="794"/>
        <v>0</v>
      </c>
      <c r="L749" s="61">
        <f>Price!A749</f>
        <v>0</v>
      </c>
      <c r="M749" s="15">
        <f>Price!B749</f>
        <v>0</v>
      </c>
      <c r="N749" s="15">
        <f>Price!C749</f>
        <v>0</v>
      </c>
      <c r="O749" s="525"/>
      <c r="P749" s="16"/>
      <c r="Q749" s="17">
        <f>Price!F749</f>
        <v>0</v>
      </c>
      <c r="R749" s="318"/>
      <c r="S749" s="318"/>
      <c r="T749" s="12">
        <f>Price!G749</f>
        <v>0</v>
      </c>
      <c r="U749" s="252">
        <f>Price!H749</f>
        <v>0</v>
      </c>
    </row>
    <row r="750" spans="1:21" x14ac:dyDescent="0.35">
      <c r="A750" s="90">
        <f t="shared" si="787"/>
        <v>0</v>
      </c>
      <c r="B750" s="91">
        <f t="shared" si="788"/>
        <v>0</v>
      </c>
      <c r="C750" s="91">
        <f t="shared" si="789"/>
        <v>0</v>
      </c>
      <c r="D750" s="91">
        <f t="shared" si="790"/>
        <v>0</v>
      </c>
      <c r="E750" s="92">
        <f t="shared" si="791"/>
        <v>0</v>
      </c>
      <c r="F750" s="17">
        <f t="shared" si="792"/>
        <v>0</v>
      </c>
      <c r="G750" s="65"/>
      <c r="H750" s="65"/>
      <c r="I750" s="169">
        <f t="shared" si="793"/>
        <v>0</v>
      </c>
      <c r="J750" s="169">
        <f t="shared" si="794"/>
        <v>0</v>
      </c>
      <c r="L750" s="61">
        <f>Price!A750</f>
        <v>0</v>
      </c>
      <c r="M750" s="15">
        <f>Price!B750</f>
        <v>0</v>
      </c>
      <c r="N750" s="15">
        <f>Price!C750</f>
        <v>0</v>
      </c>
      <c r="O750" s="525"/>
      <c r="P750" s="16"/>
      <c r="Q750" s="17">
        <f>Price!F750</f>
        <v>0</v>
      </c>
      <c r="R750" s="318"/>
      <c r="S750" s="318"/>
      <c r="T750" s="12">
        <f>Price!G750</f>
        <v>0</v>
      </c>
      <c r="U750" s="252">
        <f>Price!H750</f>
        <v>0</v>
      </c>
    </row>
    <row r="751" spans="1:21" x14ac:dyDescent="0.35">
      <c r="A751" s="90">
        <f t="shared" si="787"/>
        <v>0</v>
      </c>
      <c r="B751" s="91">
        <f t="shared" si="788"/>
        <v>0</v>
      </c>
      <c r="C751" s="91">
        <f t="shared" si="789"/>
        <v>0</v>
      </c>
      <c r="D751" s="91">
        <f t="shared" si="790"/>
        <v>0</v>
      </c>
      <c r="E751" s="92">
        <f t="shared" si="791"/>
        <v>0</v>
      </c>
      <c r="F751" s="17">
        <f t="shared" si="792"/>
        <v>0</v>
      </c>
      <c r="G751" s="65"/>
      <c r="H751" s="65"/>
      <c r="I751" s="169">
        <f t="shared" si="793"/>
        <v>0</v>
      </c>
      <c r="J751" s="169">
        <f t="shared" si="794"/>
        <v>0</v>
      </c>
      <c r="L751" s="61">
        <f>Price!A751</f>
        <v>0</v>
      </c>
      <c r="M751" s="15">
        <f>Price!B751</f>
        <v>0</v>
      </c>
      <c r="N751" s="15">
        <f>Price!C751</f>
        <v>0</v>
      </c>
      <c r="O751" s="525"/>
      <c r="P751" s="16"/>
      <c r="Q751" s="17">
        <f>Price!F751</f>
        <v>0</v>
      </c>
      <c r="R751" s="318"/>
      <c r="S751" s="318"/>
      <c r="T751" s="12">
        <f>Price!G751</f>
        <v>0</v>
      </c>
      <c r="U751" s="252">
        <f>Price!H751</f>
        <v>0</v>
      </c>
    </row>
    <row r="752" spans="1:21" x14ac:dyDescent="0.35">
      <c r="A752" s="90">
        <f t="shared" si="787"/>
        <v>0</v>
      </c>
      <c r="B752" s="91">
        <f t="shared" si="788"/>
        <v>0</v>
      </c>
      <c r="C752" s="91">
        <f t="shared" si="789"/>
        <v>0</v>
      </c>
      <c r="D752" s="91">
        <f t="shared" si="790"/>
        <v>0</v>
      </c>
      <c r="E752" s="92">
        <f t="shared" si="791"/>
        <v>0</v>
      </c>
      <c r="F752" s="17">
        <f t="shared" si="792"/>
        <v>0</v>
      </c>
      <c r="G752" s="65"/>
      <c r="H752" s="65"/>
      <c r="I752" s="169">
        <f t="shared" si="793"/>
        <v>0</v>
      </c>
      <c r="J752" s="169">
        <f t="shared" si="794"/>
        <v>0</v>
      </c>
      <c r="L752" s="61">
        <f>Price!A752</f>
        <v>0</v>
      </c>
      <c r="M752" s="15">
        <f>Price!B752</f>
        <v>0</v>
      </c>
      <c r="N752" s="15">
        <f>Price!C752</f>
        <v>0</v>
      </c>
      <c r="O752" s="525"/>
      <c r="P752" s="16"/>
      <c r="Q752" s="17">
        <f>Price!F752</f>
        <v>0</v>
      </c>
      <c r="R752" s="318"/>
      <c r="S752" s="318"/>
      <c r="T752" s="12">
        <f>Price!G752</f>
        <v>0</v>
      </c>
      <c r="U752" s="252">
        <f>Price!H752</f>
        <v>0</v>
      </c>
    </row>
    <row r="753" spans="1:21" x14ac:dyDescent="0.35">
      <c r="A753" s="77"/>
      <c r="B753" s="160"/>
      <c r="C753" s="160"/>
      <c r="D753" s="528"/>
      <c r="E753" s="83"/>
      <c r="F753" s="20"/>
      <c r="G753" s="20"/>
      <c r="H753" s="20"/>
      <c r="I753" s="20"/>
      <c r="J753" s="20"/>
      <c r="L753" s="61">
        <f>Price!A753</f>
        <v>0</v>
      </c>
      <c r="M753" s="15">
        <f>Price!B753</f>
        <v>0</v>
      </c>
      <c r="N753" s="15">
        <f>Price!C753</f>
        <v>0</v>
      </c>
      <c r="O753" s="525"/>
      <c r="P753" s="16"/>
      <c r="Q753" s="17">
        <f>Price!F753</f>
        <v>0</v>
      </c>
      <c r="R753" s="318"/>
      <c r="S753" s="318"/>
      <c r="T753" s="12">
        <f>Price!G753</f>
        <v>0</v>
      </c>
      <c r="U753" s="252">
        <f>Price!H753</f>
        <v>0</v>
      </c>
    </row>
    <row r="754" spans="1:21" x14ac:dyDescent="0.35">
      <c r="A754" s="77"/>
      <c r="B754" s="160"/>
      <c r="C754" s="160"/>
      <c r="D754" s="528"/>
      <c r="E754" s="83"/>
      <c r="F754" s="20"/>
      <c r="G754" s="20"/>
      <c r="H754" s="20"/>
      <c r="I754" s="20"/>
      <c r="J754" s="20"/>
      <c r="L754" s="61">
        <f>Price!A754</f>
        <v>0</v>
      </c>
      <c r="M754" s="15">
        <f>Price!B754</f>
        <v>0</v>
      </c>
      <c r="N754" s="15">
        <f>Price!C754</f>
        <v>0</v>
      </c>
      <c r="O754" s="525"/>
      <c r="P754" s="16"/>
      <c r="Q754" s="17">
        <f>Price!F754</f>
        <v>0</v>
      </c>
      <c r="R754" s="318"/>
      <c r="S754" s="318"/>
      <c r="T754" s="12">
        <f>Price!G754</f>
        <v>0</v>
      </c>
      <c r="U754" s="252">
        <f>Price!H754</f>
        <v>0</v>
      </c>
    </row>
    <row r="755" spans="1:21" x14ac:dyDescent="0.35">
      <c r="A755" s="77"/>
      <c r="B755" s="160"/>
      <c r="C755" s="160"/>
      <c r="D755" s="528"/>
      <c r="E755" s="83"/>
      <c r="F755" s="20"/>
      <c r="G755" s="20"/>
      <c r="H755" s="20"/>
      <c r="I755" s="20"/>
      <c r="J755" s="20"/>
      <c r="L755" s="61">
        <f>Price!A755</f>
        <v>0</v>
      </c>
      <c r="M755" s="15">
        <f>Price!B755</f>
        <v>0</v>
      </c>
      <c r="N755" s="15">
        <f>Price!C755</f>
        <v>0</v>
      </c>
      <c r="O755" s="525"/>
      <c r="P755" s="16"/>
      <c r="Q755" s="17">
        <f>Price!F755</f>
        <v>0</v>
      </c>
      <c r="R755" s="318"/>
      <c r="S755" s="318"/>
      <c r="T755" s="12">
        <f>Price!G755</f>
        <v>0</v>
      </c>
      <c r="U755" s="252">
        <f>Price!H755</f>
        <v>0</v>
      </c>
    </row>
    <row r="756" spans="1:21" x14ac:dyDescent="0.35">
      <c r="A756" s="77"/>
      <c r="B756" s="160"/>
      <c r="C756" s="160"/>
      <c r="D756" s="528"/>
      <c r="E756" s="83"/>
      <c r="F756" s="20"/>
      <c r="G756" s="20"/>
      <c r="H756" s="20"/>
      <c r="I756" s="20"/>
      <c r="J756" s="20"/>
      <c r="L756" s="61">
        <f>Price!A756</f>
        <v>0</v>
      </c>
      <c r="M756" s="15">
        <f>Price!B756</f>
        <v>0</v>
      </c>
      <c r="N756" s="15">
        <f>Price!C756</f>
        <v>0</v>
      </c>
      <c r="O756" s="525"/>
      <c r="P756" s="16"/>
      <c r="Q756" s="17">
        <f>Price!F756</f>
        <v>0</v>
      </c>
      <c r="R756" s="318"/>
      <c r="S756" s="318"/>
      <c r="T756" s="12">
        <f>Price!G756</f>
        <v>0</v>
      </c>
      <c r="U756" s="252">
        <f>Price!H756</f>
        <v>0</v>
      </c>
    </row>
    <row r="757" spans="1:21" x14ac:dyDescent="0.35">
      <c r="A757" s="77"/>
      <c r="B757" s="160"/>
      <c r="C757" s="160"/>
      <c r="D757" s="528"/>
      <c r="E757" s="83"/>
      <c r="F757" s="20"/>
      <c r="G757" s="20"/>
      <c r="H757" s="20"/>
      <c r="I757" s="20"/>
      <c r="J757" s="20"/>
      <c r="L757" s="61">
        <f>Price!A757</f>
        <v>0</v>
      </c>
      <c r="M757" s="15">
        <f>Price!B757</f>
        <v>0</v>
      </c>
      <c r="N757" s="15">
        <f>Price!C757</f>
        <v>0</v>
      </c>
      <c r="O757" s="525"/>
      <c r="P757" s="16"/>
      <c r="Q757" s="17">
        <f>Price!F757</f>
        <v>0</v>
      </c>
      <c r="R757" s="318"/>
      <c r="S757" s="318"/>
      <c r="T757" s="12">
        <f>Price!G757</f>
        <v>0</v>
      </c>
      <c r="U757" s="252">
        <f>Price!H757</f>
        <v>0</v>
      </c>
    </row>
    <row r="758" spans="1:21" x14ac:dyDescent="0.35">
      <c r="L758" s="61">
        <f>Price!A758</f>
        <v>0</v>
      </c>
      <c r="M758" s="15">
        <f>Price!B758</f>
        <v>0</v>
      </c>
      <c r="N758" s="15">
        <f>Price!C758</f>
        <v>0</v>
      </c>
      <c r="O758" s="525"/>
      <c r="P758" s="16"/>
      <c r="Q758" s="17">
        <f>Price!F758</f>
        <v>0</v>
      </c>
      <c r="R758" s="318"/>
      <c r="S758" s="318"/>
      <c r="T758" s="12">
        <f>Price!G758</f>
        <v>0</v>
      </c>
      <c r="U758" s="252">
        <f>Price!H758</f>
        <v>0</v>
      </c>
    </row>
    <row r="759" spans="1:21" x14ac:dyDescent="0.35">
      <c r="L759" s="61">
        <f>Price!A759</f>
        <v>0</v>
      </c>
      <c r="M759" s="15">
        <f>Price!B759</f>
        <v>0</v>
      </c>
      <c r="N759" s="15">
        <f>Price!C759</f>
        <v>0</v>
      </c>
      <c r="O759" s="525"/>
      <c r="P759" s="16"/>
      <c r="Q759" s="17">
        <f>Price!F759</f>
        <v>0</v>
      </c>
      <c r="R759" s="318"/>
      <c r="S759" s="318"/>
      <c r="T759" s="12">
        <f>Price!G759</f>
        <v>0</v>
      </c>
      <c r="U759" s="252">
        <f>Price!H759</f>
        <v>0</v>
      </c>
    </row>
    <row r="760" spans="1:21" x14ac:dyDescent="0.35">
      <c r="L760" s="61">
        <f>Price!A760</f>
        <v>0</v>
      </c>
      <c r="M760" s="15">
        <f>Price!B760</f>
        <v>0</v>
      </c>
      <c r="N760" s="15">
        <f>Price!C760</f>
        <v>0</v>
      </c>
      <c r="O760" s="525"/>
      <c r="P760" s="16"/>
      <c r="Q760" s="17">
        <f>Price!F760</f>
        <v>0</v>
      </c>
      <c r="R760" s="318"/>
      <c r="S760" s="318"/>
      <c r="T760" s="12">
        <f>Price!G760</f>
        <v>0</v>
      </c>
      <c r="U760" s="252">
        <f>Price!H760</f>
        <v>0</v>
      </c>
    </row>
    <row r="761" spans="1:21" x14ac:dyDescent="0.35">
      <c r="L761" s="61">
        <f>Price!A761</f>
        <v>0</v>
      </c>
      <c r="M761" s="15">
        <f>Price!B761</f>
        <v>0</v>
      </c>
      <c r="N761" s="15">
        <f>Price!C761</f>
        <v>0</v>
      </c>
      <c r="O761" s="525"/>
      <c r="P761" s="16"/>
      <c r="Q761" s="17">
        <f>Price!F761</f>
        <v>0</v>
      </c>
      <c r="R761" s="318"/>
      <c r="S761" s="318"/>
      <c r="T761" s="12">
        <f>Price!G761</f>
        <v>0</v>
      </c>
      <c r="U761" s="252">
        <f>Price!H761</f>
        <v>0</v>
      </c>
    </row>
    <row r="762" spans="1:21" x14ac:dyDescent="0.35">
      <c r="L762" s="61">
        <f>Price!A762</f>
        <v>0</v>
      </c>
      <c r="M762" s="15">
        <f>Price!B762</f>
        <v>0</v>
      </c>
      <c r="N762" s="15">
        <f>Price!C762</f>
        <v>0</v>
      </c>
      <c r="O762" s="525"/>
      <c r="P762" s="16"/>
      <c r="Q762" s="17">
        <f>Price!F762</f>
        <v>0</v>
      </c>
      <c r="R762" s="318"/>
      <c r="S762" s="318"/>
      <c r="T762" s="12">
        <f>Price!G762</f>
        <v>0</v>
      </c>
      <c r="U762" s="252">
        <f>Price!H762</f>
        <v>0</v>
      </c>
    </row>
    <row r="763" spans="1:21" x14ac:dyDescent="0.35">
      <c r="L763" s="61">
        <f>Price!A763</f>
        <v>0</v>
      </c>
      <c r="M763" s="15">
        <f>Price!B763</f>
        <v>0</v>
      </c>
      <c r="N763" s="15">
        <f>Price!C763</f>
        <v>0</v>
      </c>
      <c r="O763" s="525"/>
      <c r="P763" s="16"/>
      <c r="Q763" s="17">
        <f>Price!F763</f>
        <v>0</v>
      </c>
      <c r="R763" s="318"/>
      <c r="S763" s="318"/>
      <c r="T763" s="12">
        <f>Price!G763</f>
        <v>0</v>
      </c>
      <c r="U763" s="252">
        <f>Price!H763</f>
        <v>0</v>
      </c>
    </row>
    <row r="764" spans="1:21" x14ac:dyDescent="0.35">
      <c r="L764" s="61">
        <f>Price!A764</f>
        <v>0</v>
      </c>
      <c r="M764" s="15">
        <f>Price!B764</f>
        <v>0</v>
      </c>
      <c r="N764" s="15">
        <f>Price!C764</f>
        <v>0</v>
      </c>
      <c r="O764" s="525"/>
      <c r="P764" s="16"/>
      <c r="Q764" s="17">
        <f>Price!F764</f>
        <v>0</v>
      </c>
      <c r="R764" s="318"/>
      <c r="S764" s="318"/>
      <c r="T764" s="12">
        <f>Price!G764</f>
        <v>0</v>
      </c>
      <c r="U764" s="252">
        <f>Price!H764</f>
        <v>0</v>
      </c>
    </row>
    <row r="765" spans="1:21" x14ac:dyDescent="0.35">
      <c r="L765" s="61">
        <f>Price!A765</f>
        <v>0</v>
      </c>
      <c r="M765" s="15">
        <f>Price!B765</f>
        <v>0</v>
      </c>
      <c r="N765" s="15">
        <f>Price!C765</f>
        <v>0</v>
      </c>
      <c r="O765" s="525"/>
      <c r="P765" s="16"/>
      <c r="Q765" s="17">
        <f>Price!F765</f>
        <v>0</v>
      </c>
      <c r="R765" s="318"/>
      <c r="S765" s="318"/>
      <c r="T765" s="12">
        <f>Price!G765</f>
        <v>0</v>
      </c>
      <c r="U765" s="252">
        <f>Price!H765</f>
        <v>0</v>
      </c>
    </row>
    <row r="766" spans="1:21" x14ac:dyDescent="0.35">
      <c r="L766" s="61">
        <f>Price!A766</f>
        <v>0</v>
      </c>
      <c r="M766" s="15">
        <f>Price!B766</f>
        <v>0</v>
      </c>
      <c r="N766" s="15">
        <f>Price!C766</f>
        <v>0</v>
      </c>
      <c r="O766" s="525"/>
      <c r="P766" s="16"/>
      <c r="Q766" s="17">
        <f>Price!F766</f>
        <v>0</v>
      </c>
      <c r="R766" s="318"/>
      <c r="S766" s="318"/>
      <c r="T766" s="12">
        <f>Price!G766</f>
        <v>0</v>
      </c>
      <c r="U766" s="252">
        <f>Price!H766</f>
        <v>0</v>
      </c>
    </row>
    <row r="767" spans="1:21" x14ac:dyDescent="0.35">
      <c r="L767" s="61">
        <f>Price!A767</f>
        <v>0</v>
      </c>
      <c r="M767" s="15">
        <f>Price!B767</f>
        <v>0</v>
      </c>
      <c r="N767" s="15">
        <f>Price!C767</f>
        <v>0</v>
      </c>
      <c r="O767" s="525"/>
      <c r="P767" s="16"/>
      <c r="Q767" s="17">
        <f>Price!F767</f>
        <v>0</v>
      </c>
      <c r="R767" s="318"/>
      <c r="S767" s="318"/>
      <c r="T767" s="12">
        <f>Price!G767</f>
        <v>0</v>
      </c>
      <c r="U767" s="252">
        <f>Price!H767</f>
        <v>0</v>
      </c>
    </row>
    <row r="768" spans="1:21" x14ac:dyDescent="0.35">
      <c r="L768" s="61">
        <f>Price!A768</f>
        <v>0</v>
      </c>
      <c r="M768" s="15">
        <f>Price!B768</f>
        <v>0</v>
      </c>
      <c r="N768" s="15">
        <f>Price!C768</f>
        <v>0</v>
      </c>
      <c r="O768" s="525"/>
      <c r="P768" s="16"/>
      <c r="Q768" s="17">
        <f>Price!F768</f>
        <v>0</v>
      </c>
      <c r="R768" s="318"/>
      <c r="S768" s="318"/>
      <c r="T768" s="12">
        <f>Price!G768</f>
        <v>0</v>
      </c>
      <c r="U768" s="252">
        <f>Price!H768</f>
        <v>0</v>
      </c>
    </row>
    <row r="769" spans="12:21" x14ac:dyDescent="0.35">
      <c r="L769" s="61">
        <f>Price!A769</f>
        <v>0</v>
      </c>
      <c r="M769" s="15">
        <f>Price!B769</f>
        <v>0</v>
      </c>
      <c r="N769" s="15">
        <f>Price!C769</f>
        <v>0</v>
      </c>
      <c r="O769" s="525"/>
      <c r="P769" s="16"/>
      <c r="Q769" s="17">
        <f>Price!F769</f>
        <v>0</v>
      </c>
      <c r="R769" s="318"/>
      <c r="S769" s="318"/>
      <c r="T769" s="12">
        <f>Price!G769</f>
        <v>0</v>
      </c>
      <c r="U769" s="252">
        <f>Price!H769</f>
        <v>0</v>
      </c>
    </row>
    <row r="770" spans="12:21" x14ac:dyDescent="0.35">
      <c r="L770" s="61">
        <f>Price!A770</f>
        <v>0</v>
      </c>
      <c r="M770" s="15">
        <f>Price!B770</f>
        <v>0</v>
      </c>
      <c r="N770" s="15">
        <f>Price!C770</f>
        <v>0</v>
      </c>
      <c r="O770" s="525"/>
      <c r="P770" s="16"/>
      <c r="Q770" s="17">
        <f>Price!F770</f>
        <v>0</v>
      </c>
      <c r="R770" s="318"/>
      <c r="S770" s="318"/>
      <c r="T770" s="12">
        <f>Price!G770</f>
        <v>0</v>
      </c>
      <c r="U770" s="252">
        <f>Price!H770</f>
        <v>0</v>
      </c>
    </row>
    <row r="771" spans="12:21" x14ac:dyDescent="0.35">
      <c r="L771" s="61">
        <f>Price!A771</f>
        <v>0</v>
      </c>
      <c r="M771" s="15">
        <f>Price!B771</f>
        <v>0</v>
      </c>
      <c r="N771" s="15">
        <f>Price!C771</f>
        <v>0</v>
      </c>
      <c r="O771" s="525"/>
      <c r="P771" s="16"/>
      <c r="Q771" s="17">
        <f>Price!F771</f>
        <v>0</v>
      </c>
      <c r="R771" s="318"/>
      <c r="S771" s="318"/>
      <c r="T771" s="12">
        <f>Price!G771</f>
        <v>0</v>
      </c>
      <c r="U771" s="252">
        <f>Price!H771</f>
        <v>0</v>
      </c>
    </row>
    <row r="772" spans="12:21" x14ac:dyDescent="0.35">
      <c r="L772" s="61">
        <f>Price!A772</f>
        <v>0</v>
      </c>
      <c r="M772" s="15">
        <f>Price!B772</f>
        <v>0</v>
      </c>
      <c r="N772" s="15">
        <f>Price!C772</f>
        <v>0</v>
      </c>
      <c r="O772" s="525"/>
      <c r="P772" s="16"/>
      <c r="Q772" s="17">
        <f>Price!F772</f>
        <v>0</v>
      </c>
      <c r="R772" s="318"/>
      <c r="S772" s="318"/>
      <c r="T772" s="12">
        <f>Price!G772</f>
        <v>0</v>
      </c>
      <c r="U772" s="252">
        <f>Price!H772</f>
        <v>0</v>
      </c>
    </row>
    <row r="773" spans="12:21" x14ac:dyDescent="0.35">
      <c r="L773" s="61">
        <f>Price!A773</f>
        <v>0</v>
      </c>
      <c r="M773" s="15">
        <f>Price!B773</f>
        <v>0</v>
      </c>
      <c r="N773" s="15">
        <f>Price!C773</f>
        <v>0</v>
      </c>
      <c r="O773" s="525"/>
      <c r="P773" s="16"/>
      <c r="Q773" s="17">
        <f>Price!F773</f>
        <v>0</v>
      </c>
      <c r="R773" s="318"/>
      <c r="S773" s="318"/>
      <c r="T773" s="12">
        <f>Price!G773</f>
        <v>0</v>
      </c>
      <c r="U773" s="252">
        <f>Price!H773</f>
        <v>0</v>
      </c>
    </row>
    <row r="774" spans="12:21" x14ac:dyDescent="0.35">
      <c r="L774" s="61">
        <f>Price!A774</f>
        <v>0</v>
      </c>
      <c r="M774" s="15">
        <f>Price!B774</f>
        <v>0</v>
      </c>
      <c r="N774" s="15">
        <f>Price!C774</f>
        <v>0</v>
      </c>
      <c r="O774" s="525"/>
      <c r="P774" s="16"/>
      <c r="Q774" s="17">
        <f>Price!F774</f>
        <v>0</v>
      </c>
      <c r="R774" s="318"/>
      <c r="S774" s="318"/>
      <c r="T774" s="12">
        <f>Price!G774</f>
        <v>0</v>
      </c>
      <c r="U774" s="252">
        <f>Price!H774</f>
        <v>0</v>
      </c>
    </row>
    <row r="775" spans="12:21" x14ac:dyDescent="0.35">
      <c r="L775" s="61">
        <f>Price!A775</f>
        <v>0</v>
      </c>
      <c r="M775" s="15">
        <f>Price!B775</f>
        <v>0</v>
      </c>
      <c r="N775" s="15">
        <f>Price!C775</f>
        <v>0</v>
      </c>
      <c r="O775" s="525"/>
      <c r="P775" s="16"/>
      <c r="Q775" s="17">
        <f>Price!F775</f>
        <v>0</v>
      </c>
      <c r="R775" s="318"/>
      <c r="S775" s="318"/>
      <c r="T775" s="12">
        <f>Price!G775</f>
        <v>0</v>
      </c>
      <c r="U775" s="252">
        <f>Price!H775</f>
        <v>0</v>
      </c>
    </row>
    <row r="776" spans="12:21" x14ac:dyDescent="0.35">
      <c r="L776" s="61">
        <f>Price!A776</f>
        <v>0</v>
      </c>
      <c r="M776" s="15">
        <f>Price!B776</f>
        <v>0</v>
      </c>
      <c r="N776" s="15">
        <f>Price!C776</f>
        <v>0</v>
      </c>
      <c r="O776" s="525"/>
      <c r="P776" s="16"/>
      <c r="Q776" s="17">
        <f>Price!F776</f>
        <v>0</v>
      </c>
      <c r="R776" s="318"/>
      <c r="S776" s="318"/>
      <c r="T776" s="12">
        <f>Price!G776</f>
        <v>0</v>
      </c>
      <c r="U776" s="252">
        <f>Price!H776</f>
        <v>0</v>
      </c>
    </row>
    <row r="777" spans="12:21" x14ac:dyDescent="0.35">
      <c r="L777" s="61">
        <f>Price!A777</f>
        <v>0</v>
      </c>
      <c r="M777" s="15">
        <f>Price!B777</f>
        <v>0</v>
      </c>
      <c r="N777" s="15">
        <f>Price!C777</f>
        <v>0</v>
      </c>
      <c r="O777" s="525"/>
      <c r="P777" s="16"/>
      <c r="Q777" s="17">
        <f>Price!F777</f>
        <v>0</v>
      </c>
      <c r="R777" s="318"/>
      <c r="S777" s="318"/>
      <c r="T777" s="12">
        <f>Price!G777</f>
        <v>0</v>
      </c>
      <c r="U777" s="252">
        <f>Price!H777</f>
        <v>0</v>
      </c>
    </row>
    <row r="778" spans="12:21" x14ac:dyDescent="0.35">
      <c r="L778" s="61">
        <f>Price!A778</f>
        <v>0</v>
      </c>
      <c r="M778" s="15">
        <f>Price!B778</f>
        <v>0</v>
      </c>
      <c r="N778" s="15">
        <f>Price!C778</f>
        <v>0</v>
      </c>
      <c r="O778" s="525"/>
      <c r="P778" s="16"/>
      <c r="Q778" s="17">
        <f>Price!F778</f>
        <v>0</v>
      </c>
      <c r="R778" s="318"/>
      <c r="S778" s="318"/>
      <c r="T778" s="12">
        <f>Price!G778</f>
        <v>0</v>
      </c>
      <c r="U778" s="252">
        <f>Price!H778</f>
        <v>0</v>
      </c>
    </row>
    <row r="779" spans="12:21" x14ac:dyDescent="0.35">
      <c r="L779" s="61">
        <f>Price!A779</f>
        <v>0</v>
      </c>
      <c r="M779" s="15">
        <f>Price!B779</f>
        <v>0</v>
      </c>
      <c r="N779" s="15">
        <f>Price!C779</f>
        <v>0</v>
      </c>
      <c r="O779" s="525"/>
      <c r="P779" s="16"/>
      <c r="Q779" s="17">
        <f>Price!F779</f>
        <v>0</v>
      </c>
      <c r="R779" s="318"/>
      <c r="S779" s="318"/>
      <c r="T779" s="12">
        <f>Price!G779</f>
        <v>0</v>
      </c>
      <c r="U779" s="252">
        <f>Price!H779</f>
        <v>0</v>
      </c>
    </row>
    <row r="780" spans="12:21" x14ac:dyDescent="0.35">
      <c r="L780" s="61">
        <f>Price!A780</f>
        <v>0</v>
      </c>
      <c r="M780" s="15">
        <f>Price!B780</f>
        <v>0</v>
      </c>
      <c r="N780" s="15">
        <f>Price!C780</f>
        <v>0</v>
      </c>
      <c r="O780" s="525"/>
      <c r="P780" s="16"/>
      <c r="Q780" s="17">
        <f>Price!F780</f>
        <v>0</v>
      </c>
      <c r="R780" s="318"/>
      <c r="S780" s="318"/>
      <c r="T780" s="12">
        <f>Price!G780</f>
        <v>0</v>
      </c>
      <c r="U780" s="252">
        <f>Price!H780</f>
        <v>0</v>
      </c>
    </row>
    <row r="781" spans="12:21" x14ac:dyDescent="0.35">
      <c r="L781" s="61">
        <f>Price!A781</f>
        <v>0</v>
      </c>
      <c r="M781" s="15">
        <f>Price!B781</f>
        <v>0</v>
      </c>
      <c r="N781" s="15">
        <f>Price!C781</f>
        <v>0</v>
      </c>
      <c r="O781" s="525"/>
      <c r="P781" s="16"/>
      <c r="Q781" s="17">
        <f>Price!F781</f>
        <v>0</v>
      </c>
      <c r="R781" s="318"/>
      <c r="S781" s="318"/>
      <c r="T781" s="12">
        <f>Price!G781</f>
        <v>0</v>
      </c>
      <c r="U781" s="252">
        <f>Price!H781</f>
        <v>0</v>
      </c>
    </row>
    <row r="782" spans="12:21" x14ac:dyDescent="0.35">
      <c r="L782" s="61">
        <f>Price!A782</f>
        <v>0</v>
      </c>
      <c r="M782" s="15">
        <f>Price!B782</f>
        <v>0</v>
      </c>
      <c r="N782" s="15">
        <f>Price!C782</f>
        <v>0</v>
      </c>
      <c r="O782" s="525"/>
      <c r="P782" s="16"/>
      <c r="Q782" s="17">
        <f>Price!F782</f>
        <v>0</v>
      </c>
      <c r="R782" s="318"/>
      <c r="S782" s="318"/>
      <c r="T782" s="12">
        <f>Price!G782</f>
        <v>0</v>
      </c>
      <c r="U782" s="252">
        <f>Price!H782</f>
        <v>0</v>
      </c>
    </row>
    <row r="783" spans="12:21" x14ac:dyDescent="0.35">
      <c r="L783" s="61">
        <f>Price!A783</f>
        <v>0</v>
      </c>
      <c r="M783" s="15">
        <f>Price!B783</f>
        <v>0</v>
      </c>
      <c r="N783" s="15">
        <f>Price!C783</f>
        <v>0</v>
      </c>
      <c r="O783" s="525"/>
      <c r="P783" s="16"/>
      <c r="Q783" s="17">
        <f>Price!F783</f>
        <v>0</v>
      </c>
      <c r="R783" s="318"/>
      <c r="S783" s="318"/>
      <c r="T783" s="12">
        <f>Price!G783</f>
        <v>0</v>
      </c>
      <c r="U783" s="252">
        <f>Price!H783</f>
        <v>0</v>
      </c>
    </row>
    <row r="784" spans="12:21" x14ac:dyDescent="0.35">
      <c r="L784" s="61">
        <f>Price!A784</f>
        <v>0</v>
      </c>
      <c r="M784" s="15">
        <f>Price!B784</f>
        <v>0</v>
      </c>
      <c r="N784" s="15">
        <f>Price!C784</f>
        <v>0</v>
      </c>
      <c r="O784" s="525"/>
      <c r="P784" s="16"/>
      <c r="Q784" s="17">
        <f>Price!F784</f>
        <v>0</v>
      </c>
      <c r="R784" s="318"/>
      <c r="S784" s="318"/>
      <c r="T784" s="12">
        <f>Price!G784</f>
        <v>0</v>
      </c>
      <c r="U784" s="252">
        <f>Price!H784</f>
        <v>0</v>
      </c>
    </row>
    <row r="785" spans="12:21" x14ac:dyDescent="0.35">
      <c r="L785" s="61">
        <f>Price!A785</f>
        <v>0</v>
      </c>
      <c r="M785" s="15">
        <f>Price!B785</f>
        <v>0</v>
      </c>
      <c r="N785" s="15">
        <f>Price!C785</f>
        <v>0</v>
      </c>
      <c r="O785" s="525"/>
      <c r="P785" s="16"/>
      <c r="Q785" s="17">
        <f>Price!F785</f>
        <v>0</v>
      </c>
      <c r="R785" s="318"/>
      <c r="S785" s="318"/>
      <c r="T785" s="12">
        <f>Price!G785</f>
        <v>0</v>
      </c>
      <c r="U785" s="252">
        <f>Price!H785</f>
        <v>0</v>
      </c>
    </row>
    <row r="786" spans="12:21" x14ac:dyDescent="0.35">
      <c r="L786" s="61">
        <f>Price!A786</f>
        <v>0</v>
      </c>
      <c r="M786" s="15">
        <f>Price!B786</f>
        <v>0</v>
      </c>
      <c r="N786" s="15">
        <f>Price!C786</f>
        <v>0</v>
      </c>
      <c r="O786" s="525"/>
      <c r="P786" s="16"/>
      <c r="Q786" s="17">
        <f>Price!F786</f>
        <v>0</v>
      </c>
      <c r="R786" s="318"/>
      <c r="S786" s="318"/>
      <c r="T786" s="12">
        <f>Price!G786</f>
        <v>0</v>
      </c>
      <c r="U786" s="252">
        <f>Price!H786</f>
        <v>0</v>
      </c>
    </row>
    <row r="787" spans="12:21" x14ac:dyDescent="0.35">
      <c r="L787" s="61">
        <f>Price!A787</f>
        <v>0</v>
      </c>
      <c r="M787" s="15">
        <f>Price!B787</f>
        <v>0</v>
      </c>
      <c r="N787" s="15">
        <f>Price!C787</f>
        <v>0</v>
      </c>
      <c r="O787" s="525"/>
      <c r="P787" s="16"/>
      <c r="Q787" s="17">
        <f>Price!F787</f>
        <v>0</v>
      </c>
      <c r="R787" s="318"/>
      <c r="S787" s="318"/>
      <c r="T787" s="12">
        <f>Price!G787</f>
        <v>0</v>
      </c>
      <c r="U787" s="252">
        <f>Price!H787</f>
        <v>0</v>
      </c>
    </row>
    <row r="788" spans="12:21" x14ac:dyDescent="0.35">
      <c r="L788" s="61">
        <f>Price!A788</f>
        <v>0</v>
      </c>
      <c r="M788" s="15">
        <f>Price!B788</f>
        <v>0</v>
      </c>
      <c r="N788" s="15">
        <f>Price!C788</f>
        <v>0</v>
      </c>
      <c r="O788" s="525"/>
      <c r="P788" s="16"/>
      <c r="Q788" s="17">
        <f>Price!F788</f>
        <v>0</v>
      </c>
      <c r="R788" s="318"/>
      <c r="S788" s="318"/>
      <c r="T788" s="12">
        <f>Price!G788</f>
        <v>0</v>
      </c>
      <c r="U788" s="252">
        <f>Price!H788</f>
        <v>0</v>
      </c>
    </row>
    <row r="789" spans="12:21" x14ac:dyDescent="0.35">
      <c r="L789" s="61">
        <f>Price!A789</f>
        <v>0</v>
      </c>
      <c r="M789" s="15">
        <f>Price!B789</f>
        <v>0</v>
      </c>
      <c r="N789" s="15">
        <f>Price!C789</f>
        <v>0</v>
      </c>
      <c r="O789" s="525"/>
      <c r="P789" s="16"/>
      <c r="Q789" s="17">
        <f>Price!F789</f>
        <v>0</v>
      </c>
      <c r="R789" s="318"/>
      <c r="S789" s="318"/>
      <c r="T789" s="12">
        <f>Price!G789</f>
        <v>0</v>
      </c>
      <c r="U789" s="252">
        <f>Price!H789</f>
        <v>0</v>
      </c>
    </row>
    <row r="790" spans="12:21" x14ac:dyDescent="0.35">
      <c r="L790" s="61">
        <f>Price!A790</f>
        <v>0</v>
      </c>
      <c r="M790" s="15">
        <f>Price!B790</f>
        <v>0</v>
      </c>
      <c r="N790" s="15">
        <f>Price!C790</f>
        <v>0</v>
      </c>
      <c r="O790" s="525"/>
      <c r="P790" s="16"/>
      <c r="Q790" s="17">
        <f>Price!F790</f>
        <v>0</v>
      </c>
      <c r="R790" s="318"/>
      <c r="S790" s="318"/>
      <c r="T790" s="12">
        <f>Price!G790</f>
        <v>0</v>
      </c>
      <c r="U790" s="252">
        <f>Price!H790</f>
        <v>0</v>
      </c>
    </row>
    <row r="791" spans="12:21" x14ac:dyDescent="0.35">
      <c r="L791" s="61">
        <f>Price!A791</f>
        <v>0</v>
      </c>
      <c r="M791" s="15">
        <f>Price!B791</f>
        <v>0</v>
      </c>
      <c r="N791" s="15">
        <f>Price!C791</f>
        <v>0</v>
      </c>
      <c r="O791" s="525"/>
      <c r="P791" s="16"/>
      <c r="Q791" s="17">
        <f>Price!F791</f>
        <v>0</v>
      </c>
      <c r="R791" s="318"/>
      <c r="S791" s="318"/>
      <c r="T791" s="12">
        <f>Price!G791</f>
        <v>0</v>
      </c>
      <c r="U791" s="252">
        <f>Price!H791</f>
        <v>0</v>
      </c>
    </row>
    <row r="792" spans="12:21" x14ac:dyDescent="0.35">
      <c r="L792" s="61">
        <f>Price!A792</f>
        <v>0</v>
      </c>
      <c r="M792" s="15">
        <f>Price!B792</f>
        <v>0</v>
      </c>
      <c r="N792" s="15">
        <f>Price!C792</f>
        <v>0</v>
      </c>
      <c r="O792" s="525"/>
      <c r="P792" s="16"/>
      <c r="Q792" s="17">
        <f>Price!F792</f>
        <v>0</v>
      </c>
      <c r="R792" s="318"/>
      <c r="S792" s="318"/>
      <c r="T792" s="12">
        <f>Price!G792</f>
        <v>0</v>
      </c>
      <c r="U792" s="252">
        <f>Price!H792</f>
        <v>0</v>
      </c>
    </row>
    <row r="793" spans="12:21" x14ac:dyDescent="0.35">
      <c r="L793" s="61">
        <f>Price!A793</f>
        <v>0</v>
      </c>
      <c r="M793" s="15">
        <f>Price!B793</f>
        <v>0</v>
      </c>
      <c r="N793" s="15">
        <f>Price!C793</f>
        <v>0</v>
      </c>
      <c r="O793" s="525"/>
      <c r="P793" s="16"/>
      <c r="Q793" s="17">
        <f>Price!F793</f>
        <v>0</v>
      </c>
      <c r="R793" s="318"/>
      <c r="S793" s="318"/>
      <c r="T793" s="12">
        <f>Price!G793</f>
        <v>0</v>
      </c>
      <c r="U793" s="252">
        <f>Price!H793</f>
        <v>0</v>
      </c>
    </row>
    <row r="794" spans="12:21" x14ac:dyDescent="0.35">
      <c r="L794" s="61">
        <f>Price!A794</f>
        <v>0</v>
      </c>
      <c r="M794" s="15">
        <f>Price!B794</f>
        <v>0</v>
      </c>
      <c r="N794" s="15">
        <f>Price!C794</f>
        <v>0</v>
      </c>
      <c r="O794" s="525"/>
      <c r="P794" s="16"/>
      <c r="Q794" s="17">
        <f>Price!F794</f>
        <v>0</v>
      </c>
      <c r="R794" s="318"/>
      <c r="S794" s="318"/>
      <c r="T794" s="12">
        <f>Price!G794</f>
        <v>0</v>
      </c>
      <c r="U794" s="252">
        <f>Price!H794</f>
        <v>0</v>
      </c>
    </row>
    <row r="795" spans="12:21" x14ac:dyDescent="0.35">
      <c r="L795" s="61">
        <f>Price!A795</f>
        <v>0</v>
      </c>
      <c r="M795" s="15">
        <f>Price!B795</f>
        <v>0</v>
      </c>
      <c r="N795" s="15">
        <f>Price!C795</f>
        <v>0</v>
      </c>
      <c r="O795" s="525"/>
      <c r="P795" s="16"/>
      <c r="Q795" s="17">
        <f>Price!F795</f>
        <v>0</v>
      </c>
      <c r="R795" s="318"/>
      <c r="S795" s="318"/>
      <c r="T795" s="12">
        <f>Price!G795</f>
        <v>0</v>
      </c>
      <c r="U795" s="252">
        <f>Price!H795</f>
        <v>0</v>
      </c>
    </row>
    <row r="796" spans="12:21" x14ac:dyDescent="0.35">
      <c r="L796" s="61">
        <f>Price!A796</f>
        <v>0</v>
      </c>
      <c r="M796" s="15">
        <f>Price!B796</f>
        <v>0</v>
      </c>
      <c r="N796" s="15">
        <f>Price!C796</f>
        <v>0</v>
      </c>
      <c r="O796" s="525"/>
      <c r="P796" s="16"/>
      <c r="Q796" s="17">
        <f>Price!F796</f>
        <v>0</v>
      </c>
      <c r="R796" s="318"/>
      <c r="S796" s="318"/>
      <c r="T796" s="12">
        <f>Price!G796</f>
        <v>0</v>
      </c>
      <c r="U796" s="252">
        <f>Price!H796</f>
        <v>0</v>
      </c>
    </row>
    <row r="797" spans="12:21" x14ac:dyDescent="0.35">
      <c r="L797" s="61">
        <f>Price!A797</f>
        <v>0</v>
      </c>
      <c r="M797" s="15">
        <f>Price!B797</f>
        <v>0</v>
      </c>
      <c r="N797" s="15">
        <f>Price!C797</f>
        <v>0</v>
      </c>
      <c r="O797" s="525"/>
      <c r="P797" s="16"/>
      <c r="Q797" s="17">
        <f>Price!F797</f>
        <v>0</v>
      </c>
      <c r="R797" s="318"/>
      <c r="S797" s="318"/>
      <c r="T797" s="12">
        <f>Price!G797</f>
        <v>0</v>
      </c>
      <c r="U797" s="252">
        <f>Price!H797</f>
        <v>0</v>
      </c>
    </row>
    <row r="798" spans="12:21" x14ac:dyDescent="0.35">
      <c r="L798" s="61">
        <f>Price!A798</f>
        <v>0</v>
      </c>
      <c r="M798" s="15">
        <f>Price!B798</f>
        <v>0</v>
      </c>
      <c r="N798" s="15">
        <f>Price!C798</f>
        <v>0</v>
      </c>
      <c r="O798" s="525"/>
      <c r="P798" s="16"/>
      <c r="Q798" s="17">
        <f>Price!F798</f>
        <v>0</v>
      </c>
      <c r="R798" s="318"/>
      <c r="S798" s="318"/>
      <c r="T798" s="12">
        <f>Price!G798</f>
        <v>0</v>
      </c>
      <c r="U798" s="252">
        <f>Price!H798</f>
        <v>0</v>
      </c>
    </row>
    <row r="799" spans="12:21" x14ac:dyDescent="0.35">
      <c r="L799" s="61">
        <f>Price!A799</f>
        <v>0</v>
      </c>
      <c r="M799" s="15">
        <f>Price!B799</f>
        <v>0</v>
      </c>
      <c r="N799" s="15">
        <f>Price!C799</f>
        <v>0</v>
      </c>
      <c r="O799" s="525"/>
      <c r="P799" s="16"/>
      <c r="Q799" s="17">
        <f>Price!F799</f>
        <v>0</v>
      </c>
      <c r="R799" s="318"/>
      <c r="S799" s="318"/>
      <c r="T799" s="12">
        <f>Price!G799</f>
        <v>0</v>
      </c>
      <c r="U799" s="252">
        <f>Price!H799</f>
        <v>0</v>
      </c>
    </row>
    <row r="800" spans="12:21" x14ac:dyDescent="0.35">
      <c r="L800" s="61">
        <f>Price!A800</f>
        <v>0</v>
      </c>
      <c r="M800" s="15">
        <f>Price!B800</f>
        <v>0</v>
      </c>
      <c r="N800" s="15">
        <f>Price!C800</f>
        <v>0</v>
      </c>
      <c r="O800" s="525"/>
      <c r="P800" s="16"/>
      <c r="Q800" s="17">
        <f>Price!F800</f>
        <v>0</v>
      </c>
      <c r="R800" s="318"/>
      <c r="S800" s="318"/>
      <c r="T800" s="12">
        <f>Price!G800</f>
        <v>0</v>
      </c>
      <c r="U800" s="252">
        <f>Price!H800</f>
        <v>0</v>
      </c>
    </row>
  </sheetData>
  <sheetProtection algorithmName="SHA-512" hashValue="+7a8rVmHu7Aj+DJq/NyjcCkq4hmGRaO+bE61qEGg4yvJDSdpWunErpQXuXVNEi19Ew9tMht6IUP8dPPELU0HDQ==" saltValue="vnPyZGyz++qeQieVZ2XNGw==" spinCount="100000" sheet="1" selectLockedCells="1" selectUnlockedCells="1"/>
  <phoneticPr fontId="52" type="noConversion"/>
  <hyperlinks>
    <hyperlink ref="L2" location="Form!A1" tooltip=" " display="Zpět na úvod" xr:uid="{00000000-0004-0000-2C00-000000000000}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9"/>
  <dimension ref="A1:J752"/>
  <sheetViews>
    <sheetView workbookViewId="0">
      <selection activeCell="H2" sqref="H2"/>
    </sheetView>
  </sheetViews>
  <sheetFormatPr defaultRowHeight="14.5" x14ac:dyDescent="0.35"/>
  <cols>
    <col min="1" max="1" width="44.26953125" customWidth="1"/>
    <col min="2" max="2" width="17.7265625" customWidth="1"/>
    <col min="3" max="3" width="9.54296875" customWidth="1"/>
    <col min="4" max="4" width="2.7265625" style="523" customWidth="1"/>
    <col min="5" max="5" width="2.54296875" customWidth="1"/>
    <col min="6" max="8" width="13.7265625" customWidth="1"/>
    <col min="9" max="9" width="3.7265625" customWidth="1"/>
    <col min="10" max="10" width="24.1796875" style="642" customWidth="1"/>
  </cols>
  <sheetData>
    <row r="1" spans="1:10" x14ac:dyDescent="0.35">
      <c r="A1" s="2"/>
      <c r="B1" s="2"/>
      <c r="C1" s="2"/>
      <c r="D1" s="73"/>
      <c r="E1" s="2"/>
      <c r="F1" s="2"/>
      <c r="G1" s="2"/>
      <c r="H1" s="73" t="str">
        <f>Form!J17</f>
        <v>2.2.1</v>
      </c>
    </row>
    <row r="2" spans="1:10" x14ac:dyDescent="0.35">
      <c r="A2" s="2" t="str">
        <f>List!$B$257&amp;":"</f>
        <v>Prodejce:</v>
      </c>
      <c r="B2" s="2"/>
      <c r="C2" s="2"/>
      <c r="D2" s="73"/>
      <c r="E2" s="2"/>
      <c r="F2" s="2"/>
      <c r="G2" s="2"/>
      <c r="H2" s="159" t="str">
        <f>List!$B$113</f>
        <v>Zpět na úvod</v>
      </c>
    </row>
    <row r="3" spans="1:10" x14ac:dyDescent="0.35">
      <c r="A3" s="52" t="s">
        <v>1430</v>
      </c>
      <c r="B3" s="2"/>
      <c r="C3" s="2"/>
      <c r="D3" s="73"/>
      <c r="E3" s="2"/>
      <c r="F3" s="2"/>
      <c r="G3" s="2"/>
      <c r="H3" s="28"/>
    </row>
    <row r="4" spans="1:10" x14ac:dyDescent="0.35">
      <c r="A4" s="53" t="s">
        <v>1431</v>
      </c>
      <c r="B4" s="2"/>
      <c r="C4" s="2"/>
      <c r="D4" s="73"/>
      <c r="E4" s="2"/>
      <c r="F4" s="2"/>
    </row>
    <row r="5" spans="1:10" x14ac:dyDescent="0.35">
      <c r="A5" s="53" t="s">
        <v>1432</v>
      </c>
      <c r="B5" s="2"/>
      <c r="C5" s="2"/>
      <c r="D5" s="73"/>
      <c r="E5" s="2"/>
      <c r="F5" s="2"/>
      <c r="G5" s="2"/>
    </row>
    <row r="6" spans="1:10" x14ac:dyDescent="0.35">
      <c r="A6" s="947">
        <v>596223470</v>
      </c>
      <c r="B6" s="2"/>
      <c r="C6" s="2"/>
      <c r="D6" s="73"/>
      <c r="E6" s="2"/>
      <c r="F6" s="2"/>
      <c r="G6" s="2"/>
      <c r="H6" s="2"/>
    </row>
    <row r="7" spans="1:10" ht="15" thickBot="1" x14ac:dyDescent="0.4">
      <c r="A7" s="948" t="s">
        <v>1433</v>
      </c>
      <c r="B7" s="2"/>
      <c r="C7" s="2"/>
      <c r="D7" s="73"/>
      <c r="E7" s="2"/>
      <c r="F7" s="2"/>
      <c r="G7" s="51"/>
      <c r="H7" s="2"/>
    </row>
    <row r="8" spans="1:10" ht="15" thickBot="1" x14ac:dyDescent="0.4">
      <c r="A8" s="946"/>
      <c r="B8" s="2"/>
      <c r="C8" s="2"/>
      <c r="D8" s="73"/>
      <c r="E8" s="2"/>
      <c r="F8" s="2"/>
      <c r="G8" s="54" t="str">
        <f>List!$B$255&amp;": "</f>
        <v xml:space="preserve">Platnost ceníku od: </v>
      </c>
      <c r="H8" s="30">
        <v>43543</v>
      </c>
      <c r="J8" s="643"/>
    </row>
    <row r="9" spans="1:10" x14ac:dyDescent="0.35">
      <c r="A9" s="51"/>
      <c r="B9" s="51"/>
      <c r="C9" s="51"/>
      <c r="D9" s="511"/>
      <c r="E9" s="51"/>
      <c r="F9" s="51"/>
      <c r="G9" s="51"/>
      <c r="H9" s="51"/>
      <c r="J9" s="643"/>
    </row>
    <row r="10" spans="1:10" ht="45" customHeight="1" x14ac:dyDescent="0.35">
      <c r="A10" s="55" t="str">
        <f>List!$B$98</f>
        <v>Název</v>
      </c>
      <c r="B10" s="11" t="str">
        <f>List!$B$99</f>
        <v>Číslo artiklu</v>
      </c>
      <c r="C10" s="11" t="str">
        <f>List!$B$100</f>
        <v>Barva</v>
      </c>
      <c r="D10" s="512" t="str">
        <f>List!B104</f>
        <v>Dostupnost</v>
      </c>
      <c r="E10" s="11"/>
      <c r="F10" s="56" t="str">
        <f>List!$B$106</f>
        <v>Jednotková cena</v>
      </c>
      <c r="G10" s="510" t="s">
        <v>201</v>
      </c>
      <c r="H10" s="244"/>
      <c r="I10" s="13"/>
      <c r="J10" s="644"/>
    </row>
    <row r="11" spans="1:10" x14ac:dyDescent="0.35">
      <c r="A11" s="583" t="s">
        <v>1038</v>
      </c>
      <c r="B11" s="565" t="s">
        <v>1036</v>
      </c>
      <c r="C11" s="565" t="s">
        <v>321</v>
      </c>
      <c r="D11" s="566" t="s">
        <v>756</v>
      </c>
      <c r="E11" s="584"/>
      <c r="F11" s="945">
        <v>595.32592999999997</v>
      </c>
      <c r="G11" s="919">
        <v>1644316</v>
      </c>
      <c r="H11" s="912">
        <v>348904</v>
      </c>
      <c r="I11" s="13"/>
    </row>
    <row r="12" spans="1:10" x14ac:dyDescent="0.35">
      <c r="A12" s="585" t="s">
        <v>1039</v>
      </c>
      <c r="B12" s="569" t="s">
        <v>1036</v>
      </c>
      <c r="C12" s="569" t="s">
        <v>322</v>
      </c>
      <c r="D12" s="570" t="s">
        <v>756</v>
      </c>
      <c r="E12" s="586"/>
      <c r="F12" s="945">
        <v>595.32592999999997</v>
      </c>
      <c r="G12" s="918">
        <v>1719428</v>
      </c>
      <c r="H12" s="912">
        <v>348902</v>
      </c>
      <c r="I12" s="13"/>
    </row>
    <row r="13" spans="1:10" x14ac:dyDescent="0.35">
      <c r="A13" s="587" t="s">
        <v>1040</v>
      </c>
      <c r="B13" s="588" t="s">
        <v>1036</v>
      </c>
      <c r="C13" s="588" t="s">
        <v>377</v>
      </c>
      <c r="D13" s="589" t="s">
        <v>756</v>
      </c>
      <c r="E13" s="586"/>
      <c r="F13" s="945">
        <v>595.32600000000002</v>
      </c>
      <c r="G13" s="671">
        <v>1892938</v>
      </c>
      <c r="H13" s="912">
        <v>348905</v>
      </c>
      <c r="I13" s="13"/>
    </row>
    <row r="14" spans="1:10" x14ac:dyDescent="0.35">
      <c r="A14" s="587" t="s">
        <v>1274</v>
      </c>
      <c r="B14" s="588" t="s">
        <v>1036</v>
      </c>
      <c r="C14" s="588" t="s">
        <v>1025</v>
      </c>
      <c r="D14" s="589" t="s">
        <v>756</v>
      </c>
      <c r="E14" s="735"/>
      <c r="F14" s="945">
        <v>595.32592999999997</v>
      </c>
      <c r="G14" s="736">
        <v>3535490</v>
      </c>
      <c r="H14" s="912">
        <v>348907</v>
      </c>
      <c r="I14" s="13"/>
    </row>
    <row r="15" spans="1:10" x14ac:dyDescent="0.35">
      <c r="A15" s="572"/>
      <c r="B15" s="576"/>
      <c r="C15" s="576"/>
      <c r="D15" s="577"/>
      <c r="E15" s="578"/>
      <c r="F15" s="945"/>
      <c r="G15" s="672"/>
      <c r="H15" s="913"/>
      <c r="I15" s="13"/>
    </row>
    <row r="16" spans="1:10" x14ac:dyDescent="0.35">
      <c r="A16" s="583" t="s">
        <v>1047</v>
      </c>
      <c r="B16" s="565" t="s">
        <v>645</v>
      </c>
      <c r="C16" s="565" t="s">
        <v>321</v>
      </c>
      <c r="D16" s="566" t="s">
        <v>756</v>
      </c>
      <c r="E16" s="584"/>
      <c r="F16" s="945">
        <v>602.38358000000005</v>
      </c>
      <c r="G16" s="919">
        <v>9950830</v>
      </c>
      <c r="H16" s="912">
        <v>227434</v>
      </c>
      <c r="I16" s="13"/>
    </row>
    <row r="17" spans="1:9" x14ac:dyDescent="0.35">
      <c r="A17" s="585" t="s">
        <v>1106</v>
      </c>
      <c r="B17" s="569" t="s">
        <v>645</v>
      </c>
      <c r="C17" s="569" t="s">
        <v>322</v>
      </c>
      <c r="D17" s="570" t="s">
        <v>756</v>
      </c>
      <c r="E17" s="586"/>
      <c r="F17" s="945">
        <v>602.38358000000005</v>
      </c>
      <c r="G17" s="918">
        <v>9968111</v>
      </c>
      <c r="H17" s="912">
        <v>227433</v>
      </c>
      <c r="I17" s="13"/>
    </row>
    <row r="18" spans="1:9" x14ac:dyDescent="0.35">
      <c r="A18" s="587" t="s">
        <v>1165</v>
      </c>
      <c r="B18" s="588" t="s">
        <v>645</v>
      </c>
      <c r="C18" s="588" t="s">
        <v>377</v>
      </c>
      <c r="D18" s="589" t="s">
        <v>756</v>
      </c>
      <c r="E18" s="586"/>
      <c r="F18" s="945">
        <v>602.38358000000005</v>
      </c>
      <c r="G18" s="671">
        <v>9976170</v>
      </c>
      <c r="H18" s="912">
        <v>227435</v>
      </c>
      <c r="I18" s="13"/>
    </row>
    <row r="19" spans="1:9" x14ac:dyDescent="0.35">
      <c r="A19" s="587" t="s">
        <v>1275</v>
      </c>
      <c r="B19" s="588" t="s">
        <v>645</v>
      </c>
      <c r="C19" s="588" t="s">
        <v>1025</v>
      </c>
      <c r="D19" s="589" t="s">
        <v>756</v>
      </c>
      <c r="E19" s="735"/>
      <c r="F19" s="945">
        <v>602.38358000000005</v>
      </c>
      <c r="G19" s="736">
        <v>1897318</v>
      </c>
      <c r="H19" s="912">
        <v>348908</v>
      </c>
      <c r="I19" s="13"/>
    </row>
    <row r="20" spans="1:9" x14ac:dyDescent="0.35">
      <c r="A20" s="572" t="s">
        <v>535</v>
      </c>
      <c r="B20" s="576" t="s">
        <v>646</v>
      </c>
      <c r="C20" s="576" t="s">
        <v>425</v>
      </c>
      <c r="D20" s="577" t="s">
        <v>756</v>
      </c>
      <c r="E20" s="578"/>
      <c r="F20" s="945">
        <v>1122.5021200000001</v>
      </c>
      <c r="G20" s="672">
        <v>9929474</v>
      </c>
      <c r="H20" s="912">
        <v>227436</v>
      </c>
      <c r="I20" s="13"/>
    </row>
    <row r="21" spans="1:9" x14ac:dyDescent="0.35">
      <c r="A21" s="263" t="s">
        <v>1048</v>
      </c>
      <c r="B21" s="264" t="s">
        <v>323</v>
      </c>
      <c r="C21" s="264" t="s">
        <v>321</v>
      </c>
      <c r="D21" s="513"/>
      <c r="E21" s="265"/>
      <c r="F21" s="945">
        <v>609.44718999999998</v>
      </c>
      <c r="G21" s="917">
        <v>9978373</v>
      </c>
      <c r="H21" s="912">
        <v>227438</v>
      </c>
      <c r="I21" s="13"/>
    </row>
    <row r="22" spans="1:9" x14ac:dyDescent="0.35">
      <c r="A22" s="266" t="s">
        <v>1107</v>
      </c>
      <c r="B22" s="267" t="s">
        <v>323</v>
      </c>
      <c r="C22" s="267" t="s">
        <v>322</v>
      </c>
      <c r="D22" s="514"/>
      <c r="E22" s="268"/>
      <c r="F22" s="945">
        <v>609.44718999999998</v>
      </c>
      <c r="G22" s="916">
        <v>9980005</v>
      </c>
      <c r="H22" s="912">
        <v>227437</v>
      </c>
      <c r="I22" s="13"/>
    </row>
    <row r="23" spans="1:9" x14ac:dyDescent="0.35">
      <c r="A23" s="479" t="s">
        <v>1166</v>
      </c>
      <c r="B23" s="480" t="s">
        <v>323</v>
      </c>
      <c r="C23" s="480" t="s">
        <v>377</v>
      </c>
      <c r="D23" s="515"/>
      <c r="E23" s="268"/>
      <c r="F23" s="945">
        <v>609.44718999999998</v>
      </c>
      <c r="G23" s="673">
        <v>9995392</v>
      </c>
      <c r="H23" s="912">
        <v>227439</v>
      </c>
      <c r="I23" s="13"/>
    </row>
    <row r="24" spans="1:9" x14ac:dyDescent="0.35">
      <c r="A24" s="479" t="s">
        <v>1276</v>
      </c>
      <c r="B24" s="480" t="s">
        <v>323</v>
      </c>
      <c r="C24" s="480" t="s">
        <v>1025</v>
      </c>
      <c r="D24" s="738"/>
      <c r="E24" s="739"/>
      <c r="F24" s="945">
        <v>609.44718999999998</v>
      </c>
      <c r="G24" s="740">
        <v>1991097</v>
      </c>
      <c r="H24" s="912">
        <v>348909</v>
      </c>
      <c r="I24" s="13"/>
    </row>
    <row r="25" spans="1:9" x14ac:dyDescent="0.35">
      <c r="A25" s="572" t="s">
        <v>320</v>
      </c>
      <c r="B25" s="576" t="s">
        <v>324</v>
      </c>
      <c r="C25" s="576" t="s">
        <v>425</v>
      </c>
      <c r="D25" s="577" t="s">
        <v>756</v>
      </c>
      <c r="E25" s="578"/>
      <c r="F25" s="945">
        <v>1147.2194</v>
      </c>
      <c r="G25" s="672">
        <v>1181705</v>
      </c>
      <c r="H25" s="912">
        <v>227440</v>
      </c>
      <c r="I25" s="13"/>
    </row>
    <row r="26" spans="1:9" x14ac:dyDescent="0.35">
      <c r="A26" s="583" t="s">
        <v>1049</v>
      </c>
      <c r="B26" s="565" t="s">
        <v>1037</v>
      </c>
      <c r="C26" s="565" t="s">
        <v>321</v>
      </c>
      <c r="D26" s="566" t="s">
        <v>756</v>
      </c>
      <c r="E26" s="584"/>
      <c r="F26" s="945">
        <v>665.95</v>
      </c>
      <c r="G26" s="919">
        <v>2041244</v>
      </c>
      <c r="H26" s="912">
        <v>348913</v>
      </c>
      <c r="I26" s="13"/>
    </row>
    <row r="27" spans="1:9" x14ac:dyDescent="0.35">
      <c r="A27" s="585" t="s">
        <v>1108</v>
      </c>
      <c r="B27" s="569" t="s">
        <v>1037</v>
      </c>
      <c r="C27" s="569" t="s">
        <v>322</v>
      </c>
      <c r="D27" s="570" t="s">
        <v>756</v>
      </c>
      <c r="E27" s="586"/>
      <c r="F27" s="945">
        <v>665.95</v>
      </c>
      <c r="G27" s="918">
        <v>2180063</v>
      </c>
      <c r="H27" s="912">
        <v>348914</v>
      </c>
      <c r="I27" s="13"/>
    </row>
    <row r="28" spans="1:9" x14ac:dyDescent="0.35">
      <c r="A28" s="587" t="s">
        <v>1167</v>
      </c>
      <c r="B28" s="588" t="s">
        <v>1037</v>
      </c>
      <c r="C28" s="588" t="s">
        <v>377</v>
      </c>
      <c r="D28" s="589" t="s">
        <v>756</v>
      </c>
      <c r="E28" s="586"/>
      <c r="F28" s="945">
        <v>665.95</v>
      </c>
      <c r="G28" s="671">
        <v>4079262</v>
      </c>
      <c r="H28" s="912">
        <v>348912</v>
      </c>
      <c r="I28" s="13"/>
    </row>
    <row r="29" spans="1:9" x14ac:dyDescent="0.35">
      <c r="A29" s="587" t="s">
        <v>1277</v>
      </c>
      <c r="B29" s="588" t="s">
        <v>1037</v>
      </c>
      <c r="C29" s="588" t="s">
        <v>1025</v>
      </c>
      <c r="D29" s="589" t="s">
        <v>756</v>
      </c>
      <c r="E29" s="735"/>
      <c r="F29" s="945">
        <v>665.94478000000004</v>
      </c>
      <c r="G29" s="736">
        <v>2009509</v>
      </c>
      <c r="H29" s="912">
        <v>348910</v>
      </c>
      <c r="I29" s="13"/>
    </row>
    <row r="30" spans="1:9" x14ac:dyDescent="0.35">
      <c r="A30" s="572"/>
      <c r="B30" s="576"/>
      <c r="C30" s="576"/>
      <c r="D30" s="577"/>
      <c r="E30" s="578"/>
      <c r="F30" s="945"/>
      <c r="G30" s="672"/>
      <c r="H30" s="913"/>
      <c r="I30" s="13"/>
    </row>
    <row r="31" spans="1:9" x14ac:dyDescent="0.35">
      <c r="A31" s="263" t="s">
        <v>1050</v>
      </c>
      <c r="B31" s="264" t="s">
        <v>539</v>
      </c>
      <c r="C31" s="264" t="s">
        <v>321</v>
      </c>
      <c r="D31" s="513"/>
      <c r="E31" s="265"/>
      <c r="F31" s="945">
        <v>588.26232000000005</v>
      </c>
      <c r="G31" s="917">
        <v>8145106</v>
      </c>
      <c r="H31" s="912">
        <v>227442</v>
      </c>
      <c r="I31" s="13"/>
    </row>
    <row r="32" spans="1:9" x14ac:dyDescent="0.35">
      <c r="A32" s="266" t="s">
        <v>1109</v>
      </c>
      <c r="B32" s="267" t="s">
        <v>539</v>
      </c>
      <c r="C32" s="267" t="s">
        <v>322</v>
      </c>
      <c r="D32" s="514"/>
      <c r="E32" s="268"/>
      <c r="F32" s="945">
        <v>588.26232000000005</v>
      </c>
      <c r="G32" s="916">
        <v>8156603</v>
      </c>
      <c r="H32" s="912">
        <v>227441</v>
      </c>
      <c r="I32" s="13"/>
    </row>
    <row r="33" spans="1:9" x14ac:dyDescent="0.35">
      <c r="A33" s="479" t="s">
        <v>1168</v>
      </c>
      <c r="B33" s="480" t="s">
        <v>539</v>
      </c>
      <c r="C33" s="480" t="s">
        <v>377</v>
      </c>
      <c r="D33" s="515"/>
      <c r="E33" s="268"/>
      <c r="F33" s="945">
        <v>588.26232000000005</v>
      </c>
      <c r="G33" s="673">
        <v>8161028</v>
      </c>
      <c r="H33" s="912">
        <v>227443</v>
      </c>
      <c r="I33" s="13"/>
    </row>
    <row r="34" spans="1:9" x14ac:dyDescent="0.35">
      <c r="A34" s="479" t="s">
        <v>1278</v>
      </c>
      <c r="B34" s="480" t="s">
        <v>539</v>
      </c>
      <c r="C34" s="480" t="s">
        <v>1025</v>
      </c>
      <c r="D34" s="738"/>
      <c r="E34" s="739"/>
      <c r="F34" s="945">
        <v>588.26232000000005</v>
      </c>
      <c r="G34" s="740">
        <v>3276908</v>
      </c>
      <c r="H34" s="912">
        <v>348921</v>
      </c>
      <c r="I34" s="13"/>
    </row>
    <row r="35" spans="1:9" x14ac:dyDescent="0.35">
      <c r="A35" s="572" t="s">
        <v>536</v>
      </c>
      <c r="B35" s="576" t="s">
        <v>540</v>
      </c>
      <c r="C35" s="576" t="s">
        <v>425</v>
      </c>
      <c r="D35" s="577" t="s">
        <v>756</v>
      </c>
      <c r="E35" s="578"/>
      <c r="F35" s="945">
        <v>1073.0681400000001</v>
      </c>
      <c r="G35" s="672">
        <v>9847326</v>
      </c>
      <c r="H35" s="912">
        <v>227444</v>
      </c>
      <c r="I35" s="13"/>
    </row>
    <row r="36" spans="1:9" x14ac:dyDescent="0.35">
      <c r="A36" s="263" t="s">
        <v>1051</v>
      </c>
      <c r="B36" s="264" t="s">
        <v>541</v>
      </c>
      <c r="C36" s="264" t="s">
        <v>321</v>
      </c>
      <c r="D36" s="513"/>
      <c r="E36" s="265"/>
      <c r="F36" s="945">
        <v>588.26232000000005</v>
      </c>
      <c r="G36" s="917">
        <v>8163892</v>
      </c>
      <c r="H36" s="912">
        <v>227446</v>
      </c>
      <c r="I36" s="13"/>
    </row>
    <row r="37" spans="1:9" x14ac:dyDescent="0.35">
      <c r="A37" s="266" t="s">
        <v>1110</v>
      </c>
      <c r="B37" s="267" t="s">
        <v>541</v>
      </c>
      <c r="C37" s="267" t="s">
        <v>322</v>
      </c>
      <c r="D37" s="514"/>
      <c r="E37" s="268"/>
      <c r="F37" s="945">
        <v>588.26232000000005</v>
      </c>
      <c r="G37" s="916">
        <v>8169927</v>
      </c>
      <c r="H37" s="912">
        <v>227445</v>
      </c>
      <c r="I37" s="13"/>
    </row>
    <row r="38" spans="1:9" x14ac:dyDescent="0.35">
      <c r="A38" s="479" t="s">
        <v>1169</v>
      </c>
      <c r="B38" s="480" t="s">
        <v>541</v>
      </c>
      <c r="C38" s="480" t="s">
        <v>377</v>
      </c>
      <c r="D38" s="515"/>
      <c r="E38" s="268"/>
      <c r="F38" s="945">
        <v>588.26232000000005</v>
      </c>
      <c r="G38" s="673">
        <v>8217950</v>
      </c>
      <c r="H38" s="912">
        <v>227447</v>
      </c>
      <c r="I38" s="13"/>
    </row>
    <row r="39" spans="1:9" x14ac:dyDescent="0.35">
      <c r="A39" s="479" t="s">
        <v>1279</v>
      </c>
      <c r="B39" s="480" t="s">
        <v>541</v>
      </c>
      <c r="C39" s="480" t="s">
        <v>1025</v>
      </c>
      <c r="D39" s="738"/>
      <c r="E39" s="739"/>
      <c r="F39" s="945">
        <v>588.26232000000005</v>
      </c>
      <c r="G39" s="740">
        <v>1480198</v>
      </c>
      <c r="H39" s="912">
        <v>348920</v>
      </c>
      <c r="I39" s="13"/>
    </row>
    <row r="40" spans="1:9" x14ac:dyDescent="0.35">
      <c r="A40" s="572" t="s">
        <v>537</v>
      </c>
      <c r="B40" s="576" t="s">
        <v>542</v>
      </c>
      <c r="C40" s="576" t="s">
        <v>425</v>
      </c>
      <c r="D40" s="577" t="s">
        <v>756</v>
      </c>
      <c r="E40" s="578"/>
      <c r="F40" s="945">
        <v>1073.0681400000001</v>
      </c>
      <c r="G40" s="672">
        <v>9861747</v>
      </c>
      <c r="H40" s="912">
        <v>227448</v>
      </c>
      <c r="I40" s="13"/>
    </row>
    <row r="41" spans="1:9" x14ac:dyDescent="0.35">
      <c r="A41" s="263" t="s">
        <v>1052</v>
      </c>
      <c r="B41" s="264" t="s">
        <v>543</v>
      </c>
      <c r="C41" s="264" t="s">
        <v>321</v>
      </c>
      <c r="D41" s="513"/>
      <c r="E41" s="265"/>
      <c r="F41" s="945">
        <v>588.26232000000005</v>
      </c>
      <c r="G41" s="917">
        <v>8232508</v>
      </c>
      <c r="H41" s="912">
        <v>227450</v>
      </c>
      <c r="I41" s="13"/>
    </row>
    <row r="42" spans="1:9" x14ac:dyDescent="0.35">
      <c r="A42" s="266" t="s">
        <v>1111</v>
      </c>
      <c r="B42" s="267" t="s">
        <v>543</v>
      </c>
      <c r="C42" s="267" t="s">
        <v>322</v>
      </c>
      <c r="D42" s="514"/>
      <c r="E42" s="268"/>
      <c r="F42" s="945">
        <v>588.26232000000005</v>
      </c>
      <c r="G42" s="916">
        <v>8292779</v>
      </c>
      <c r="H42" s="912">
        <v>227449</v>
      </c>
      <c r="I42" s="13"/>
    </row>
    <row r="43" spans="1:9" x14ac:dyDescent="0.35">
      <c r="A43" s="479" t="s">
        <v>1170</v>
      </c>
      <c r="B43" s="480" t="s">
        <v>543</v>
      </c>
      <c r="C43" s="480" t="s">
        <v>377</v>
      </c>
      <c r="D43" s="515"/>
      <c r="E43" s="268"/>
      <c r="F43" s="945">
        <v>588.26232000000005</v>
      </c>
      <c r="G43" s="673">
        <v>8345870</v>
      </c>
      <c r="H43" s="912">
        <v>227451</v>
      </c>
      <c r="I43" s="13"/>
    </row>
    <row r="44" spans="1:9" x14ac:dyDescent="0.35">
      <c r="A44" s="479" t="s">
        <v>1280</v>
      </c>
      <c r="B44" s="480" t="s">
        <v>543</v>
      </c>
      <c r="C44" s="480" t="s">
        <v>1025</v>
      </c>
      <c r="D44" s="738"/>
      <c r="E44" s="739"/>
      <c r="F44" s="945">
        <v>588.26232000000005</v>
      </c>
      <c r="G44" s="740">
        <v>5922191</v>
      </c>
      <c r="H44" s="912">
        <v>348919</v>
      </c>
      <c r="I44" s="13"/>
    </row>
    <row r="45" spans="1:9" x14ac:dyDescent="0.35">
      <c r="A45" s="572" t="s">
        <v>538</v>
      </c>
      <c r="B45" s="576" t="s">
        <v>544</v>
      </c>
      <c r="C45" s="576" t="s">
        <v>425</v>
      </c>
      <c r="D45" s="577" t="s">
        <v>756</v>
      </c>
      <c r="E45" s="578"/>
      <c r="F45" s="945">
        <v>1073.0681400000001</v>
      </c>
      <c r="G45" s="672">
        <v>9900227</v>
      </c>
      <c r="H45" s="912">
        <v>227452</v>
      </c>
      <c r="I45" s="13"/>
    </row>
    <row r="46" spans="1:9" x14ac:dyDescent="0.35">
      <c r="A46" s="263" t="s">
        <v>1053</v>
      </c>
      <c r="B46" s="264" t="s">
        <v>545</v>
      </c>
      <c r="C46" s="264" t="s">
        <v>321</v>
      </c>
      <c r="D46" s="513"/>
      <c r="E46" s="265"/>
      <c r="F46" s="945">
        <v>595.32592999999997</v>
      </c>
      <c r="G46" s="917">
        <v>8385764</v>
      </c>
      <c r="H46" s="912">
        <v>227454</v>
      </c>
      <c r="I46" s="13"/>
    </row>
    <row r="47" spans="1:9" x14ac:dyDescent="0.35">
      <c r="A47" s="266" t="s">
        <v>1112</v>
      </c>
      <c r="B47" s="267" t="s">
        <v>545</v>
      </c>
      <c r="C47" s="267" t="s">
        <v>322</v>
      </c>
      <c r="D47" s="514"/>
      <c r="E47" s="268"/>
      <c r="F47" s="945">
        <v>595.32592999999997</v>
      </c>
      <c r="G47" s="916">
        <v>8395424</v>
      </c>
      <c r="H47" s="912">
        <v>227453</v>
      </c>
      <c r="I47" s="13"/>
    </row>
    <row r="48" spans="1:9" x14ac:dyDescent="0.35">
      <c r="A48" s="479" t="s">
        <v>1171</v>
      </c>
      <c r="B48" s="480" t="s">
        <v>545</v>
      </c>
      <c r="C48" s="480" t="s">
        <v>377</v>
      </c>
      <c r="D48" s="515"/>
      <c r="E48" s="268"/>
      <c r="F48" s="945">
        <v>595.32592999999997</v>
      </c>
      <c r="G48" s="673">
        <v>8401192</v>
      </c>
      <c r="H48" s="912">
        <v>227455</v>
      </c>
      <c r="I48" s="13"/>
    </row>
    <row r="49" spans="1:9" x14ac:dyDescent="0.35">
      <c r="A49" s="479" t="s">
        <v>1281</v>
      </c>
      <c r="B49" s="480" t="s">
        <v>545</v>
      </c>
      <c r="C49" s="480" t="s">
        <v>1025</v>
      </c>
      <c r="D49" s="738"/>
      <c r="E49" s="739"/>
      <c r="F49" s="945">
        <v>595.32592999999997</v>
      </c>
      <c r="G49" s="740">
        <v>6531574</v>
      </c>
      <c r="H49" s="912">
        <v>348918</v>
      </c>
      <c r="I49" s="13"/>
    </row>
    <row r="50" spans="1:9" x14ac:dyDescent="0.35">
      <c r="A50" s="572" t="s">
        <v>339</v>
      </c>
      <c r="B50" s="576" t="s">
        <v>546</v>
      </c>
      <c r="C50" s="576" t="s">
        <v>425</v>
      </c>
      <c r="D50" s="577" t="s">
        <v>756</v>
      </c>
      <c r="E50" s="578"/>
      <c r="F50" s="945">
        <v>1097.7854199999999</v>
      </c>
      <c r="G50" s="672">
        <v>9901658</v>
      </c>
      <c r="H50" s="912">
        <v>227456</v>
      </c>
      <c r="I50" s="13"/>
    </row>
    <row r="51" spans="1:9" x14ac:dyDescent="0.35">
      <c r="A51" s="263" t="s">
        <v>1054</v>
      </c>
      <c r="B51" s="264" t="s">
        <v>337</v>
      </c>
      <c r="C51" s="264" t="s">
        <v>321</v>
      </c>
      <c r="D51" s="513"/>
      <c r="E51" s="265"/>
      <c r="F51" s="945">
        <v>588.37465999999995</v>
      </c>
      <c r="G51" s="917">
        <v>8435320</v>
      </c>
      <c r="H51" s="912">
        <v>227458</v>
      </c>
      <c r="I51" s="13"/>
    </row>
    <row r="52" spans="1:9" x14ac:dyDescent="0.35">
      <c r="A52" s="266" t="s">
        <v>1113</v>
      </c>
      <c r="B52" s="267" t="s">
        <v>337</v>
      </c>
      <c r="C52" s="267" t="s">
        <v>322</v>
      </c>
      <c r="D52" s="514"/>
      <c r="E52" s="268"/>
      <c r="F52" s="945">
        <v>588.37465999999995</v>
      </c>
      <c r="G52" s="916">
        <v>8441668</v>
      </c>
      <c r="H52" s="912">
        <v>227457</v>
      </c>
      <c r="I52" s="13"/>
    </row>
    <row r="53" spans="1:9" x14ac:dyDescent="0.35">
      <c r="A53" s="479" t="s">
        <v>1172</v>
      </c>
      <c r="B53" s="480" t="s">
        <v>337</v>
      </c>
      <c r="C53" s="480" t="s">
        <v>377</v>
      </c>
      <c r="D53" s="515"/>
      <c r="E53" s="268"/>
      <c r="F53" s="945">
        <v>588.37465999999995</v>
      </c>
      <c r="G53" s="673">
        <v>8463442</v>
      </c>
      <c r="H53" s="912">
        <v>227459</v>
      </c>
      <c r="I53" s="13"/>
    </row>
    <row r="54" spans="1:9" x14ac:dyDescent="0.35">
      <c r="A54" s="479" t="s">
        <v>1282</v>
      </c>
      <c r="B54" s="480" t="s">
        <v>337</v>
      </c>
      <c r="C54" s="480" t="s">
        <v>1025</v>
      </c>
      <c r="D54" s="738"/>
      <c r="E54" s="739"/>
      <c r="F54" s="945">
        <v>602.38358000000005</v>
      </c>
      <c r="G54" s="740">
        <v>9763033</v>
      </c>
      <c r="H54" s="912">
        <v>314831</v>
      </c>
      <c r="I54" s="13"/>
    </row>
    <row r="55" spans="1:9" x14ac:dyDescent="0.35">
      <c r="A55" s="572" t="s">
        <v>336</v>
      </c>
      <c r="B55" s="576" t="s">
        <v>338</v>
      </c>
      <c r="C55" s="576" t="s">
        <v>425</v>
      </c>
      <c r="D55" s="577" t="s">
        <v>756</v>
      </c>
      <c r="E55" s="578"/>
      <c r="F55" s="945">
        <v>1122.5021200000001</v>
      </c>
      <c r="G55" s="672">
        <v>9904142</v>
      </c>
      <c r="H55" s="912">
        <v>227460</v>
      </c>
      <c r="I55" s="13"/>
    </row>
    <row r="56" spans="1:9" x14ac:dyDescent="0.35">
      <c r="A56" s="263" t="s">
        <v>1055</v>
      </c>
      <c r="B56" s="264" t="s">
        <v>326</v>
      </c>
      <c r="C56" s="264" t="s">
        <v>321</v>
      </c>
      <c r="D56" s="513"/>
      <c r="E56" s="265"/>
      <c r="F56" s="945">
        <v>595.274</v>
      </c>
      <c r="G56" s="917">
        <v>8477460</v>
      </c>
      <c r="H56" s="912">
        <v>227462</v>
      </c>
      <c r="I56" s="13"/>
    </row>
    <row r="57" spans="1:9" x14ac:dyDescent="0.35">
      <c r="A57" s="266" t="s">
        <v>1114</v>
      </c>
      <c r="B57" s="267" t="s">
        <v>326</v>
      </c>
      <c r="C57" s="267" t="s">
        <v>322</v>
      </c>
      <c r="D57" s="514"/>
      <c r="E57" s="268"/>
      <c r="F57" s="945">
        <v>595.274</v>
      </c>
      <c r="G57" s="916">
        <v>8505699</v>
      </c>
      <c r="H57" s="912">
        <v>227461</v>
      </c>
      <c r="I57" s="13"/>
    </row>
    <row r="58" spans="1:9" x14ac:dyDescent="0.35">
      <c r="A58" s="479" t="s">
        <v>1173</v>
      </c>
      <c r="B58" s="480" t="s">
        <v>326</v>
      </c>
      <c r="C58" s="480" t="s">
        <v>377</v>
      </c>
      <c r="D58" s="515"/>
      <c r="E58" s="268"/>
      <c r="F58" s="945">
        <v>595.274</v>
      </c>
      <c r="G58" s="673">
        <v>8577103</v>
      </c>
      <c r="H58" s="912">
        <v>227463</v>
      </c>
      <c r="I58" s="13"/>
    </row>
    <row r="59" spans="1:9" x14ac:dyDescent="0.35">
      <c r="A59" s="479" t="s">
        <v>1283</v>
      </c>
      <c r="B59" s="480" t="s">
        <v>326</v>
      </c>
      <c r="C59" s="480" t="s">
        <v>1025</v>
      </c>
      <c r="D59" s="738"/>
      <c r="E59" s="739"/>
      <c r="F59" s="945">
        <v>609.44718999999998</v>
      </c>
      <c r="G59" s="740">
        <v>6324955</v>
      </c>
      <c r="H59" s="912">
        <v>314832</v>
      </c>
      <c r="I59" s="13"/>
    </row>
    <row r="60" spans="1:9" x14ac:dyDescent="0.35">
      <c r="A60" s="572" t="s">
        <v>325</v>
      </c>
      <c r="B60" s="576" t="s">
        <v>327</v>
      </c>
      <c r="C60" s="576" t="s">
        <v>425</v>
      </c>
      <c r="D60" s="577" t="s">
        <v>756</v>
      </c>
      <c r="E60" s="578"/>
      <c r="F60" s="945">
        <v>1147.2194</v>
      </c>
      <c r="G60" s="672">
        <v>9913559</v>
      </c>
      <c r="H60" s="912">
        <v>227464</v>
      </c>
      <c r="I60" s="13"/>
    </row>
    <row r="61" spans="1:9" x14ac:dyDescent="0.35">
      <c r="A61" s="263" t="s">
        <v>1056</v>
      </c>
      <c r="B61" s="264" t="s">
        <v>548</v>
      </c>
      <c r="C61" s="264" t="s">
        <v>321</v>
      </c>
      <c r="D61" s="513"/>
      <c r="E61" s="265"/>
      <c r="F61" s="945">
        <v>665.94478000000004</v>
      </c>
      <c r="G61" s="917">
        <v>8616258</v>
      </c>
      <c r="H61" s="912">
        <v>227466</v>
      </c>
      <c r="I61" s="13"/>
    </row>
    <row r="62" spans="1:9" x14ac:dyDescent="0.35">
      <c r="A62" s="266" t="s">
        <v>1115</v>
      </c>
      <c r="B62" s="267" t="s">
        <v>548</v>
      </c>
      <c r="C62" s="267" t="s">
        <v>322</v>
      </c>
      <c r="D62" s="514"/>
      <c r="E62" s="268"/>
      <c r="F62" s="945">
        <v>665.94478000000004</v>
      </c>
      <c r="G62" s="916">
        <v>8627776</v>
      </c>
      <c r="H62" s="912">
        <v>227465</v>
      </c>
      <c r="I62" s="13"/>
    </row>
    <row r="63" spans="1:9" x14ac:dyDescent="0.35">
      <c r="A63" s="479" t="s">
        <v>1174</v>
      </c>
      <c r="B63" s="480" t="s">
        <v>548</v>
      </c>
      <c r="C63" s="480" t="s">
        <v>377</v>
      </c>
      <c r="D63" s="515"/>
      <c r="E63" s="268"/>
      <c r="F63" s="945">
        <v>665.94478000000004</v>
      </c>
      <c r="G63" s="673">
        <v>8635792</v>
      </c>
      <c r="H63" s="912">
        <v>227467</v>
      </c>
      <c r="I63" s="13"/>
    </row>
    <row r="64" spans="1:9" x14ac:dyDescent="0.35">
      <c r="A64" s="479" t="s">
        <v>1284</v>
      </c>
      <c r="B64" s="480" t="s">
        <v>548</v>
      </c>
      <c r="C64" s="480" t="s">
        <v>1025</v>
      </c>
      <c r="D64" s="738"/>
      <c r="E64" s="739"/>
      <c r="F64" s="945">
        <v>588.26232000000005</v>
      </c>
      <c r="G64" s="740">
        <v>2330470</v>
      </c>
      <c r="H64" s="912">
        <v>346627</v>
      </c>
      <c r="I64" s="13"/>
    </row>
    <row r="65" spans="1:9" x14ac:dyDescent="0.35">
      <c r="A65" s="572" t="s">
        <v>547</v>
      </c>
      <c r="B65" s="576" t="s">
        <v>549</v>
      </c>
      <c r="C65" s="576" t="s">
        <v>425</v>
      </c>
      <c r="D65" s="577" t="s">
        <v>756</v>
      </c>
      <c r="E65" s="578"/>
      <c r="F65" s="945">
        <v>1216.76539</v>
      </c>
      <c r="G65" s="672">
        <v>9924108</v>
      </c>
      <c r="H65" s="912">
        <v>227468</v>
      </c>
      <c r="I65" s="13"/>
    </row>
    <row r="66" spans="1:9" x14ac:dyDescent="0.35">
      <c r="A66" s="263" t="s">
        <v>1057</v>
      </c>
      <c r="B66" s="264" t="s">
        <v>551</v>
      </c>
      <c r="C66" s="264" t="s">
        <v>321</v>
      </c>
      <c r="D66" s="513"/>
      <c r="E66" s="265"/>
      <c r="F66" s="945">
        <v>754.21731</v>
      </c>
      <c r="G66" s="917">
        <v>8684084</v>
      </c>
      <c r="H66" s="912">
        <v>227470</v>
      </c>
      <c r="I66" s="13"/>
    </row>
    <row r="67" spans="1:9" x14ac:dyDescent="0.35">
      <c r="A67" s="266" t="s">
        <v>1116</v>
      </c>
      <c r="B67" s="267" t="s">
        <v>551</v>
      </c>
      <c r="C67" s="267" t="s">
        <v>322</v>
      </c>
      <c r="D67" s="514"/>
      <c r="E67" s="268"/>
      <c r="F67" s="945">
        <v>754.21731</v>
      </c>
      <c r="G67" s="916">
        <v>8696445</v>
      </c>
      <c r="H67" s="912">
        <v>227469</v>
      </c>
      <c r="I67" s="13"/>
    </row>
    <row r="68" spans="1:9" x14ac:dyDescent="0.35">
      <c r="A68" s="479" t="s">
        <v>1175</v>
      </c>
      <c r="B68" s="480" t="s">
        <v>551</v>
      </c>
      <c r="C68" s="480" t="s">
        <v>377</v>
      </c>
      <c r="D68" s="515"/>
      <c r="E68" s="268"/>
      <c r="F68" s="945">
        <v>754.21731</v>
      </c>
      <c r="G68" s="673">
        <v>8702548</v>
      </c>
      <c r="H68" s="912">
        <v>227471</v>
      </c>
      <c r="I68" s="13"/>
    </row>
    <row r="69" spans="1:9" x14ac:dyDescent="0.35">
      <c r="A69" s="479" t="s">
        <v>1285</v>
      </c>
      <c r="B69" s="480" t="s">
        <v>551</v>
      </c>
      <c r="C69" s="480" t="s">
        <v>1025</v>
      </c>
      <c r="D69" s="738"/>
      <c r="E69" s="739"/>
      <c r="F69" s="945">
        <v>754.21731</v>
      </c>
      <c r="G69" s="740">
        <v>6283664</v>
      </c>
      <c r="H69" s="912">
        <v>348915</v>
      </c>
      <c r="I69" s="13"/>
    </row>
    <row r="70" spans="1:9" x14ac:dyDescent="0.35">
      <c r="A70" s="572" t="s">
        <v>550</v>
      </c>
      <c r="B70" s="576" t="s">
        <v>552</v>
      </c>
      <c r="C70" s="576" t="s">
        <v>425</v>
      </c>
      <c r="D70" s="577" t="s">
        <v>756</v>
      </c>
      <c r="E70" s="578"/>
      <c r="F70" s="945">
        <v>1368.32059</v>
      </c>
      <c r="G70" s="672">
        <v>9924301</v>
      </c>
      <c r="H70" s="912">
        <v>227472</v>
      </c>
      <c r="I70" s="13"/>
    </row>
    <row r="71" spans="1:9" x14ac:dyDescent="0.35">
      <c r="A71" s="263" t="s">
        <v>1058</v>
      </c>
      <c r="B71" s="264" t="s">
        <v>789</v>
      </c>
      <c r="C71" s="264" t="s">
        <v>321</v>
      </c>
      <c r="D71" s="513"/>
      <c r="E71" s="265"/>
      <c r="F71" s="945">
        <v>787.42313999999999</v>
      </c>
      <c r="G71" s="917">
        <v>8777716</v>
      </c>
      <c r="H71" s="912">
        <v>256454</v>
      </c>
      <c r="I71" s="13"/>
    </row>
    <row r="72" spans="1:9" x14ac:dyDescent="0.35">
      <c r="A72" s="266" t="s">
        <v>1117</v>
      </c>
      <c r="B72" s="267" t="s">
        <v>789</v>
      </c>
      <c r="C72" s="267" t="s">
        <v>322</v>
      </c>
      <c r="D72" s="514"/>
      <c r="E72" s="268"/>
      <c r="F72" s="945">
        <v>787.42313999999999</v>
      </c>
      <c r="G72" s="916">
        <v>7776578</v>
      </c>
      <c r="H72" s="912">
        <v>256453</v>
      </c>
      <c r="I72" s="13"/>
    </row>
    <row r="73" spans="1:9" x14ac:dyDescent="0.35">
      <c r="A73" s="479" t="s">
        <v>1176</v>
      </c>
      <c r="B73" s="480" t="s">
        <v>789</v>
      </c>
      <c r="C73" s="480" t="s">
        <v>377</v>
      </c>
      <c r="D73" s="515"/>
      <c r="E73" s="268"/>
      <c r="F73" s="945">
        <v>787.42313999999999</v>
      </c>
      <c r="G73" s="673">
        <v>9771845</v>
      </c>
      <c r="H73" s="912">
        <v>256455</v>
      </c>
      <c r="I73" s="13"/>
    </row>
    <row r="74" spans="1:9" x14ac:dyDescent="0.35">
      <c r="A74" s="479" t="s">
        <v>1286</v>
      </c>
      <c r="B74" s="480" t="s">
        <v>789</v>
      </c>
      <c r="C74" s="737" t="s">
        <v>1025</v>
      </c>
      <c r="D74" s="738"/>
      <c r="E74" s="739"/>
      <c r="F74" s="945">
        <v>787.42313999999999</v>
      </c>
      <c r="G74" s="740">
        <v>5571875</v>
      </c>
      <c r="H74" s="912">
        <v>348916</v>
      </c>
      <c r="I74" s="13"/>
    </row>
    <row r="75" spans="1:9" x14ac:dyDescent="0.35">
      <c r="A75" s="572" t="s">
        <v>550</v>
      </c>
      <c r="B75" s="576" t="s">
        <v>790</v>
      </c>
      <c r="C75" s="576" t="s">
        <v>425</v>
      </c>
      <c r="D75" s="577" t="s">
        <v>756</v>
      </c>
      <c r="E75" s="578"/>
      <c r="F75" s="945">
        <v>1447.2923000000001</v>
      </c>
      <c r="G75" s="672">
        <v>8204879</v>
      </c>
      <c r="H75" s="912">
        <v>256456</v>
      </c>
      <c r="I75" s="13"/>
    </row>
    <row r="76" spans="1:9" x14ac:dyDescent="0.35">
      <c r="A76" s="590" t="s">
        <v>1059</v>
      </c>
      <c r="B76" s="591" t="s">
        <v>1035</v>
      </c>
      <c r="C76" s="591" t="s">
        <v>321</v>
      </c>
      <c r="D76" s="592" t="s">
        <v>756</v>
      </c>
      <c r="E76" s="584"/>
      <c r="F76" s="945">
        <v>731.27220999999997</v>
      </c>
      <c r="G76" s="674">
        <v>3942168</v>
      </c>
      <c r="H76" s="912">
        <v>348928</v>
      </c>
      <c r="I76" s="13"/>
    </row>
    <row r="77" spans="1:9" x14ac:dyDescent="0.35">
      <c r="A77" s="587" t="s">
        <v>1118</v>
      </c>
      <c r="B77" s="588" t="s">
        <v>1035</v>
      </c>
      <c r="C77" s="588" t="s">
        <v>322</v>
      </c>
      <c r="D77" s="589" t="s">
        <v>756</v>
      </c>
      <c r="E77" s="586"/>
      <c r="F77" s="945">
        <v>731.27220999999997</v>
      </c>
      <c r="G77" s="671">
        <v>4919975</v>
      </c>
      <c r="H77" s="912">
        <v>348927</v>
      </c>
      <c r="I77" s="13"/>
    </row>
    <row r="78" spans="1:9" x14ac:dyDescent="0.35">
      <c r="A78" s="587" t="s">
        <v>1177</v>
      </c>
      <c r="B78" s="588" t="s">
        <v>1035</v>
      </c>
      <c r="C78" s="588" t="s">
        <v>377</v>
      </c>
      <c r="D78" s="589" t="s">
        <v>756</v>
      </c>
      <c r="E78" s="586"/>
      <c r="F78" s="945">
        <v>731.27220999999997</v>
      </c>
      <c r="G78" s="671">
        <v>4324888</v>
      </c>
      <c r="H78" s="912">
        <v>348929</v>
      </c>
      <c r="I78" s="13"/>
    </row>
    <row r="79" spans="1:9" x14ac:dyDescent="0.35">
      <c r="A79" s="587" t="s">
        <v>1287</v>
      </c>
      <c r="B79" s="588" t="s">
        <v>1035</v>
      </c>
      <c r="C79" s="733" t="s">
        <v>1025</v>
      </c>
      <c r="D79" s="734" t="s">
        <v>756</v>
      </c>
      <c r="E79" s="735"/>
      <c r="F79" s="945">
        <v>731.27220999999997</v>
      </c>
      <c r="G79" s="736">
        <v>8377910</v>
      </c>
      <c r="H79" s="912">
        <v>348923</v>
      </c>
      <c r="I79" s="13"/>
    </row>
    <row r="80" spans="1:9" x14ac:dyDescent="0.35">
      <c r="A80" s="572"/>
      <c r="B80" s="576"/>
      <c r="C80" s="576"/>
      <c r="D80" s="577"/>
      <c r="E80" s="578"/>
      <c r="F80" s="945"/>
      <c r="G80" s="672"/>
      <c r="H80" s="913"/>
      <c r="I80" s="13"/>
    </row>
    <row r="81" spans="1:9" x14ac:dyDescent="0.35">
      <c r="A81" s="590" t="s">
        <v>1060</v>
      </c>
      <c r="B81" s="591" t="s">
        <v>661</v>
      </c>
      <c r="C81" s="591" t="s">
        <v>321</v>
      </c>
      <c r="D81" s="592" t="s">
        <v>756</v>
      </c>
      <c r="E81" s="584"/>
      <c r="F81" s="945">
        <v>731.27220999999997</v>
      </c>
      <c r="G81" s="674">
        <v>9340962</v>
      </c>
      <c r="H81" s="912">
        <v>227474</v>
      </c>
      <c r="I81" s="13"/>
    </row>
    <row r="82" spans="1:9" x14ac:dyDescent="0.35">
      <c r="A82" s="587" t="s">
        <v>1119</v>
      </c>
      <c r="B82" s="588" t="s">
        <v>661</v>
      </c>
      <c r="C82" s="588" t="s">
        <v>322</v>
      </c>
      <c r="D82" s="589" t="s">
        <v>756</v>
      </c>
      <c r="E82" s="586"/>
      <c r="F82" s="945">
        <v>731.27220999999997</v>
      </c>
      <c r="G82" s="671">
        <v>9360049</v>
      </c>
      <c r="H82" s="912">
        <v>227473</v>
      </c>
      <c r="I82" s="13"/>
    </row>
    <row r="83" spans="1:9" x14ac:dyDescent="0.35">
      <c r="A83" s="587" t="s">
        <v>1178</v>
      </c>
      <c r="B83" s="588" t="s">
        <v>661</v>
      </c>
      <c r="C83" s="588" t="s">
        <v>377</v>
      </c>
      <c r="D83" s="589" t="s">
        <v>756</v>
      </c>
      <c r="E83" s="586"/>
      <c r="F83" s="945">
        <v>731.27220999999997</v>
      </c>
      <c r="G83" s="671">
        <v>9376787</v>
      </c>
      <c r="H83" s="912">
        <v>227475</v>
      </c>
      <c r="I83" s="13"/>
    </row>
    <row r="84" spans="1:9" x14ac:dyDescent="0.35">
      <c r="A84" s="587" t="s">
        <v>1288</v>
      </c>
      <c r="B84" s="588" t="s">
        <v>661</v>
      </c>
      <c r="C84" s="733" t="s">
        <v>1025</v>
      </c>
      <c r="D84" s="734" t="s">
        <v>756</v>
      </c>
      <c r="E84" s="735"/>
      <c r="F84" s="945">
        <v>731.27220999999997</v>
      </c>
      <c r="G84" s="736">
        <v>8617045</v>
      </c>
      <c r="H84" s="912">
        <v>348924</v>
      </c>
      <c r="I84" s="13"/>
    </row>
    <row r="85" spans="1:9" x14ac:dyDescent="0.35">
      <c r="A85" s="572" t="s">
        <v>553</v>
      </c>
      <c r="B85" s="576" t="s">
        <v>662</v>
      </c>
      <c r="C85" s="576" t="s">
        <v>425</v>
      </c>
      <c r="D85" s="577" t="s">
        <v>756</v>
      </c>
      <c r="E85" s="578"/>
      <c r="F85" s="945">
        <v>1372.92587</v>
      </c>
      <c r="G85" s="672">
        <v>1478096</v>
      </c>
      <c r="H85" s="912">
        <v>227476</v>
      </c>
      <c r="I85" s="13"/>
    </row>
    <row r="86" spans="1:9" x14ac:dyDescent="0.35">
      <c r="A86" s="590" t="s">
        <v>1061</v>
      </c>
      <c r="B86" s="591" t="s">
        <v>663</v>
      </c>
      <c r="C86" s="591" t="s">
        <v>321</v>
      </c>
      <c r="D86" s="592" t="s">
        <v>756</v>
      </c>
      <c r="E86" s="584"/>
      <c r="F86" s="945">
        <v>741.57773999999995</v>
      </c>
      <c r="G86" s="674">
        <v>9409124</v>
      </c>
      <c r="H86" s="912">
        <v>227478</v>
      </c>
      <c r="I86" s="13"/>
    </row>
    <row r="87" spans="1:9" x14ac:dyDescent="0.35">
      <c r="A87" s="587" t="s">
        <v>1120</v>
      </c>
      <c r="B87" s="588" t="s">
        <v>663</v>
      </c>
      <c r="C87" s="588" t="s">
        <v>322</v>
      </c>
      <c r="D87" s="589" t="s">
        <v>756</v>
      </c>
      <c r="E87" s="586"/>
      <c r="F87" s="945">
        <v>741.57773999999995</v>
      </c>
      <c r="G87" s="671">
        <v>9412510</v>
      </c>
      <c r="H87" s="912">
        <v>227477</v>
      </c>
      <c r="I87" s="13"/>
    </row>
    <row r="88" spans="1:9" x14ac:dyDescent="0.35">
      <c r="A88" s="587" t="s">
        <v>1179</v>
      </c>
      <c r="B88" s="588" t="s">
        <v>663</v>
      </c>
      <c r="C88" s="588" t="s">
        <v>377</v>
      </c>
      <c r="D88" s="589" t="s">
        <v>756</v>
      </c>
      <c r="E88" s="586"/>
      <c r="F88" s="945">
        <v>741.57773999999995</v>
      </c>
      <c r="G88" s="671">
        <v>9477844</v>
      </c>
      <c r="H88" s="912">
        <v>227479</v>
      </c>
      <c r="I88" s="13"/>
    </row>
    <row r="89" spans="1:9" x14ac:dyDescent="0.35">
      <c r="A89" s="587" t="s">
        <v>1289</v>
      </c>
      <c r="B89" s="588" t="s">
        <v>663</v>
      </c>
      <c r="C89" s="733" t="s">
        <v>1025</v>
      </c>
      <c r="D89" s="734" t="s">
        <v>756</v>
      </c>
      <c r="E89" s="735"/>
      <c r="F89" s="945">
        <v>741.57773999999995</v>
      </c>
      <c r="G89" s="736">
        <v>4082612</v>
      </c>
      <c r="H89" s="912">
        <v>348925</v>
      </c>
      <c r="I89" s="13"/>
    </row>
    <row r="90" spans="1:9" x14ac:dyDescent="0.35">
      <c r="A90" s="572" t="s">
        <v>554</v>
      </c>
      <c r="B90" s="576" t="s">
        <v>664</v>
      </c>
      <c r="C90" s="576" t="s">
        <v>425</v>
      </c>
      <c r="D90" s="577" t="s">
        <v>756</v>
      </c>
      <c r="E90" s="578"/>
      <c r="F90" s="945">
        <v>1408.23261</v>
      </c>
      <c r="G90" s="672">
        <v>1501198</v>
      </c>
      <c r="H90" s="912">
        <v>227480</v>
      </c>
      <c r="I90" s="13"/>
    </row>
    <row r="91" spans="1:9" x14ac:dyDescent="0.35">
      <c r="A91" s="590" t="s">
        <v>1062</v>
      </c>
      <c r="B91" s="591" t="s">
        <v>665</v>
      </c>
      <c r="C91" s="591" t="s">
        <v>321</v>
      </c>
      <c r="D91" s="592" t="s">
        <v>756</v>
      </c>
      <c r="E91" s="584"/>
      <c r="F91" s="945">
        <v>751.87792000000002</v>
      </c>
      <c r="G91" s="674">
        <v>9485595</v>
      </c>
      <c r="H91" s="912">
        <v>227482</v>
      </c>
      <c r="I91" s="13"/>
    </row>
    <row r="92" spans="1:9" x14ac:dyDescent="0.35">
      <c r="A92" s="587" t="s">
        <v>1121</v>
      </c>
      <c r="B92" s="588" t="s">
        <v>665</v>
      </c>
      <c r="C92" s="588" t="s">
        <v>322</v>
      </c>
      <c r="D92" s="589" t="s">
        <v>756</v>
      </c>
      <c r="E92" s="586"/>
      <c r="F92" s="945">
        <v>751.87792000000002</v>
      </c>
      <c r="G92" s="671">
        <v>9525482</v>
      </c>
      <c r="H92" s="912">
        <v>227481</v>
      </c>
      <c r="I92" s="13"/>
    </row>
    <row r="93" spans="1:9" x14ac:dyDescent="0.35">
      <c r="A93" s="587" t="s">
        <v>1180</v>
      </c>
      <c r="B93" s="588" t="s">
        <v>665</v>
      </c>
      <c r="C93" s="588" t="s">
        <v>377</v>
      </c>
      <c r="D93" s="589" t="s">
        <v>756</v>
      </c>
      <c r="E93" s="586"/>
      <c r="F93" s="945">
        <v>751.87792000000002</v>
      </c>
      <c r="G93" s="671">
        <v>9537952</v>
      </c>
      <c r="H93" s="912">
        <v>227483</v>
      </c>
      <c r="I93" s="13"/>
    </row>
    <row r="94" spans="1:9" x14ac:dyDescent="0.35">
      <c r="A94" s="587" t="s">
        <v>1290</v>
      </c>
      <c r="B94" s="588" t="s">
        <v>665</v>
      </c>
      <c r="C94" s="733" t="s">
        <v>1025</v>
      </c>
      <c r="D94" s="734" t="s">
        <v>756</v>
      </c>
      <c r="E94" s="735"/>
      <c r="F94" s="945">
        <v>751.87792000000002</v>
      </c>
      <c r="G94" s="736">
        <v>4293155</v>
      </c>
      <c r="H94" s="912">
        <v>348926</v>
      </c>
      <c r="I94" s="13"/>
    </row>
    <row r="95" spans="1:9" x14ac:dyDescent="0.35">
      <c r="A95" s="572" t="s">
        <v>555</v>
      </c>
      <c r="B95" s="576" t="s">
        <v>666</v>
      </c>
      <c r="C95" s="576" t="s">
        <v>425</v>
      </c>
      <c r="D95" s="577" t="s">
        <v>756</v>
      </c>
      <c r="E95" s="578"/>
      <c r="F95" s="945">
        <v>1443.53935</v>
      </c>
      <c r="G95" s="672">
        <v>1679728</v>
      </c>
      <c r="H95" s="912">
        <v>227484</v>
      </c>
      <c r="I95" s="13"/>
    </row>
    <row r="96" spans="1:9" x14ac:dyDescent="0.35">
      <c r="A96" s="590" t="s">
        <v>1063</v>
      </c>
      <c r="B96" s="591" t="s">
        <v>330</v>
      </c>
      <c r="C96" s="591" t="s">
        <v>321</v>
      </c>
      <c r="D96" s="592" t="s">
        <v>756</v>
      </c>
      <c r="E96" s="584"/>
      <c r="F96" s="945">
        <v>762.18404999999996</v>
      </c>
      <c r="G96" s="674">
        <v>9545678</v>
      </c>
      <c r="H96" s="912">
        <v>227486</v>
      </c>
      <c r="I96" s="13"/>
    </row>
    <row r="97" spans="1:9" x14ac:dyDescent="0.35">
      <c r="A97" s="587" t="s">
        <v>1122</v>
      </c>
      <c r="B97" s="588" t="s">
        <v>330</v>
      </c>
      <c r="C97" s="588" t="s">
        <v>322</v>
      </c>
      <c r="D97" s="589" t="s">
        <v>756</v>
      </c>
      <c r="E97" s="586"/>
      <c r="F97" s="945">
        <v>762.18404999999996</v>
      </c>
      <c r="G97" s="671">
        <v>9547141</v>
      </c>
      <c r="H97" s="912">
        <v>227485</v>
      </c>
      <c r="I97" s="13"/>
    </row>
    <row r="98" spans="1:9" x14ac:dyDescent="0.35">
      <c r="A98" s="587" t="s">
        <v>1181</v>
      </c>
      <c r="B98" s="588" t="s">
        <v>330</v>
      </c>
      <c r="C98" s="588" t="s">
        <v>377</v>
      </c>
      <c r="D98" s="589" t="s">
        <v>756</v>
      </c>
      <c r="E98" s="586"/>
      <c r="F98" s="945">
        <v>762.18404999999996</v>
      </c>
      <c r="G98" s="671">
        <v>9555427</v>
      </c>
      <c r="H98" s="912">
        <v>227487</v>
      </c>
      <c r="I98" s="13"/>
    </row>
    <row r="99" spans="1:9" x14ac:dyDescent="0.35">
      <c r="A99" s="587" t="s">
        <v>1291</v>
      </c>
      <c r="B99" s="588" t="s">
        <v>330</v>
      </c>
      <c r="C99" s="733" t="s">
        <v>1025</v>
      </c>
      <c r="D99" s="734" t="s">
        <v>756</v>
      </c>
      <c r="E99" s="735"/>
      <c r="F99" s="945">
        <v>609.44718999999998</v>
      </c>
      <c r="G99" s="736">
        <v>3425217</v>
      </c>
      <c r="H99" s="912">
        <v>346628</v>
      </c>
      <c r="I99" s="13"/>
    </row>
    <row r="100" spans="1:9" x14ac:dyDescent="0.35">
      <c r="A100" s="572" t="s">
        <v>328</v>
      </c>
      <c r="B100" s="576" t="s">
        <v>329</v>
      </c>
      <c r="C100" s="576" t="s">
        <v>425</v>
      </c>
      <c r="D100" s="577" t="s">
        <v>756</v>
      </c>
      <c r="E100" s="578"/>
      <c r="F100" s="945">
        <v>1478.8514600000001</v>
      </c>
      <c r="G100" s="672">
        <v>1722370</v>
      </c>
      <c r="H100" s="912">
        <v>227488</v>
      </c>
      <c r="I100" s="13"/>
    </row>
    <row r="101" spans="1:9" x14ac:dyDescent="0.35">
      <c r="A101" s="590" t="s">
        <v>1064</v>
      </c>
      <c r="B101" s="591" t="s">
        <v>557</v>
      </c>
      <c r="C101" s="591" t="s">
        <v>321</v>
      </c>
      <c r="D101" s="592" t="s">
        <v>756</v>
      </c>
      <c r="E101" s="584"/>
      <c r="F101" s="945">
        <v>844.68757000000005</v>
      </c>
      <c r="G101" s="674">
        <v>9562948</v>
      </c>
      <c r="H101" s="912">
        <v>227490</v>
      </c>
      <c r="I101" s="13"/>
    </row>
    <row r="102" spans="1:9" x14ac:dyDescent="0.35">
      <c r="A102" s="587" t="s">
        <v>1123</v>
      </c>
      <c r="B102" s="588" t="s">
        <v>557</v>
      </c>
      <c r="C102" s="588" t="s">
        <v>322</v>
      </c>
      <c r="D102" s="589" t="s">
        <v>756</v>
      </c>
      <c r="E102" s="586"/>
      <c r="F102" s="945">
        <v>844.68757000000005</v>
      </c>
      <c r="G102" s="671">
        <v>9571190</v>
      </c>
      <c r="H102" s="912">
        <v>227489</v>
      </c>
      <c r="I102" s="13"/>
    </row>
    <row r="103" spans="1:9" x14ac:dyDescent="0.35">
      <c r="A103" s="587" t="s">
        <v>1182</v>
      </c>
      <c r="B103" s="588" t="s">
        <v>557</v>
      </c>
      <c r="C103" s="588" t="s">
        <v>377</v>
      </c>
      <c r="D103" s="589" t="s">
        <v>756</v>
      </c>
      <c r="E103" s="586"/>
      <c r="F103" s="945">
        <v>844.68757000000005</v>
      </c>
      <c r="G103" s="671">
        <v>9572887</v>
      </c>
      <c r="H103" s="912">
        <v>227491</v>
      </c>
      <c r="I103" s="13"/>
    </row>
    <row r="104" spans="1:9" x14ac:dyDescent="0.35">
      <c r="A104" s="587" t="s">
        <v>1292</v>
      </c>
      <c r="B104" s="588" t="s">
        <v>557</v>
      </c>
      <c r="C104" s="733" t="s">
        <v>1025</v>
      </c>
      <c r="D104" s="734" t="s">
        <v>756</v>
      </c>
      <c r="E104" s="735"/>
      <c r="F104" s="945">
        <v>844.68757000000005</v>
      </c>
      <c r="G104" s="736">
        <v>3702643</v>
      </c>
      <c r="H104" s="912">
        <v>346629</v>
      </c>
      <c r="I104" s="13"/>
    </row>
    <row r="105" spans="1:9" x14ac:dyDescent="0.35">
      <c r="A105" s="572" t="s">
        <v>556</v>
      </c>
      <c r="B105" s="576" t="s">
        <v>558</v>
      </c>
      <c r="C105" s="576" t="s">
        <v>425</v>
      </c>
      <c r="D105" s="577" t="s">
        <v>756</v>
      </c>
      <c r="E105" s="578"/>
      <c r="F105" s="945">
        <v>1577.7307599999999</v>
      </c>
      <c r="G105" s="672">
        <v>1770080</v>
      </c>
      <c r="H105" s="912">
        <v>227492</v>
      </c>
      <c r="I105" s="13"/>
    </row>
    <row r="106" spans="1:9" x14ac:dyDescent="0.35">
      <c r="A106" s="590" t="s">
        <v>1065</v>
      </c>
      <c r="B106" s="591" t="s">
        <v>1034</v>
      </c>
      <c r="C106" s="591" t="s">
        <v>321</v>
      </c>
      <c r="D106" s="592" t="s">
        <v>756</v>
      </c>
      <c r="E106" s="584"/>
      <c r="F106" s="945">
        <v>920.18425999999999</v>
      </c>
      <c r="G106" s="674">
        <v>3190913</v>
      </c>
      <c r="H106" s="912">
        <v>348934</v>
      </c>
      <c r="I106" s="13"/>
    </row>
    <row r="107" spans="1:9" x14ac:dyDescent="0.35">
      <c r="A107" s="587" t="s">
        <v>1124</v>
      </c>
      <c r="B107" s="588" t="s">
        <v>1034</v>
      </c>
      <c r="C107" s="588" t="s">
        <v>322</v>
      </c>
      <c r="D107" s="589" t="s">
        <v>756</v>
      </c>
      <c r="E107" s="586"/>
      <c r="F107" s="945">
        <v>920.18425999999999</v>
      </c>
      <c r="G107" s="671">
        <v>9707730</v>
      </c>
      <c r="H107" s="912">
        <v>348932</v>
      </c>
      <c r="I107" s="13"/>
    </row>
    <row r="108" spans="1:9" x14ac:dyDescent="0.35">
      <c r="A108" s="587" t="s">
        <v>1183</v>
      </c>
      <c r="B108" s="588" t="s">
        <v>1034</v>
      </c>
      <c r="C108" s="588" t="s">
        <v>377</v>
      </c>
      <c r="D108" s="589" t="s">
        <v>756</v>
      </c>
      <c r="E108" s="586"/>
      <c r="F108" s="945">
        <v>920.18425999999999</v>
      </c>
      <c r="G108" s="671">
        <v>6531444</v>
      </c>
      <c r="H108" s="912">
        <v>348935</v>
      </c>
      <c r="I108" s="13"/>
    </row>
    <row r="109" spans="1:9" x14ac:dyDescent="0.35">
      <c r="A109" s="587" t="s">
        <v>1293</v>
      </c>
      <c r="B109" s="588" t="s">
        <v>1034</v>
      </c>
      <c r="C109" s="733" t="s">
        <v>1025</v>
      </c>
      <c r="D109" s="734" t="s">
        <v>756</v>
      </c>
      <c r="E109" s="735"/>
      <c r="F109" s="945">
        <v>920.18425999999999</v>
      </c>
      <c r="G109" s="736">
        <v>5490298</v>
      </c>
      <c r="H109" s="912">
        <v>348922</v>
      </c>
      <c r="I109" s="13"/>
    </row>
    <row r="110" spans="1:9" x14ac:dyDescent="0.35">
      <c r="A110" s="572"/>
      <c r="B110" s="576"/>
      <c r="C110" s="576"/>
      <c r="D110" s="577"/>
      <c r="E110" s="578"/>
      <c r="F110" s="945"/>
      <c r="G110" s="672"/>
      <c r="H110" s="913"/>
      <c r="I110" s="13"/>
    </row>
    <row r="111" spans="1:9" x14ac:dyDescent="0.35">
      <c r="A111" s="263" t="s">
        <v>1066</v>
      </c>
      <c r="B111" s="264" t="s">
        <v>559</v>
      </c>
      <c r="C111" s="264" t="s">
        <v>321</v>
      </c>
      <c r="D111" s="513"/>
      <c r="E111" s="265"/>
      <c r="F111" s="945">
        <v>920.62116000000003</v>
      </c>
      <c r="G111" s="917">
        <v>8762565</v>
      </c>
      <c r="H111" s="912">
        <v>227494</v>
      </c>
      <c r="I111" s="13"/>
    </row>
    <row r="112" spans="1:9" x14ac:dyDescent="0.35">
      <c r="A112" s="266" t="s">
        <v>1125</v>
      </c>
      <c r="B112" s="267" t="s">
        <v>559</v>
      </c>
      <c r="C112" s="267" t="s">
        <v>322</v>
      </c>
      <c r="D112" s="514"/>
      <c r="E112" s="268"/>
      <c r="F112" s="945">
        <v>920.62116000000003</v>
      </c>
      <c r="G112" s="916">
        <v>8764832</v>
      </c>
      <c r="H112" s="912">
        <v>227493</v>
      </c>
      <c r="I112" s="13"/>
    </row>
    <row r="113" spans="1:9" x14ac:dyDescent="0.35">
      <c r="A113" s="479" t="s">
        <v>1184</v>
      </c>
      <c r="B113" s="480" t="s">
        <v>559</v>
      </c>
      <c r="C113" s="480" t="s">
        <v>377</v>
      </c>
      <c r="D113" s="515"/>
      <c r="E113" s="268"/>
      <c r="F113" s="945">
        <v>920.62116000000003</v>
      </c>
      <c r="G113" s="673">
        <v>8768393</v>
      </c>
      <c r="H113" s="912">
        <v>227495</v>
      </c>
      <c r="I113" s="13"/>
    </row>
    <row r="114" spans="1:9" x14ac:dyDescent="0.35">
      <c r="A114" s="479" t="s">
        <v>1294</v>
      </c>
      <c r="B114" s="480" t="s">
        <v>559</v>
      </c>
      <c r="C114" s="480" t="s">
        <v>1025</v>
      </c>
      <c r="D114" s="738"/>
      <c r="E114" s="739"/>
      <c r="F114" s="945">
        <v>920.62116000000003</v>
      </c>
      <c r="G114" s="740">
        <v>1754455</v>
      </c>
      <c r="H114" s="912">
        <v>348938</v>
      </c>
      <c r="I114" s="13"/>
    </row>
    <row r="115" spans="1:9" x14ac:dyDescent="0.35">
      <c r="A115" s="572" t="s">
        <v>793</v>
      </c>
      <c r="B115" s="576" t="s">
        <v>560</v>
      </c>
      <c r="C115" s="576" t="s">
        <v>425</v>
      </c>
      <c r="D115" s="577" t="s">
        <v>756</v>
      </c>
      <c r="E115" s="578"/>
      <c r="F115" s="945">
        <v>1796.90735</v>
      </c>
      <c r="G115" s="672">
        <v>9717715</v>
      </c>
      <c r="H115" s="912">
        <v>227496</v>
      </c>
      <c r="I115" s="13"/>
    </row>
    <row r="116" spans="1:9" x14ac:dyDescent="0.35">
      <c r="A116" s="263" t="s">
        <v>1067</v>
      </c>
      <c r="B116" s="264" t="s">
        <v>561</v>
      </c>
      <c r="C116" s="264" t="s">
        <v>321</v>
      </c>
      <c r="D116" s="513"/>
      <c r="E116" s="265"/>
      <c r="F116" s="945">
        <v>920.62116000000003</v>
      </c>
      <c r="G116" s="917">
        <v>8769064</v>
      </c>
      <c r="H116" s="912">
        <v>227498</v>
      </c>
      <c r="I116" s="13"/>
    </row>
    <row r="117" spans="1:9" x14ac:dyDescent="0.35">
      <c r="A117" s="266" t="s">
        <v>1126</v>
      </c>
      <c r="B117" s="267" t="s">
        <v>561</v>
      </c>
      <c r="C117" s="267" t="s">
        <v>322</v>
      </c>
      <c r="D117" s="514"/>
      <c r="E117" s="268"/>
      <c r="F117" s="945">
        <v>920.62116000000003</v>
      </c>
      <c r="G117" s="916">
        <v>8774453</v>
      </c>
      <c r="H117" s="912">
        <v>227497</v>
      </c>
      <c r="I117" s="13"/>
    </row>
    <row r="118" spans="1:9" x14ac:dyDescent="0.35">
      <c r="A118" s="479" t="s">
        <v>1185</v>
      </c>
      <c r="B118" s="480" t="s">
        <v>561</v>
      </c>
      <c r="C118" s="480" t="s">
        <v>377</v>
      </c>
      <c r="D118" s="515"/>
      <c r="E118" s="268"/>
      <c r="F118" s="945">
        <v>920.62116000000003</v>
      </c>
      <c r="G118" s="673">
        <v>8784593</v>
      </c>
      <c r="H118" s="912">
        <v>227499</v>
      </c>
      <c r="I118" s="13"/>
    </row>
    <row r="119" spans="1:9" x14ac:dyDescent="0.35">
      <c r="A119" s="479" t="s">
        <v>1295</v>
      </c>
      <c r="B119" s="480" t="s">
        <v>561</v>
      </c>
      <c r="C119" s="480" t="s">
        <v>1025</v>
      </c>
      <c r="D119" s="738"/>
      <c r="E119" s="739"/>
      <c r="F119" s="945">
        <v>920.62116000000003</v>
      </c>
      <c r="G119" s="740">
        <v>3216380</v>
      </c>
      <c r="H119" s="912">
        <v>348939</v>
      </c>
      <c r="I119" s="13"/>
    </row>
    <row r="120" spans="1:9" x14ac:dyDescent="0.35">
      <c r="A120" s="572" t="s">
        <v>794</v>
      </c>
      <c r="B120" s="576" t="s">
        <v>562</v>
      </c>
      <c r="C120" s="576" t="s">
        <v>425</v>
      </c>
      <c r="D120" s="577" t="s">
        <v>756</v>
      </c>
      <c r="E120" s="578"/>
      <c r="F120" s="945">
        <v>1796.90735</v>
      </c>
      <c r="G120" s="672">
        <v>9724625</v>
      </c>
      <c r="H120" s="912">
        <v>227500</v>
      </c>
      <c r="I120" s="13"/>
    </row>
    <row r="121" spans="1:9" x14ac:dyDescent="0.35">
      <c r="A121" s="263" t="s">
        <v>1068</v>
      </c>
      <c r="B121" s="264" t="s">
        <v>563</v>
      </c>
      <c r="C121" s="264" t="s">
        <v>321</v>
      </c>
      <c r="D121" s="513"/>
      <c r="E121" s="265"/>
      <c r="F121" s="945">
        <v>920.62116000000003</v>
      </c>
      <c r="G121" s="917">
        <v>8799519</v>
      </c>
      <c r="H121" s="912">
        <v>227502</v>
      </c>
      <c r="I121" s="13"/>
    </row>
    <row r="122" spans="1:9" x14ac:dyDescent="0.35">
      <c r="A122" s="266" t="s">
        <v>1127</v>
      </c>
      <c r="B122" s="267" t="s">
        <v>563</v>
      </c>
      <c r="C122" s="267" t="s">
        <v>322</v>
      </c>
      <c r="D122" s="514"/>
      <c r="E122" s="268"/>
      <c r="F122" s="945">
        <v>920.62116000000003</v>
      </c>
      <c r="G122" s="916">
        <v>8814169</v>
      </c>
      <c r="H122" s="912">
        <v>227501</v>
      </c>
      <c r="I122" s="13"/>
    </row>
    <row r="123" spans="1:9" x14ac:dyDescent="0.35">
      <c r="A123" s="479" t="s">
        <v>1186</v>
      </c>
      <c r="B123" s="480" t="s">
        <v>563</v>
      </c>
      <c r="C123" s="480" t="s">
        <v>377</v>
      </c>
      <c r="D123" s="515"/>
      <c r="E123" s="268"/>
      <c r="F123" s="945">
        <v>920.62116000000003</v>
      </c>
      <c r="G123" s="673">
        <v>8828590</v>
      </c>
      <c r="H123" s="912">
        <v>227503</v>
      </c>
      <c r="I123" s="13"/>
    </row>
    <row r="124" spans="1:9" x14ac:dyDescent="0.35">
      <c r="A124" s="479" t="s">
        <v>1296</v>
      </c>
      <c r="B124" s="480" t="s">
        <v>563</v>
      </c>
      <c r="C124" s="480" t="s">
        <v>1025</v>
      </c>
      <c r="D124" s="738"/>
      <c r="E124" s="739"/>
      <c r="F124" s="945">
        <v>920.62116000000003</v>
      </c>
      <c r="G124" s="740">
        <v>4515493</v>
      </c>
      <c r="H124" s="912">
        <v>348940</v>
      </c>
      <c r="I124" s="13"/>
    </row>
    <row r="125" spans="1:9" x14ac:dyDescent="0.35">
      <c r="A125" s="572" t="s">
        <v>795</v>
      </c>
      <c r="B125" s="576" t="s">
        <v>564</v>
      </c>
      <c r="C125" s="576" t="s">
        <v>425</v>
      </c>
      <c r="D125" s="577" t="s">
        <v>756</v>
      </c>
      <c r="E125" s="578"/>
      <c r="F125" s="945">
        <v>1796.90735</v>
      </c>
      <c r="G125" s="672">
        <v>9758672</v>
      </c>
      <c r="H125" s="912">
        <v>227504</v>
      </c>
      <c r="I125" s="13"/>
    </row>
    <row r="126" spans="1:9" x14ac:dyDescent="0.35">
      <c r="A126" s="263" t="s">
        <v>1069</v>
      </c>
      <c r="B126" s="264" t="s">
        <v>565</v>
      </c>
      <c r="C126" s="264" t="s">
        <v>321</v>
      </c>
      <c r="D126" s="513"/>
      <c r="E126" s="265"/>
      <c r="F126" s="945">
        <v>931.92665999999997</v>
      </c>
      <c r="G126" s="917">
        <v>8858929</v>
      </c>
      <c r="H126" s="912">
        <v>227506</v>
      </c>
      <c r="I126" s="13"/>
    </row>
    <row r="127" spans="1:9" x14ac:dyDescent="0.35">
      <c r="A127" s="266" t="s">
        <v>1128</v>
      </c>
      <c r="B127" s="267" t="s">
        <v>565</v>
      </c>
      <c r="C127" s="267" t="s">
        <v>322</v>
      </c>
      <c r="D127" s="514"/>
      <c r="E127" s="268"/>
      <c r="F127" s="945">
        <v>931.92665999999997</v>
      </c>
      <c r="G127" s="916">
        <v>8914227</v>
      </c>
      <c r="H127" s="912">
        <v>227505</v>
      </c>
      <c r="I127" s="13"/>
    </row>
    <row r="128" spans="1:9" x14ac:dyDescent="0.35">
      <c r="A128" s="479" t="s">
        <v>1187</v>
      </c>
      <c r="B128" s="480" t="s">
        <v>565</v>
      </c>
      <c r="C128" s="480" t="s">
        <v>377</v>
      </c>
      <c r="D128" s="515"/>
      <c r="E128" s="268"/>
      <c r="F128" s="945">
        <v>931.92665999999997</v>
      </c>
      <c r="G128" s="673">
        <v>8928290</v>
      </c>
      <c r="H128" s="912">
        <v>227507</v>
      </c>
      <c r="I128" s="13"/>
    </row>
    <row r="129" spans="1:9" x14ac:dyDescent="0.35">
      <c r="A129" s="479" t="s">
        <v>1297</v>
      </c>
      <c r="B129" s="480" t="s">
        <v>565</v>
      </c>
      <c r="C129" s="480" t="s">
        <v>1025</v>
      </c>
      <c r="D129" s="738"/>
      <c r="E129" s="739"/>
      <c r="F129" s="945">
        <v>931.92665999999997</v>
      </c>
      <c r="G129" s="740">
        <v>2445573</v>
      </c>
      <c r="H129" s="912">
        <v>348941</v>
      </c>
      <c r="I129" s="13"/>
    </row>
    <row r="130" spans="1:9" x14ac:dyDescent="0.35">
      <c r="A130" s="572" t="s">
        <v>796</v>
      </c>
      <c r="B130" s="576" t="s">
        <v>566</v>
      </c>
      <c r="C130" s="576" t="s">
        <v>425</v>
      </c>
      <c r="D130" s="577" t="s">
        <v>756</v>
      </c>
      <c r="E130" s="578"/>
      <c r="F130" s="945">
        <v>1740.60878</v>
      </c>
      <c r="G130" s="672">
        <v>9760627</v>
      </c>
      <c r="H130" s="912">
        <v>227508</v>
      </c>
      <c r="I130" s="13"/>
    </row>
    <row r="131" spans="1:9" x14ac:dyDescent="0.35">
      <c r="A131" s="263" t="s">
        <v>1070</v>
      </c>
      <c r="B131" s="264" t="s">
        <v>567</v>
      </c>
      <c r="C131" s="264" t="s">
        <v>321</v>
      </c>
      <c r="D131" s="513"/>
      <c r="E131" s="265"/>
      <c r="F131" s="945">
        <v>921.30178999999998</v>
      </c>
      <c r="G131" s="917">
        <v>8936515</v>
      </c>
      <c r="H131" s="912">
        <v>227510</v>
      </c>
      <c r="I131" s="13"/>
    </row>
    <row r="132" spans="1:9" x14ac:dyDescent="0.35">
      <c r="A132" s="266" t="s">
        <v>1129</v>
      </c>
      <c r="B132" s="267" t="s">
        <v>567</v>
      </c>
      <c r="C132" s="267" t="s">
        <v>322</v>
      </c>
      <c r="D132" s="514"/>
      <c r="E132" s="268"/>
      <c r="F132" s="945">
        <v>921.30178999999998</v>
      </c>
      <c r="G132" s="916">
        <v>8952499</v>
      </c>
      <c r="H132" s="912">
        <v>227509</v>
      </c>
      <c r="I132" s="13"/>
    </row>
    <row r="133" spans="1:9" x14ac:dyDescent="0.35">
      <c r="A133" s="479" t="s">
        <v>1188</v>
      </c>
      <c r="B133" s="480" t="s">
        <v>567</v>
      </c>
      <c r="C133" s="480" t="s">
        <v>377</v>
      </c>
      <c r="D133" s="515"/>
      <c r="E133" s="268"/>
      <c r="F133" s="945">
        <v>921.30178999999998</v>
      </c>
      <c r="G133" s="673">
        <v>8959099</v>
      </c>
      <c r="H133" s="912">
        <v>227511</v>
      </c>
      <c r="I133" s="13"/>
    </row>
    <row r="134" spans="1:9" x14ac:dyDescent="0.35">
      <c r="A134" s="479" t="s">
        <v>1298</v>
      </c>
      <c r="B134" s="480" t="s">
        <v>567</v>
      </c>
      <c r="C134" s="480" t="s">
        <v>1025</v>
      </c>
      <c r="D134" s="738"/>
      <c r="E134" s="739"/>
      <c r="F134" s="945">
        <v>943.23755000000006</v>
      </c>
      <c r="G134" s="740">
        <v>3724689</v>
      </c>
      <c r="H134" s="912">
        <v>314833</v>
      </c>
      <c r="I134" s="13"/>
    </row>
    <row r="135" spans="1:9" x14ac:dyDescent="0.35">
      <c r="A135" s="572" t="s">
        <v>797</v>
      </c>
      <c r="B135" s="576" t="s">
        <v>568</v>
      </c>
      <c r="C135" s="576" t="s">
        <v>425</v>
      </c>
      <c r="D135" s="577" t="s">
        <v>756</v>
      </c>
      <c r="E135" s="578"/>
      <c r="F135" s="945">
        <v>1867.5268100000001</v>
      </c>
      <c r="G135" s="672">
        <v>9778477</v>
      </c>
      <c r="H135" s="912">
        <v>227512</v>
      </c>
      <c r="I135" s="13"/>
    </row>
    <row r="136" spans="1:9" x14ac:dyDescent="0.35">
      <c r="A136" s="263" t="s">
        <v>1071</v>
      </c>
      <c r="B136" s="264" t="s">
        <v>331</v>
      </c>
      <c r="C136" s="264" t="s">
        <v>321</v>
      </c>
      <c r="D136" s="513"/>
      <c r="E136" s="265"/>
      <c r="F136" s="945">
        <v>932.34378000000004</v>
      </c>
      <c r="G136" s="917">
        <v>8962303</v>
      </c>
      <c r="H136" s="912">
        <v>227514</v>
      </c>
      <c r="I136" s="13"/>
    </row>
    <row r="137" spans="1:9" x14ac:dyDescent="0.35">
      <c r="A137" s="266" t="s">
        <v>1130</v>
      </c>
      <c r="B137" s="267" t="s">
        <v>331</v>
      </c>
      <c r="C137" s="267" t="s">
        <v>322</v>
      </c>
      <c r="D137" s="514"/>
      <c r="E137" s="268"/>
      <c r="F137" s="945">
        <v>932.34378000000004</v>
      </c>
      <c r="G137" s="916">
        <v>8965119</v>
      </c>
      <c r="H137" s="912">
        <v>227513</v>
      </c>
      <c r="I137" s="13"/>
    </row>
    <row r="138" spans="1:9" x14ac:dyDescent="0.35">
      <c r="A138" s="479" t="s">
        <v>1189</v>
      </c>
      <c r="B138" s="480" t="s">
        <v>331</v>
      </c>
      <c r="C138" s="480" t="s">
        <v>377</v>
      </c>
      <c r="D138" s="515"/>
      <c r="E138" s="268"/>
      <c r="F138" s="945">
        <v>932.34378000000004</v>
      </c>
      <c r="G138" s="673">
        <v>8979438</v>
      </c>
      <c r="H138" s="912">
        <v>227515</v>
      </c>
      <c r="I138" s="13"/>
    </row>
    <row r="139" spans="1:9" x14ac:dyDescent="0.35">
      <c r="A139" s="479" t="s">
        <v>1299</v>
      </c>
      <c r="B139" s="480" t="s">
        <v>331</v>
      </c>
      <c r="C139" s="480" t="s">
        <v>1025</v>
      </c>
      <c r="D139" s="738"/>
      <c r="E139" s="739"/>
      <c r="F139" s="945">
        <v>954.54244000000006</v>
      </c>
      <c r="G139" s="740">
        <v>4733580</v>
      </c>
      <c r="H139" s="912">
        <v>314834</v>
      </c>
      <c r="I139" s="13"/>
    </row>
    <row r="140" spans="1:9" x14ac:dyDescent="0.35">
      <c r="A140" s="572" t="s">
        <v>798</v>
      </c>
      <c r="B140" s="576" t="s">
        <v>332</v>
      </c>
      <c r="C140" s="576" t="s">
        <v>425</v>
      </c>
      <c r="D140" s="577" t="s">
        <v>756</v>
      </c>
      <c r="E140" s="578"/>
      <c r="F140" s="945">
        <v>1902.8335300000001</v>
      </c>
      <c r="G140" s="672">
        <v>9782673</v>
      </c>
      <c r="H140" s="912">
        <v>227516</v>
      </c>
      <c r="I140" s="13"/>
    </row>
    <row r="141" spans="1:9" x14ac:dyDescent="0.35">
      <c r="A141" s="263" t="s">
        <v>1072</v>
      </c>
      <c r="B141" s="264" t="s">
        <v>569</v>
      </c>
      <c r="C141" s="264" t="s">
        <v>321</v>
      </c>
      <c r="D141" s="513"/>
      <c r="E141" s="265"/>
      <c r="F141" s="945">
        <v>1011.04004</v>
      </c>
      <c r="G141" s="917">
        <v>8987845</v>
      </c>
      <c r="H141" s="912">
        <v>227518</v>
      </c>
      <c r="I141" s="13"/>
    </row>
    <row r="142" spans="1:9" x14ac:dyDescent="0.35">
      <c r="A142" s="266" t="s">
        <v>1131</v>
      </c>
      <c r="B142" s="267" t="s">
        <v>569</v>
      </c>
      <c r="C142" s="267" t="s">
        <v>322</v>
      </c>
      <c r="D142" s="514"/>
      <c r="E142" s="268"/>
      <c r="F142" s="945">
        <v>1011.04004</v>
      </c>
      <c r="G142" s="916">
        <v>9045768</v>
      </c>
      <c r="H142" s="912">
        <v>227517</v>
      </c>
      <c r="I142" s="13"/>
    </row>
    <row r="143" spans="1:9" x14ac:dyDescent="0.35">
      <c r="A143" s="479" t="s">
        <v>1190</v>
      </c>
      <c r="B143" s="480" t="s">
        <v>569</v>
      </c>
      <c r="C143" s="480" t="s">
        <v>377</v>
      </c>
      <c r="D143" s="515"/>
      <c r="E143" s="268"/>
      <c r="F143" s="945">
        <v>1011.04004</v>
      </c>
      <c r="G143" s="673">
        <v>9054479</v>
      </c>
      <c r="H143" s="912">
        <v>227519</v>
      </c>
      <c r="I143" s="13"/>
    </row>
    <row r="144" spans="1:9" x14ac:dyDescent="0.35">
      <c r="A144" s="479" t="s">
        <v>1300</v>
      </c>
      <c r="B144" s="480" t="s">
        <v>569</v>
      </c>
      <c r="C144" s="480" t="s">
        <v>1025</v>
      </c>
      <c r="D144" s="738"/>
      <c r="E144" s="739"/>
      <c r="F144" s="945">
        <v>1011.04004</v>
      </c>
      <c r="G144" s="740">
        <v>8939566</v>
      </c>
      <c r="H144" s="912">
        <v>348942</v>
      </c>
      <c r="I144" s="13"/>
    </row>
    <row r="145" spans="1:9" x14ac:dyDescent="0.35">
      <c r="A145" s="572" t="s">
        <v>799</v>
      </c>
      <c r="B145" s="576" t="s">
        <v>688</v>
      </c>
      <c r="C145" s="576" t="s">
        <v>425</v>
      </c>
      <c r="D145" s="577" t="s">
        <v>756</v>
      </c>
      <c r="E145" s="578"/>
      <c r="F145" s="945">
        <v>2001.7128399999999</v>
      </c>
      <c r="G145" s="672">
        <v>9804991</v>
      </c>
      <c r="H145" s="912">
        <v>227520</v>
      </c>
      <c r="I145" s="13"/>
    </row>
    <row r="146" spans="1:9" x14ac:dyDescent="0.35">
      <c r="A146" s="263" t="s">
        <v>1073</v>
      </c>
      <c r="B146" s="264" t="s">
        <v>689</v>
      </c>
      <c r="C146" s="264" t="s">
        <v>321</v>
      </c>
      <c r="D146" s="513"/>
      <c r="E146" s="265"/>
      <c r="F146" s="945">
        <v>1127.97047</v>
      </c>
      <c r="G146" s="917">
        <v>9069622</v>
      </c>
      <c r="H146" s="912">
        <v>227522</v>
      </c>
      <c r="I146" s="13"/>
    </row>
    <row r="147" spans="1:9" x14ac:dyDescent="0.35">
      <c r="A147" s="266" t="s">
        <v>1132</v>
      </c>
      <c r="B147" s="267" t="s">
        <v>689</v>
      </c>
      <c r="C147" s="267" t="s">
        <v>322</v>
      </c>
      <c r="D147" s="514"/>
      <c r="E147" s="268"/>
      <c r="F147" s="945">
        <v>1127.97047</v>
      </c>
      <c r="G147" s="916">
        <v>9085908</v>
      </c>
      <c r="H147" s="912">
        <v>227521</v>
      </c>
      <c r="I147" s="13"/>
    </row>
    <row r="148" spans="1:9" x14ac:dyDescent="0.35">
      <c r="A148" s="479" t="s">
        <v>1191</v>
      </c>
      <c r="B148" s="480" t="s">
        <v>689</v>
      </c>
      <c r="C148" s="480" t="s">
        <v>377</v>
      </c>
      <c r="D148" s="515"/>
      <c r="E148" s="268"/>
      <c r="F148" s="945">
        <v>1127.97047</v>
      </c>
      <c r="G148" s="673">
        <v>9087007</v>
      </c>
      <c r="H148" s="912">
        <v>227523</v>
      </c>
      <c r="I148" s="13"/>
    </row>
    <row r="149" spans="1:9" x14ac:dyDescent="0.35">
      <c r="A149" s="479" t="s">
        <v>1301</v>
      </c>
      <c r="B149" s="480" t="s">
        <v>689</v>
      </c>
      <c r="C149" s="480" t="s">
        <v>1025</v>
      </c>
      <c r="D149" s="738"/>
      <c r="E149" s="739"/>
      <c r="F149" s="945">
        <v>1127.97047</v>
      </c>
      <c r="G149" s="740">
        <v>1588689</v>
      </c>
      <c r="H149" s="912">
        <v>348943</v>
      </c>
      <c r="I149" s="13"/>
    </row>
    <row r="150" spans="1:9" x14ac:dyDescent="0.35">
      <c r="A150" s="572" t="s">
        <v>800</v>
      </c>
      <c r="B150" s="576" t="s">
        <v>690</v>
      </c>
      <c r="C150" s="576" t="s">
        <v>425</v>
      </c>
      <c r="D150" s="577" t="s">
        <v>756</v>
      </c>
      <c r="E150" s="578"/>
      <c r="F150" s="945">
        <v>2232.56909</v>
      </c>
      <c r="G150" s="672">
        <v>9843329</v>
      </c>
      <c r="H150" s="912">
        <v>227524</v>
      </c>
      <c r="I150" s="13"/>
    </row>
    <row r="151" spans="1:9" x14ac:dyDescent="0.35">
      <c r="A151" s="263" t="s">
        <v>1074</v>
      </c>
      <c r="B151" s="264" t="s">
        <v>787</v>
      </c>
      <c r="C151" s="264" t="s">
        <v>321</v>
      </c>
      <c r="D151" s="513"/>
      <c r="E151" s="265"/>
      <c r="F151" s="945">
        <v>1167.5130999999999</v>
      </c>
      <c r="G151" s="917">
        <v>7790076</v>
      </c>
      <c r="H151" s="912">
        <v>256458</v>
      </c>
      <c r="I151" s="13"/>
    </row>
    <row r="152" spans="1:9" x14ac:dyDescent="0.35">
      <c r="A152" s="266" t="s">
        <v>1133</v>
      </c>
      <c r="B152" s="267" t="s">
        <v>787</v>
      </c>
      <c r="C152" s="267" t="s">
        <v>322</v>
      </c>
      <c r="D152" s="514"/>
      <c r="E152" s="268"/>
      <c r="F152" s="945">
        <v>1167.5130999999999</v>
      </c>
      <c r="G152" s="916">
        <v>9944409</v>
      </c>
      <c r="H152" s="912">
        <v>256457</v>
      </c>
      <c r="I152" s="13"/>
    </row>
    <row r="153" spans="1:9" x14ac:dyDescent="0.35">
      <c r="A153" s="479" t="s">
        <v>1192</v>
      </c>
      <c r="B153" s="480" t="s">
        <v>787</v>
      </c>
      <c r="C153" s="480" t="s">
        <v>377</v>
      </c>
      <c r="D153" s="515"/>
      <c r="E153" s="268"/>
      <c r="F153" s="945">
        <v>1167.5130999999999</v>
      </c>
      <c r="G153" s="673">
        <v>8859975</v>
      </c>
      <c r="H153" s="912">
        <v>256459</v>
      </c>
      <c r="I153" s="13"/>
    </row>
    <row r="154" spans="1:9" x14ac:dyDescent="0.35">
      <c r="A154" s="479" t="s">
        <v>1302</v>
      </c>
      <c r="B154" s="480" t="s">
        <v>787</v>
      </c>
      <c r="C154" s="480" t="s">
        <v>1025</v>
      </c>
      <c r="D154" s="738"/>
      <c r="E154" s="739"/>
      <c r="F154" s="945">
        <v>1167.5130999999999</v>
      </c>
      <c r="G154" s="740">
        <v>1578939</v>
      </c>
      <c r="H154" s="912">
        <v>348945</v>
      </c>
      <c r="I154" s="13"/>
    </row>
    <row r="155" spans="1:9" x14ac:dyDescent="0.35">
      <c r="A155" s="572" t="s">
        <v>801</v>
      </c>
      <c r="B155" s="576" t="s">
        <v>788</v>
      </c>
      <c r="C155" s="576" t="s">
        <v>425</v>
      </c>
      <c r="D155" s="577" t="s">
        <v>756</v>
      </c>
      <c r="E155" s="578"/>
      <c r="F155" s="945">
        <v>2359.65744</v>
      </c>
      <c r="G155" s="672">
        <v>5885172</v>
      </c>
      <c r="H155" s="912">
        <v>256460</v>
      </c>
      <c r="I155" s="13"/>
    </row>
    <row r="156" spans="1:9" x14ac:dyDescent="0.35">
      <c r="A156" s="263"/>
      <c r="B156" s="264"/>
      <c r="C156" s="264"/>
      <c r="D156" s="513"/>
      <c r="E156" s="265"/>
      <c r="F156" s="945"/>
      <c r="G156" s="915"/>
      <c r="H156" s="913"/>
      <c r="I156" s="13"/>
    </row>
    <row r="157" spans="1:9" x14ac:dyDescent="0.35">
      <c r="A157" s="266"/>
      <c r="B157" s="267"/>
      <c r="C157" s="267"/>
      <c r="D157" s="514"/>
      <c r="E157" s="268"/>
      <c r="F157" s="945"/>
      <c r="G157" s="742"/>
      <c r="H157" s="913"/>
      <c r="I157" s="13"/>
    </row>
    <row r="158" spans="1:9" x14ac:dyDescent="0.35">
      <c r="A158" s="428"/>
      <c r="B158" s="267"/>
      <c r="C158" s="267"/>
      <c r="D158" s="514"/>
      <c r="E158" s="268"/>
      <c r="F158" s="945"/>
      <c r="G158" s="742"/>
      <c r="H158" s="913"/>
      <c r="I158" s="13"/>
    </row>
    <row r="159" spans="1:9" x14ac:dyDescent="0.35">
      <c r="A159" s="479"/>
      <c r="B159" s="480"/>
      <c r="C159" s="480"/>
      <c r="D159" s="515"/>
      <c r="E159" s="268"/>
      <c r="F159" s="945"/>
      <c r="G159" s="481"/>
      <c r="H159" s="913"/>
      <c r="I159" s="13"/>
    </row>
    <row r="160" spans="1:9" x14ac:dyDescent="0.35">
      <c r="A160" s="492"/>
      <c r="B160" s="494"/>
      <c r="C160" s="494"/>
      <c r="D160" s="509"/>
      <c r="E160" s="495"/>
      <c r="F160" s="945"/>
      <c r="G160" s="496"/>
      <c r="H160" s="913"/>
      <c r="I160" s="13"/>
    </row>
    <row r="161" spans="1:9" x14ac:dyDescent="0.35">
      <c r="A161" s="263"/>
      <c r="B161" s="264"/>
      <c r="C161" s="264"/>
      <c r="D161" s="513"/>
      <c r="E161" s="265"/>
      <c r="F161" s="945"/>
      <c r="G161" s="915"/>
      <c r="H161" s="913"/>
      <c r="I161" s="13"/>
    </row>
    <row r="162" spans="1:9" x14ac:dyDescent="0.35">
      <c r="A162" s="266"/>
      <c r="B162" s="267"/>
      <c r="C162" s="267"/>
      <c r="D162" s="514"/>
      <c r="E162" s="268"/>
      <c r="F162" s="945"/>
      <c r="G162" s="742"/>
      <c r="H162" s="913"/>
      <c r="I162" s="13"/>
    </row>
    <row r="163" spans="1:9" x14ac:dyDescent="0.35">
      <c r="A163" s="428"/>
      <c r="B163" s="267"/>
      <c r="C163" s="267"/>
      <c r="D163" s="514"/>
      <c r="E163" s="268"/>
      <c r="F163" s="945"/>
      <c r="G163" s="742"/>
      <c r="H163" s="913"/>
      <c r="I163" s="13"/>
    </row>
    <row r="164" spans="1:9" x14ac:dyDescent="0.35">
      <c r="A164" s="479"/>
      <c r="B164" s="480"/>
      <c r="C164" s="480"/>
      <c r="D164" s="515"/>
      <c r="E164" s="268"/>
      <c r="F164" s="945"/>
      <c r="G164" s="481"/>
      <c r="H164" s="913"/>
      <c r="I164" s="13"/>
    </row>
    <row r="165" spans="1:9" x14ac:dyDescent="0.35">
      <c r="A165" s="270"/>
      <c r="B165" s="271"/>
      <c r="C165" s="271"/>
      <c r="D165" s="509"/>
      <c r="E165" s="272"/>
      <c r="F165" s="945"/>
      <c r="G165" s="273"/>
      <c r="H165" s="913"/>
      <c r="I165" s="13"/>
    </row>
    <row r="166" spans="1:9" x14ac:dyDescent="0.35">
      <c r="A166" s="263" t="s">
        <v>1075</v>
      </c>
      <c r="B166" s="264" t="s">
        <v>865</v>
      </c>
      <c r="C166" s="264" t="s">
        <v>321</v>
      </c>
      <c r="D166" s="513"/>
      <c r="E166" s="265"/>
      <c r="F166" s="945">
        <v>957.21118000000001</v>
      </c>
      <c r="G166" s="917">
        <v>3099055</v>
      </c>
      <c r="H166" s="912">
        <v>256471</v>
      </c>
      <c r="I166" s="13"/>
    </row>
    <row r="167" spans="1:9" x14ac:dyDescent="0.35">
      <c r="A167" s="266" t="s">
        <v>1134</v>
      </c>
      <c r="B167" s="267" t="s">
        <v>865</v>
      </c>
      <c r="C167" s="267" t="s">
        <v>322</v>
      </c>
      <c r="D167" s="514"/>
      <c r="E167" s="268"/>
      <c r="F167" s="945">
        <v>957.21118000000001</v>
      </c>
      <c r="G167" s="916">
        <v>3655321</v>
      </c>
      <c r="H167" s="912">
        <v>256470</v>
      </c>
      <c r="I167" s="13"/>
    </row>
    <row r="168" spans="1:9" x14ac:dyDescent="0.35">
      <c r="A168" s="479" t="s">
        <v>1193</v>
      </c>
      <c r="B168" s="480" t="s">
        <v>865</v>
      </c>
      <c r="C168" s="480" t="s">
        <v>377</v>
      </c>
      <c r="D168" s="515"/>
      <c r="E168" s="268"/>
      <c r="F168" s="945">
        <v>957.21118000000001</v>
      </c>
      <c r="G168" s="916">
        <v>3792680</v>
      </c>
      <c r="H168" s="912">
        <v>256472</v>
      </c>
      <c r="I168" s="13"/>
    </row>
    <row r="169" spans="1:9" x14ac:dyDescent="0.35">
      <c r="A169" s="479" t="s">
        <v>1303</v>
      </c>
      <c r="B169" s="480" t="s">
        <v>865</v>
      </c>
      <c r="C169" s="480" t="s">
        <v>1025</v>
      </c>
      <c r="D169" s="738"/>
      <c r="E169" s="739"/>
      <c r="F169" s="945">
        <v>957.21118000000001</v>
      </c>
      <c r="G169" s="743">
        <v>6877962</v>
      </c>
      <c r="H169" s="912">
        <v>348947</v>
      </c>
      <c r="I169" s="13"/>
    </row>
    <row r="170" spans="1:9" x14ac:dyDescent="0.35">
      <c r="A170" s="572" t="s">
        <v>802</v>
      </c>
      <c r="B170" s="576" t="s">
        <v>866</v>
      </c>
      <c r="C170" s="576" t="s">
        <v>425</v>
      </c>
      <c r="D170" s="577" t="s">
        <v>756</v>
      </c>
      <c r="E170" s="578"/>
      <c r="F170" s="945">
        <v>1811.01784</v>
      </c>
      <c r="G170" s="672">
        <v>3924789</v>
      </c>
      <c r="H170" s="912">
        <v>256473</v>
      </c>
      <c r="I170" s="13"/>
    </row>
    <row r="171" spans="1:9" x14ac:dyDescent="0.35">
      <c r="A171" s="263" t="s">
        <v>1076</v>
      </c>
      <c r="B171" s="264" t="s">
        <v>867</v>
      </c>
      <c r="C171" s="264" t="s">
        <v>321</v>
      </c>
      <c r="D171" s="513"/>
      <c r="E171" s="265"/>
      <c r="F171" s="945">
        <v>964.26940999999999</v>
      </c>
      <c r="G171" s="917">
        <v>4025444</v>
      </c>
      <c r="H171" s="912">
        <v>256475</v>
      </c>
      <c r="I171" s="13"/>
    </row>
    <row r="172" spans="1:9" x14ac:dyDescent="0.35">
      <c r="A172" s="266" t="s">
        <v>1135</v>
      </c>
      <c r="B172" s="267" t="s">
        <v>867</v>
      </c>
      <c r="C172" s="267" t="s">
        <v>322</v>
      </c>
      <c r="D172" s="514"/>
      <c r="E172" s="268"/>
      <c r="F172" s="945">
        <v>964.26940999999999</v>
      </c>
      <c r="G172" s="916">
        <v>4154009</v>
      </c>
      <c r="H172" s="912">
        <v>256474</v>
      </c>
      <c r="I172" s="13"/>
    </row>
    <row r="173" spans="1:9" x14ac:dyDescent="0.35">
      <c r="A173" s="479" t="s">
        <v>1194</v>
      </c>
      <c r="B173" s="480" t="s">
        <v>867</v>
      </c>
      <c r="C173" s="480" t="s">
        <v>377</v>
      </c>
      <c r="D173" s="515"/>
      <c r="E173" s="268"/>
      <c r="F173" s="945">
        <v>964.26940999999999</v>
      </c>
      <c r="G173" s="673">
        <v>4156714</v>
      </c>
      <c r="H173" s="912">
        <v>256476</v>
      </c>
      <c r="I173" s="13"/>
    </row>
    <row r="174" spans="1:9" x14ac:dyDescent="0.35">
      <c r="A174" s="479" t="s">
        <v>1304</v>
      </c>
      <c r="B174" s="480" t="s">
        <v>867</v>
      </c>
      <c r="C174" s="480" t="s">
        <v>1025</v>
      </c>
      <c r="D174" s="738"/>
      <c r="E174" s="739"/>
      <c r="F174" s="945">
        <v>964.26940999999999</v>
      </c>
      <c r="G174" s="740">
        <v>2040252</v>
      </c>
      <c r="H174" s="912">
        <v>348948</v>
      </c>
      <c r="I174" s="13"/>
    </row>
    <row r="175" spans="1:9" x14ac:dyDescent="0.35">
      <c r="A175" s="270" t="s">
        <v>803</v>
      </c>
      <c r="B175" s="271" t="s">
        <v>868</v>
      </c>
      <c r="C175" s="271" t="s">
        <v>425</v>
      </c>
      <c r="D175" s="509" t="s">
        <v>756</v>
      </c>
      <c r="E175" s="272"/>
      <c r="F175" s="945">
        <v>1835.7345399999999</v>
      </c>
      <c r="G175" s="675">
        <v>4182057</v>
      </c>
      <c r="H175" s="912">
        <v>256477</v>
      </c>
      <c r="I175" s="13"/>
    </row>
    <row r="176" spans="1:9" x14ac:dyDescent="0.35">
      <c r="A176" s="263" t="s">
        <v>1077</v>
      </c>
      <c r="B176" s="264" t="s">
        <v>869</v>
      </c>
      <c r="C176" s="264" t="s">
        <v>321</v>
      </c>
      <c r="D176" s="513"/>
      <c r="E176" s="265"/>
      <c r="F176" s="945">
        <v>971.33302000000003</v>
      </c>
      <c r="G176" s="917">
        <v>4205596</v>
      </c>
      <c r="H176" s="912">
        <v>256479</v>
      </c>
      <c r="I176" s="13"/>
    </row>
    <row r="177" spans="1:9" x14ac:dyDescent="0.35">
      <c r="A177" s="266" t="s">
        <v>1136</v>
      </c>
      <c r="B177" s="267" t="s">
        <v>869</v>
      </c>
      <c r="C177" s="267" t="s">
        <v>322</v>
      </c>
      <c r="D177" s="514"/>
      <c r="E177" s="268"/>
      <c r="F177" s="945">
        <v>971.33302000000003</v>
      </c>
      <c r="G177" s="916">
        <v>4274411</v>
      </c>
      <c r="H177" s="912">
        <v>256478</v>
      </c>
      <c r="I177" s="13"/>
    </row>
    <row r="178" spans="1:9" x14ac:dyDescent="0.35">
      <c r="A178" s="479" t="s">
        <v>1195</v>
      </c>
      <c r="B178" s="480" t="s">
        <v>869</v>
      </c>
      <c r="C178" s="480" t="s">
        <v>377</v>
      </c>
      <c r="D178" s="515"/>
      <c r="E178" s="268"/>
      <c r="F178" s="945">
        <v>971.33302000000003</v>
      </c>
      <c r="G178" s="673">
        <v>4883795</v>
      </c>
      <c r="H178" s="912">
        <v>256480</v>
      </c>
      <c r="I178" s="13"/>
    </row>
    <row r="179" spans="1:9" x14ac:dyDescent="0.35">
      <c r="A179" s="479" t="s">
        <v>1305</v>
      </c>
      <c r="B179" s="480" t="s">
        <v>869</v>
      </c>
      <c r="C179" s="480" t="s">
        <v>1025</v>
      </c>
      <c r="D179" s="738"/>
      <c r="E179" s="739"/>
      <c r="F179" s="945">
        <v>971.33302000000003</v>
      </c>
      <c r="G179" s="740">
        <v>6580371</v>
      </c>
      <c r="H179" s="912">
        <v>348950</v>
      </c>
      <c r="I179" s="13"/>
    </row>
    <row r="180" spans="1:9" x14ac:dyDescent="0.35">
      <c r="A180" s="270" t="s">
        <v>804</v>
      </c>
      <c r="B180" s="271" t="s">
        <v>870</v>
      </c>
      <c r="C180" s="271" t="s">
        <v>425</v>
      </c>
      <c r="D180" s="509" t="s">
        <v>756</v>
      </c>
      <c r="E180" s="272"/>
      <c r="F180" s="945">
        <v>1860.45182</v>
      </c>
      <c r="G180" s="675">
        <v>4964668</v>
      </c>
      <c r="H180" s="912">
        <v>256481</v>
      </c>
      <c r="I180" s="13"/>
    </row>
    <row r="181" spans="1:9" x14ac:dyDescent="0.35">
      <c r="A181" s="263" t="s">
        <v>1078</v>
      </c>
      <c r="B181" s="264" t="s">
        <v>871</v>
      </c>
      <c r="C181" s="264" t="s">
        <v>321</v>
      </c>
      <c r="D181" s="513"/>
      <c r="E181" s="265"/>
      <c r="F181" s="945">
        <v>978.39665000000002</v>
      </c>
      <c r="G181" s="917">
        <v>5095220</v>
      </c>
      <c r="H181" s="912">
        <v>256483</v>
      </c>
      <c r="I181" s="13"/>
    </row>
    <row r="182" spans="1:9" x14ac:dyDescent="0.35">
      <c r="A182" s="266" t="s">
        <v>1137</v>
      </c>
      <c r="B182" s="267" t="s">
        <v>871</v>
      </c>
      <c r="C182" s="267" t="s">
        <v>322</v>
      </c>
      <c r="D182" s="514"/>
      <c r="E182" s="268"/>
      <c r="F182" s="945">
        <v>978.39665000000002</v>
      </c>
      <c r="G182" s="916">
        <v>5222798</v>
      </c>
      <c r="H182" s="912">
        <v>256482</v>
      </c>
      <c r="I182" s="13"/>
    </row>
    <row r="183" spans="1:9" x14ac:dyDescent="0.35">
      <c r="A183" s="479" t="s">
        <v>1196</v>
      </c>
      <c r="B183" s="480" t="s">
        <v>871</v>
      </c>
      <c r="C183" s="480" t="s">
        <v>377</v>
      </c>
      <c r="D183" s="515"/>
      <c r="E183" s="268"/>
      <c r="F183" s="945">
        <v>978.39665000000002</v>
      </c>
      <c r="G183" s="673">
        <v>5286912</v>
      </c>
      <c r="H183" s="912">
        <v>256484</v>
      </c>
      <c r="I183" s="13"/>
    </row>
    <row r="184" spans="1:9" x14ac:dyDescent="0.35">
      <c r="A184" s="479" t="s">
        <v>1306</v>
      </c>
      <c r="B184" s="480" t="s">
        <v>871</v>
      </c>
      <c r="C184" s="480" t="s">
        <v>1025</v>
      </c>
      <c r="D184" s="738"/>
      <c r="E184" s="739"/>
      <c r="F184" s="945">
        <v>978.39665000000002</v>
      </c>
      <c r="G184" s="740">
        <v>5338349</v>
      </c>
      <c r="H184" s="912">
        <v>348951</v>
      </c>
      <c r="I184" s="13"/>
    </row>
    <row r="185" spans="1:9" x14ac:dyDescent="0.35">
      <c r="A185" s="270" t="s">
        <v>805</v>
      </c>
      <c r="B185" s="271" t="s">
        <v>872</v>
      </c>
      <c r="C185" s="271" t="s">
        <v>425</v>
      </c>
      <c r="D185" s="509" t="s">
        <v>756</v>
      </c>
      <c r="E185" s="272"/>
      <c r="F185" s="945">
        <v>1885.1685</v>
      </c>
      <c r="G185" s="675">
        <v>5605893</v>
      </c>
      <c r="H185" s="912">
        <v>256485</v>
      </c>
      <c r="I185" s="13"/>
    </row>
    <row r="186" spans="1:9" x14ac:dyDescent="0.35">
      <c r="A186" s="263" t="s">
        <v>1079</v>
      </c>
      <c r="B186" s="264" t="s">
        <v>873</v>
      </c>
      <c r="C186" s="264" t="s">
        <v>321</v>
      </c>
      <c r="D186" s="513"/>
      <c r="E186" s="265"/>
      <c r="F186" s="945">
        <v>1034.8882699999999</v>
      </c>
      <c r="G186" s="917">
        <v>7038294</v>
      </c>
      <c r="H186" s="912">
        <v>256486</v>
      </c>
      <c r="I186" s="13"/>
    </row>
    <row r="187" spans="1:9" x14ac:dyDescent="0.35">
      <c r="A187" s="266" t="s">
        <v>1138</v>
      </c>
      <c r="B187" s="267" t="s">
        <v>873</v>
      </c>
      <c r="C187" s="267" t="s">
        <v>322</v>
      </c>
      <c r="D187" s="514"/>
      <c r="E187" s="268"/>
      <c r="F187" s="945">
        <v>1034.8882699999999</v>
      </c>
      <c r="G187" s="916">
        <v>7222585</v>
      </c>
      <c r="H187" s="912">
        <v>256487</v>
      </c>
      <c r="I187" s="13"/>
    </row>
    <row r="188" spans="1:9" x14ac:dyDescent="0.35">
      <c r="A188" s="479" t="s">
        <v>1197</v>
      </c>
      <c r="B188" s="480" t="s">
        <v>873</v>
      </c>
      <c r="C188" s="480" t="s">
        <v>377</v>
      </c>
      <c r="D188" s="515"/>
      <c r="E188" s="268"/>
      <c r="F188" s="945">
        <v>1034.8882699999999</v>
      </c>
      <c r="G188" s="673">
        <v>7307946</v>
      </c>
      <c r="H188" s="912">
        <v>256488</v>
      </c>
      <c r="I188" s="13"/>
    </row>
    <row r="189" spans="1:9" x14ac:dyDescent="0.35">
      <c r="A189" s="479" t="s">
        <v>1307</v>
      </c>
      <c r="B189" s="480" t="s">
        <v>873</v>
      </c>
      <c r="C189" s="480" t="s">
        <v>1025</v>
      </c>
      <c r="D189" s="738"/>
      <c r="E189" s="739"/>
      <c r="F189" s="945">
        <v>1034.8882699999999</v>
      </c>
      <c r="G189" s="740">
        <v>5361734</v>
      </c>
      <c r="H189" s="912">
        <v>348952</v>
      </c>
      <c r="I189" s="13"/>
    </row>
    <row r="190" spans="1:9" x14ac:dyDescent="0.35">
      <c r="A190" s="270" t="s">
        <v>806</v>
      </c>
      <c r="B190" s="271" t="s">
        <v>875</v>
      </c>
      <c r="C190" s="271" t="s">
        <v>425</v>
      </c>
      <c r="D190" s="509" t="s">
        <v>756</v>
      </c>
      <c r="E190" s="272"/>
      <c r="F190" s="945">
        <v>1954.7144900000001</v>
      </c>
      <c r="G190" s="675">
        <v>7427442</v>
      </c>
      <c r="H190" s="912">
        <v>256489</v>
      </c>
      <c r="I190" s="13"/>
    </row>
    <row r="191" spans="1:9" x14ac:dyDescent="0.35">
      <c r="A191" s="263" t="s">
        <v>1080</v>
      </c>
      <c r="B191" s="264" t="s">
        <v>876</v>
      </c>
      <c r="C191" s="264" t="s">
        <v>321</v>
      </c>
      <c r="D191" s="513"/>
      <c r="E191" s="265"/>
      <c r="F191" s="945">
        <v>1123.16077</v>
      </c>
      <c r="G191" s="917">
        <v>8044415</v>
      </c>
      <c r="H191" s="912">
        <v>256491</v>
      </c>
      <c r="I191" s="13"/>
    </row>
    <row r="192" spans="1:9" x14ac:dyDescent="0.35">
      <c r="A192" s="266" t="s">
        <v>1139</v>
      </c>
      <c r="B192" s="267" t="s">
        <v>876</v>
      </c>
      <c r="C192" s="267" t="s">
        <v>322</v>
      </c>
      <c r="D192" s="514"/>
      <c r="E192" s="268"/>
      <c r="F192" s="945">
        <v>1123.16077</v>
      </c>
      <c r="G192" s="916">
        <v>8285646</v>
      </c>
      <c r="H192" s="912">
        <v>256490</v>
      </c>
      <c r="I192" s="13"/>
    </row>
    <row r="193" spans="1:9" x14ac:dyDescent="0.35">
      <c r="A193" s="479" t="s">
        <v>1198</v>
      </c>
      <c r="B193" s="480" t="s">
        <v>876</v>
      </c>
      <c r="C193" s="480" t="s">
        <v>377</v>
      </c>
      <c r="D193" s="515"/>
      <c r="E193" s="268"/>
      <c r="F193" s="945">
        <v>1123.16077</v>
      </c>
      <c r="G193" s="673">
        <v>8474809</v>
      </c>
      <c r="H193" s="912">
        <v>256492</v>
      </c>
      <c r="I193" s="13"/>
    </row>
    <row r="194" spans="1:9" x14ac:dyDescent="0.35">
      <c r="A194" s="479" t="s">
        <v>1308</v>
      </c>
      <c r="B194" s="480" t="s">
        <v>876</v>
      </c>
      <c r="C194" s="480" t="s">
        <v>1025</v>
      </c>
      <c r="D194" s="738"/>
      <c r="E194" s="739"/>
      <c r="F194" s="945">
        <v>1123.16077</v>
      </c>
      <c r="G194" s="740">
        <v>9803836</v>
      </c>
      <c r="H194" s="912">
        <v>348953</v>
      </c>
      <c r="I194" s="13"/>
    </row>
    <row r="195" spans="1:9" x14ac:dyDescent="0.35">
      <c r="A195" s="270" t="s">
        <v>807</v>
      </c>
      <c r="B195" s="271" t="s">
        <v>877</v>
      </c>
      <c r="C195" s="271" t="s">
        <v>425</v>
      </c>
      <c r="D195" s="509" t="s">
        <v>756</v>
      </c>
      <c r="E195" s="272"/>
      <c r="F195" s="945">
        <v>2106.2702899999999</v>
      </c>
      <c r="G195" s="675">
        <v>7634696</v>
      </c>
      <c r="H195" s="912">
        <v>256493</v>
      </c>
      <c r="I195" s="13"/>
    </row>
    <row r="196" spans="1:9" x14ac:dyDescent="0.35">
      <c r="A196" s="263" t="s">
        <v>1081</v>
      </c>
      <c r="B196" s="264" t="s">
        <v>878</v>
      </c>
      <c r="C196" s="264" t="s">
        <v>321</v>
      </c>
      <c r="D196" s="513"/>
      <c r="E196" s="265"/>
      <c r="F196" s="945">
        <v>1156.3666000000001</v>
      </c>
      <c r="G196" s="917">
        <v>9037386</v>
      </c>
      <c r="H196" s="912">
        <v>256495</v>
      </c>
      <c r="I196" s="13"/>
    </row>
    <row r="197" spans="1:9" x14ac:dyDescent="0.35">
      <c r="A197" s="266" t="s">
        <v>1140</v>
      </c>
      <c r="B197" s="267" t="s">
        <v>878</v>
      </c>
      <c r="C197" s="267" t="s">
        <v>322</v>
      </c>
      <c r="D197" s="514"/>
      <c r="E197" s="268"/>
      <c r="F197" s="945">
        <v>1156.3666000000001</v>
      </c>
      <c r="G197" s="916">
        <v>9076042</v>
      </c>
      <c r="H197" s="912">
        <v>256494</v>
      </c>
      <c r="I197" s="13"/>
    </row>
    <row r="198" spans="1:9" x14ac:dyDescent="0.35">
      <c r="A198" s="479" t="s">
        <v>1199</v>
      </c>
      <c r="B198" s="480" t="s">
        <v>878</v>
      </c>
      <c r="C198" s="480" t="s">
        <v>377</v>
      </c>
      <c r="D198" s="515"/>
      <c r="E198" s="268"/>
      <c r="F198" s="945">
        <v>1156.3666000000001</v>
      </c>
      <c r="G198" s="673">
        <v>9166830</v>
      </c>
      <c r="H198" s="912">
        <v>256496</v>
      </c>
      <c r="I198" s="13"/>
    </row>
    <row r="199" spans="1:9" x14ac:dyDescent="0.35">
      <c r="A199" s="479" t="s">
        <v>1309</v>
      </c>
      <c r="B199" s="480" t="s">
        <v>878</v>
      </c>
      <c r="C199" s="480" t="s">
        <v>1025</v>
      </c>
      <c r="D199" s="738"/>
      <c r="E199" s="739"/>
      <c r="F199" s="945">
        <v>1156.3666000000001</v>
      </c>
      <c r="G199" s="740">
        <v>7173671</v>
      </c>
      <c r="H199" s="912">
        <v>348954</v>
      </c>
      <c r="I199" s="13"/>
    </row>
    <row r="200" spans="1:9" x14ac:dyDescent="0.35">
      <c r="A200" s="270" t="s">
        <v>808</v>
      </c>
      <c r="B200" s="271" t="s">
        <v>874</v>
      </c>
      <c r="C200" s="271" t="s">
        <v>425</v>
      </c>
      <c r="D200" s="509" t="s">
        <v>756</v>
      </c>
      <c r="E200" s="272"/>
      <c r="F200" s="945">
        <v>2185.2420000000002</v>
      </c>
      <c r="G200" s="675">
        <v>9760720</v>
      </c>
      <c r="H200" s="912">
        <v>256497</v>
      </c>
      <c r="I200" s="13"/>
    </row>
    <row r="201" spans="1:9" x14ac:dyDescent="0.35">
      <c r="A201" s="263" t="s">
        <v>1082</v>
      </c>
      <c r="B201" s="264" t="s">
        <v>1032</v>
      </c>
      <c r="C201" s="264" t="s">
        <v>321</v>
      </c>
      <c r="D201" s="513"/>
      <c r="E201" s="265"/>
      <c r="F201" s="945">
        <v>1559.0609999999999</v>
      </c>
      <c r="G201" s="917">
        <v>8372952</v>
      </c>
      <c r="H201" s="912">
        <v>336685</v>
      </c>
      <c r="I201" s="13"/>
    </row>
    <row r="202" spans="1:9" x14ac:dyDescent="0.35">
      <c r="A202" s="266" t="s">
        <v>1141</v>
      </c>
      <c r="B202" s="267" t="s">
        <v>1032</v>
      </c>
      <c r="C202" s="267" t="s">
        <v>322</v>
      </c>
      <c r="D202" s="514"/>
      <c r="E202" s="268"/>
      <c r="F202" s="945">
        <v>1559.0609999999999</v>
      </c>
      <c r="G202" s="916">
        <v>7375979</v>
      </c>
      <c r="H202" s="912">
        <v>336683</v>
      </c>
      <c r="I202" s="13"/>
    </row>
    <row r="203" spans="1:9" x14ac:dyDescent="0.35">
      <c r="A203" s="266" t="s">
        <v>1200</v>
      </c>
      <c r="B203" s="267" t="s">
        <v>1032</v>
      </c>
      <c r="C203" s="267" t="s">
        <v>377</v>
      </c>
      <c r="D203" s="514"/>
      <c r="E203" s="268"/>
      <c r="F203" s="945">
        <v>1559.0609999999999</v>
      </c>
      <c r="G203" s="916">
        <v>3083634</v>
      </c>
      <c r="H203" s="912">
        <v>336687</v>
      </c>
      <c r="I203" s="13"/>
    </row>
    <row r="204" spans="1:9" x14ac:dyDescent="0.35">
      <c r="A204" s="266" t="s">
        <v>1310</v>
      </c>
      <c r="B204" s="267" t="s">
        <v>1032</v>
      </c>
      <c r="C204" s="480" t="s">
        <v>1025</v>
      </c>
      <c r="D204" s="744"/>
      <c r="E204" s="739"/>
      <c r="F204" s="945">
        <v>1559.0609999999999</v>
      </c>
      <c r="G204" s="916">
        <v>7003442</v>
      </c>
      <c r="H204" s="912">
        <v>336682</v>
      </c>
      <c r="I204" s="13"/>
    </row>
    <row r="205" spans="1:9" x14ac:dyDescent="0.35">
      <c r="A205" s="270" t="s">
        <v>1031</v>
      </c>
      <c r="B205" s="271" t="s">
        <v>1033</v>
      </c>
      <c r="C205" s="271" t="s">
        <v>425</v>
      </c>
      <c r="D205" s="509" t="s">
        <v>756</v>
      </c>
      <c r="E205" s="272"/>
      <c r="F205" s="945">
        <v>2612.2896900000001</v>
      </c>
      <c r="G205" s="675">
        <v>2465292</v>
      </c>
      <c r="H205" s="912">
        <v>336681</v>
      </c>
      <c r="I205" s="13"/>
    </row>
    <row r="206" spans="1:9" x14ac:dyDescent="0.35">
      <c r="A206" s="263" t="s">
        <v>1083</v>
      </c>
      <c r="B206" s="264" t="s">
        <v>573</v>
      </c>
      <c r="C206" s="264" t="s">
        <v>321</v>
      </c>
      <c r="D206" s="513"/>
      <c r="E206" s="265"/>
      <c r="F206" s="945">
        <v>1572.79675</v>
      </c>
      <c r="G206" s="917">
        <v>9096837</v>
      </c>
      <c r="H206" s="912">
        <v>227526</v>
      </c>
      <c r="I206" s="13"/>
    </row>
    <row r="207" spans="1:9" x14ac:dyDescent="0.35">
      <c r="A207" s="266" t="s">
        <v>1142</v>
      </c>
      <c r="B207" s="267" t="s">
        <v>573</v>
      </c>
      <c r="C207" s="267" t="s">
        <v>322</v>
      </c>
      <c r="D207" s="514"/>
      <c r="E207" s="268"/>
      <c r="F207" s="945">
        <v>1572.79675</v>
      </c>
      <c r="G207" s="916">
        <v>9100975</v>
      </c>
      <c r="H207" s="912">
        <v>227525</v>
      </c>
      <c r="I207" s="13"/>
    </row>
    <row r="208" spans="1:9" x14ac:dyDescent="0.35">
      <c r="A208" s="266" t="s">
        <v>1201</v>
      </c>
      <c r="B208" s="267" t="s">
        <v>573</v>
      </c>
      <c r="C208" s="267" t="s">
        <v>377</v>
      </c>
      <c r="D208" s="514"/>
      <c r="E208" s="268"/>
      <c r="F208" s="945">
        <v>1572.79675</v>
      </c>
      <c r="G208" s="916">
        <v>9123035</v>
      </c>
      <c r="H208" s="912">
        <v>227527</v>
      </c>
      <c r="I208" s="13"/>
    </row>
    <row r="209" spans="1:9" x14ac:dyDescent="0.35">
      <c r="A209" s="266" t="s">
        <v>1311</v>
      </c>
      <c r="B209" s="267" t="s">
        <v>573</v>
      </c>
      <c r="C209" s="480" t="s">
        <v>1025</v>
      </c>
      <c r="D209" s="744"/>
      <c r="E209" s="739"/>
      <c r="F209" s="945">
        <v>1572.79675</v>
      </c>
      <c r="G209" s="916">
        <v>1507351</v>
      </c>
      <c r="H209" s="912">
        <v>348958</v>
      </c>
      <c r="I209" s="13"/>
    </row>
    <row r="210" spans="1:9" x14ac:dyDescent="0.35">
      <c r="A210" s="270" t="s">
        <v>570</v>
      </c>
      <c r="B210" s="271" t="s">
        <v>574</v>
      </c>
      <c r="C210" s="271" t="s">
        <v>425</v>
      </c>
      <c r="D210" s="509" t="s">
        <v>756</v>
      </c>
      <c r="E210" s="272"/>
      <c r="F210" s="945">
        <v>2653.5190400000001</v>
      </c>
      <c r="G210" s="675">
        <v>1201651</v>
      </c>
      <c r="H210" s="912">
        <v>227528</v>
      </c>
      <c r="I210" s="13"/>
    </row>
    <row r="211" spans="1:9" x14ac:dyDescent="0.35">
      <c r="A211" s="263" t="s">
        <v>1084</v>
      </c>
      <c r="B211" s="264" t="s">
        <v>334</v>
      </c>
      <c r="C211" s="264" t="s">
        <v>321</v>
      </c>
      <c r="D211" s="513"/>
      <c r="E211" s="265"/>
      <c r="F211" s="945">
        <v>1586.5378700000001</v>
      </c>
      <c r="G211" s="917">
        <v>9153879</v>
      </c>
      <c r="H211" s="912">
        <v>227530</v>
      </c>
      <c r="I211" s="13"/>
    </row>
    <row r="212" spans="1:9" x14ac:dyDescent="0.35">
      <c r="A212" s="266" t="s">
        <v>1143</v>
      </c>
      <c r="B212" s="267" t="s">
        <v>334</v>
      </c>
      <c r="C212" s="267" t="s">
        <v>322</v>
      </c>
      <c r="D212" s="514"/>
      <c r="E212" s="268"/>
      <c r="F212" s="945">
        <v>1586.5378700000001</v>
      </c>
      <c r="G212" s="916">
        <v>9160529</v>
      </c>
      <c r="H212" s="912">
        <v>227529</v>
      </c>
      <c r="I212" s="13"/>
    </row>
    <row r="213" spans="1:9" x14ac:dyDescent="0.35">
      <c r="A213" s="266" t="s">
        <v>1202</v>
      </c>
      <c r="B213" s="267" t="s">
        <v>334</v>
      </c>
      <c r="C213" s="267" t="s">
        <v>377</v>
      </c>
      <c r="D213" s="514"/>
      <c r="E213" s="268"/>
      <c r="F213" s="945">
        <v>1586.5378700000001</v>
      </c>
      <c r="G213" s="916">
        <v>9177721</v>
      </c>
      <c r="H213" s="912">
        <v>227531</v>
      </c>
      <c r="I213" s="13"/>
    </row>
    <row r="214" spans="1:9" x14ac:dyDescent="0.35">
      <c r="A214" s="266" t="s">
        <v>1312</v>
      </c>
      <c r="B214" s="267" t="s">
        <v>334</v>
      </c>
      <c r="C214" s="480" t="s">
        <v>1025</v>
      </c>
      <c r="D214" s="744"/>
      <c r="E214" s="739"/>
      <c r="F214" s="945">
        <v>1648.36157</v>
      </c>
      <c r="G214" s="916">
        <v>7767436</v>
      </c>
      <c r="H214" s="912">
        <v>346632</v>
      </c>
      <c r="I214" s="13"/>
    </row>
    <row r="215" spans="1:9" x14ac:dyDescent="0.35">
      <c r="A215" s="270" t="s">
        <v>333</v>
      </c>
      <c r="B215" s="271" t="s">
        <v>335</v>
      </c>
      <c r="C215" s="271" t="s">
        <v>425</v>
      </c>
      <c r="D215" s="509" t="s">
        <v>756</v>
      </c>
      <c r="E215" s="272"/>
      <c r="F215" s="945">
        <v>2694.7477800000001</v>
      </c>
      <c r="G215" s="675">
        <v>1241241</v>
      </c>
      <c r="H215" s="912">
        <v>227532</v>
      </c>
      <c r="I215" s="13"/>
    </row>
    <row r="216" spans="1:9" x14ac:dyDescent="0.35">
      <c r="A216" s="263" t="s">
        <v>1085</v>
      </c>
      <c r="B216" s="264" t="s">
        <v>575</v>
      </c>
      <c r="C216" s="264" t="s">
        <v>321</v>
      </c>
      <c r="D216" s="513"/>
      <c r="E216" s="265"/>
      <c r="F216" s="945">
        <v>1648.36157</v>
      </c>
      <c r="G216" s="917">
        <v>9249100</v>
      </c>
      <c r="H216" s="912">
        <v>227534</v>
      </c>
      <c r="I216" s="13"/>
    </row>
    <row r="217" spans="1:9" x14ac:dyDescent="0.35">
      <c r="A217" s="266" t="s">
        <v>1144</v>
      </c>
      <c r="B217" s="267" t="s">
        <v>575</v>
      </c>
      <c r="C217" s="267" t="s">
        <v>322</v>
      </c>
      <c r="D217" s="514"/>
      <c r="E217" s="268"/>
      <c r="F217" s="945">
        <v>1648.36157</v>
      </c>
      <c r="G217" s="916">
        <v>9253160</v>
      </c>
      <c r="H217" s="912">
        <v>227533</v>
      </c>
      <c r="I217" s="13"/>
    </row>
    <row r="218" spans="1:9" x14ac:dyDescent="0.35">
      <c r="A218" s="266" t="s">
        <v>1203</v>
      </c>
      <c r="B218" s="267" t="s">
        <v>575</v>
      </c>
      <c r="C218" s="267" t="s">
        <v>377</v>
      </c>
      <c r="D218" s="514"/>
      <c r="E218" s="268"/>
      <c r="F218" s="945">
        <v>1648.36157</v>
      </c>
      <c r="G218" s="916">
        <v>9258019</v>
      </c>
      <c r="H218" s="912">
        <v>227535</v>
      </c>
      <c r="I218" s="13"/>
    </row>
    <row r="219" spans="1:9" x14ac:dyDescent="0.35">
      <c r="A219" s="266" t="s">
        <v>1313</v>
      </c>
      <c r="B219" s="267" t="s">
        <v>575</v>
      </c>
      <c r="C219" s="480" t="s">
        <v>1025</v>
      </c>
      <c r="D219" s="744"/>
      <c r="E219" s="739"/>
      <c r="F219" s="945">
        <v>1648.36157</v>
      </c>
      <c r="G219" s="743">
        <v>1591701</v>
      </c>
      <c r="H219" s="912">
        <v>346631</v>
      </c>
      <c r="I219" s="13"/>
    </row>
    <row r="220" spans="1:9" x14ac:dyDescent="0.35">
      <c r="A220" s="270" t="s">
        <v>571</v>
      </c>
      <c r="B220" s="271" t="s">
        <v>682</v>
      </c>
      <c r="C220" s="271" t="s">
        <v>425</v>
      </c>
      <c r="D220" s="509" t="s">
        <v>756</v>
      </c>
      <c r="E220" s="272"/>
      <c r="F220" s="945">
        <v>2797.8062</v>
      </c>
      <c r="G220" s="675">
        <v>1335726</v>
      </c>
      <c r="H220" s="912">
        <v>227536</v>
      </c>
      <c r="I220" s="13"/>
    </row>
    <row r="221" spans="1:9" x14ac:dyDescent="0.35">
      <c r="A221" s="263" t="s">
        <v>1086</v>
      </c>
      <c r="B221" s="264" t="s">
        <v>683</v>
      </c>
      <c r="C221" s="264" t="s">
        <v>321</v>
      </c>
      <c r="D221" s="513"/>
      <c r="E221" s="265"/>
      <c r="F221" s="945">
        <v>1792.6206400000001</v>
      </c>
      <c r="G221" s="917">
        <v>9299751</v>
      </c>
      <c r="H221" s="912">
        <v>227538</v>
      </c>
      <c r="I221" s="13"/>
    </row>
    <row r="222" spans="1:9" x14ac:dyDescent="0.35">
      <c r="A222" s="266" t="s">
        <v>1145</v>
      </c>
      <c r="B222" s="267" t="s">
        <v>683</v>
      </c>
      <c r="C222" s="267" t="s">
        <v>322</v>
      </c>
      <c r="D222" s="514"/>
      <c r="E222" s="268"/>
      <c r="F222" s="945">
        <v>1792.6206400000001</v>
      </c>
      <c r="G222" s="916">
        <v>9310682</v>
      </c>
      <c r="H222" s="912">
        <v>227537</v>
      </c>
      <c r="I222" s="13"/>
    </row>
    <row r="223" spans="1:9" x14ac:dyDescent="0.35">
      <c r="A223" s="266" t="s">
        <v>1204</v>
      </c>
      <c r="B223" s="267" t="s">
        <v>683</v>
      </c>
      <c r="C223" s="267" t="s">
        <v>377</v>
      </c>
      <c r="D223" s="514"/>
      <c r="E223" s="268"/>
      <c r="F223" s="945">
        <v>1792.6206400000001</v>
      </c>
      <c r="G223" s="916">
        <v>9313559</v>
      </c>
      <c r="H223" s="912">
        <v>227539</v>
      </c>
      <c r="I223" s="13"/>
    </row>
    <row r="224" spans="1:9" x14ac:dyDescent="0.35">
      <c r="A224" s="266" t="s">
        <v>1314</v>
      </c>
      <c r="B224" s="267" t="s">
        <v>683</v>
      </c>
      <c r="C224" s="480" t="s">
        <v>1025</v>
      </c>
      <c r="D224" s="744"/>
      <c r="E224" s="739"/>
      <c r="F224" s="945">
        <v>1792.6206400000001</v>
      </c>
      <c r="G224" s="743">
        <v>9889359</v>
      </c>
      <c r="H224" s="912">
        <v>348959</v>
      </c>
      <c r="I224" s="13"/>
    </row>
    <row r="225" spans="1:9" x14ac:dyDescent="0.35">
      <c r="A225" s="270" t="s">
        <v>572</v>
      </c>
      <c r="B225" s="271" t="s">
        <v>684</v>
      </c>
      <c r="C225" s="271" t="s">
        <v>425</v>
      </c>
      <c r="D225" s="509" t="s">
        <v>756</v>
      </c>
      <c r="E225" s="272"/>
      <c r="F225" s="945">
        <v>3106.9193100000002</v>
      </c>
      <c r="G225" s="675">
        <v>1351203</v>
      </c>
      <c r="H225" s="912">
        <v>227540</v>
      </c>
      <c r="I225" s="13"/>
    </row>
    <row r="226" spans="1:9" x14ac:dyDescent="0.35">
      <c r="A226" s="263" t="s">
        <v>1087</v>
      </c>
      <c r="B226" s="264" t="s">
        <v>785</v>
      </c>
      <c r="C226" s="264" t="s">
        <v>321</v>
      </c>
      <c r="D226" s="513"/>
      <c r="E226" s="265"/>
      <c r="F226" s="945">
        <v>1842.0827200000001</v>
      </c>
      <c r="G226" s="917">
        <v>1876579</v>
      </c>
      <c r="H226" s="912">
        <v>256462</v>
      </c>
      <c r="I226" s="13"/>
    </row>
    <row r="227" spans="1:9" x14ac:dyDescent="0.35">
      <c r="A227" s="266" t="s">
        <v>1146</v>
      </c>
      <c r="B227" s="267" t="s">
        <v>785</v>
      </c>
      <c r="C227" s="267" t="s">
        <v>322</v>
      </c>
      <c r="D227" s="514"/>
      <c r="E227" s="268"/>
      <c r="F227" s="945">
        <v>1842.0827200000001</v>
      </c>
      <c r="G227" s="916">
        <v>4138347</v>
      </c>
      <c r="H227" s="912">
        <v>256461</v>
      </c>
      <c r="I227" s="13"/>
    </row>
    <row r="228" spans="1:9" x14ac:dyDescent="0.35">
      <c r="A228" s="266" t="s">
        <v>1205</v>
      </c>
      <c r="B228" s="267" t="s">
        <v>785</v>
      </c>
      <c r="C228" s="267" t="s">
        <v>377</v>
      </c>
      <c r="D228" s="514"/>
      <c r="E228" s="268"/>
      <c r="F228" s="945">
        <v>1842.0827200000001</v>
      </c>
      <c r="G228" s="916">
        <v>6910399</v>
      </c>
      <c r="H228" s="912">
        <v>256463</v>
      </c>
      <c r="I228" s="13"/>
    </row>
    <row r="229" spans="1:9" x14ac:dyDescent="0.35">
      <c r="A229" s="266" t="s">
        <v>1315</v>
      </c>
      <c r="B229" s="267" t="s">
        <v>785</v>
      </c>
      <c r="C229" s="267" t="s">
        <v>1025</v>
      </c>
      <c r="D229" s="514"/>
      <c r="E229" s="268"/>
      <c r="F229" s="945">
        <v>1842.0827200000001</v>
      </c>
      <c r="G229" s="916">
        <v>3919936</v>
      </c>
      <c r="H229" s="912">
        <v>348960</v>
      </c>
      <c r="I229" s="13"/>
    </row>
    <row r="230" spans="1:9" x14ac:dyDescent="0.35">
      <c r="A230" s="270" t="s">
        <v>784</v>
      </c>
      <c r="B230" s="271" t="s">
        <v>786</v>
      </c>
      <c r="C230" s="271" t="s">
        <v>425</v>
      </c>
      <c r="D230" s="509" t="s">
        <v>756</v>
      </c>
      <c r="E230" s="272"/>
      <c r="F230" s="945">
        <v>3264.9195199999999</v>
      </c>
      <c r="G230" s="675">
        <v>3797708</v>
      </c>
      <c r="H230" s="912">
        <v>256464</v>
      </c>
      <c r="I230" s="13"/>
    </row>
    <row r="231" spans="1:9" x14ac:dyDescent="0.35">
      <c r="A231" s="33"/>
      <c r="B231" s="34"/>
      <c r="C231" s="34"/>
      <c r="D231" s="517"/>
      <c r="E231" s="32"/>
      <c r="F231" s="945"/>
      <c r="G231" s="914"/>
      <c r="H231" s="913"/>
      <c r="I231" s="13"/>
    </row>
    <row r="232" spans="1:9" x14ac:dyDescent="0.35">
      <c r="A232" s="561" t="s">
        <v>811</v>
      </c>
      <c r="B232" s="562" t="s">
        <v>818</v>
      </c>
      <c r="C232" s="562" t="s">
        <v>447</v>
      </c>
      <c r="D232" s="563"/>
      <c r="E232" s="32"/>
      <c r="F232" s="945">
        <v>625.33465999999999</v>
      </c>
      <c r="G232" s="911">
        <v>6061082</v>
      </c>
      <c r="H232" s="912">
        <v>256611</v>
      </c>
      <c r="I232" s="13"/>
    </row>
    <row r="233" spans="1:9" x14ac:dyDescent="0.35">
      <c r="A233" s="561" t="s">
        <v>812</v>
      </c>
      <c r="B233" s="562" t="s">
        <v>819</v>
      </c>
      <c r="C233" s="562" t="s">
        <v>447</v>
      </c>
      <c r="D233" s="563"/>
      <c r="E233" s="32"/>
      <c r="F233" s="945">
        <v>660.74360999999999</v>
      </c>
      <c r="G233" s="911">
        <v>3508415</v>
      </c>
      <c r="H233" s="912">
        <v>257252</v>
      </c>
      <c r="I233" s="13"/>
    </row>
    <row r="234" spans="1:9" x14ac:dyDescent="0.35">
      <c r="A234" s="561" t="s">
        <v>813</v>
      </c>
      <c r="B234" s="562" t="s">
        <v>863</v>
      </c>
      <c r="C234" s="562" t="s">
        <v>447</v>
      </c>
      <c r="D234" s="563"/>
      <c r="E234" s="32"/>
      <c r="F234" s="945">
        <v>696.15254000000004</v>
      </c>
      <c r="G234" s="911">
        <v>1507620</v>
      </c>
      <c r="H234" s="912">
        <v>257253</v>
      </c>
      <c r="I234" s="13"/>
    </row>
    <row r="235" spans="1:9" x14ac:dyDescent="0.35">
      <c r="A235" s="561" t="s">
        <v>814</v>
      </c>
      <c r="B235" s="562" t="s">
        <v>864</v>
      </c>
      <c r="C235" s="562" t="s">
        <v>447</v>
      </c>
      <c r="D235" s="563"/>
      <c r="E235" s="32"/>
      <c r="F235" s="945">
        <v>731.56149000000005</v>
      </c>
      <c r="G235" s="911">
        <v>3863908</v>
      </c>
      <c r="H235" s="912">
        <v>257254</v>
      </c>
      <c r="I235" s="13"/>
    </row>
    <row r="236" spans="1:9" x14ac:dyDescent="0.35">
      <c r="A236" s="561" t="s">
        <v>815</v>
      </c>
      <c r="B236" s="562" t="s">
        <v>820</v>
      </c>
      <c r="C236" s="562" t="s">
        <v>447</v>
      </c>
      <c r="D236" s="563"/>
      <c r="E236" s="32"/>
      <c r="F236" s="945">
        <v>802.35667000000001</v>
      </c>
      <c r="G236" s="911">
        <v>3232216</v>
      </c>
      <c r="H236" s="912">
        <v>257255</v>
      </c>
      <c r="I236" s="13"/>
    </row>
    <row r="237" spans="1:9" x14ac:dyDescent="0.35">
      <c r="A237" s="561" t="s">
        <v>816</v>
      </c>
      <c r="B237" s="562" t="s">
        <v>821</v>
      </c>
      <c r="C237" s="562" t="s">
        <v>447</v>
      </c>
      <c r="D237" s="563"/>
      <c r="E237" s="32"/>
      <c r="F237" s="945">
        <v>873.15183000000002</v>
      </c>
      <c r="G237" s="911">
        <v>4637982</v>
      </c>
      <c r="H237" s="912">
        <v>257256</v>
      </c>
      <c r="I237" s="13"/>
    </row>
    <row r="238" spans="1:9" x14ac:dyDescent="0.35">
      <c r="A238" s="561" t="s">
        <v>817</v>
      </c>
      <c r="B238" s="562" t="s">
        <v>822</v>
      </c>
      <c r="C238" s="562" t="s">
        <v>447</v>
      </c>
      <c r="D238" s="563"/>
      <c r="E238" s="32"/>
      <c r="F238" s="945">
        <v>943.94700999999998</v>
      </c>
      <c r="G238" s="911">
        <v>5250952</v>
      </c>
      <c r="H238" s="912">
        <v>257258</v>
      </c>
      <c r="I238" s="13"/>
    </row>
    <row r="239" spans="1:9" x14ac:dyDescent="0.35">
      <c r="A239" s="33"/>
      <c r="B239" s="34"/>
      <c r="C239" s="34"/>
      <c r="D239" s="517"/>
      <c r="E239" s="32"/>
      <c r="F239" s="945"/>
      <c r="G239" s="914"/>
      <c r="H239" s="913"/>
      <c r="I239" s="13"/>
    </row>
    <row r="240" spans="1:9" x14ac:dyDescent="0.35">
      <c r="A240" s="38" t="s">
        <v>1342</v>
      </c>
      <c r="B240" s="34"/>
      <c r="C240" s="34"/>
      <c r="D240" s="517"/>
      <c r="E240" s="32"/>
      <c r="F240" s="945"/>
      <c r="G240" s="914"/>
      <c r="H240" s="913"/>
      <c r="I240" s="13"/>
    </row>
    <row r="241" spans="1:9" x14ac:dyDescent="0.35">
      <c r="A241" s="37" t="s">
        <v>1343</v>
      </c>
      <c r="B241" s="794" t="s">
        <v>1356</v>
      </c>
      <c r="C241" s="31" t="s">
        <v>227</v>
      </c>
      <c r="D241" s="516"/>
      <c r="E241" s="32"/>
      <c r="F241" s="945">
        <v>695.93677000000002</v>
      </c>
      <c r="G241" s="920">
        <v>2375622</v>
      </c>
      <c r="H241" s="912">
        <v>349902</v>
      </c>
      <c r="I241" s="13"/>
    </row>
    <row r="242" spans="1:9" x14ac:dyDescent="0.35">
      <c r="A242" s="37" t="s">
        <v>1344</v>
      </c>
      <c r="B242" s="794" t="s">
        <v>1357</v>
      </c>
      <c r="C242" s="31" t="s">
        <v>227</v>
      </c>
      <c r="D242" s="516"/>
      <c r="E242" s="32"/>
      <c r="F242" s="945">
        <v>695.93677000000002</v>
      </c>
      <c r="G242" s="920">
        <v>3551699</v>
      </c>
      <c r="H242" s="912">
        <v>349903</v>
      </c>
      <c r="I242" s="13"/>
    </row>
    <row r="243" spans="1:9" x14ac:dyDescent="0.35">
      <c r="A243" s="37" t="s">
        <v>1345</v>
      </c>
      <c r="B243" s="794" t="s">
        <v>1358</v>
      </c>
      <c r="C243" s="31" t="s">
        <v>227</v>
      </c>
      <c r="D243" s="516"/>
      <c r="E243" s="32"/>
      <c r="F243" s="945">
        <v>695.93677000000002</v>
      </c>
      <c r="G243" s="920">
        <v>3572710</v>
      </c>
      <c r="H243" s="912">
        <v>349904</v>
      </c>
      <c r="I243" s="13"/>
    </row>
    <row r="244" spans="1:9" x14ac:dyDescent="0.35">
      <c r="A244" s="37" t="s">
        <v>1346</v>
      </c>
      <c r="B244" s="794" t="s">
        <v>1359</v>
      </c>
      <c r="C244" s="31" t="s">
        <v>227</v>
      </c>
      <c r="D244" s="516"/>
      <c r="E244" s="32"/>
      <c r="F244" s="945">
        <v>704.8</v>
      </c>
      <c r="G244" s="920">
        <v>4584771</v>
      </c>
      <c r="H244" s="912">
        <v>349905</v>
      </c>
      <c r="I244" s="13"/>
    </row>
    <row r="245" spans="1:9" x14ac:dyDescent="0.35">
      <c r="A245" s="37" t="s">
        <v>1347</v>
      </c>
      <c r="B245" s="794" t="s">
        <v>1360</v>
      </c>
      <c r="C245" s="31" t="s">
        <v>227</v>
      </c>
      <c r="D245" s="516"/>
      <c r="E245" s="32"/>
      <c r="F245" s="945">
        <v>697.06186000000002</v>
      </c>
      <c r="G245" s="920">
        <v>4610802</v>
      </c>
      <c r="H245" s="912">
        <v>349906</v>
      </c>
      <c r="I245" s="13"/>
    </row>
    <row r="246" spans="1:9" x14ac:dyDescent="0.35">
      <c r="A246" s="37" t="s">
        <v>1348</v>
      </c>
      <c r="B246" s="794" t="s">
        <v>1361</v>
      </c>
      <c r="C246" s="31" t="s">
        <v>227</v>
      </c>
      <c r="D246" s="516"/>
      <c r="E246" s="32"/>
      <c r="F246" s="945">
        <v>881.76589000000001</v>
      </c>
      <c r="G246" s="920">
        <v>1696966</v>
      </c>
      <c r="H246" s="912">
        <v>349911</v>
      </c>
      <c r="I246" s="13"/>
    </row>
    <row r="247" spans="1:9" x14ac:dyDescent="0.35">
      <c r="A247" s="37" t="s">
        <v>1349</v>
      </c>
      <c r="B247" s="794" t="s">
        <v>1362</v>
      </c>
      <c r="C247" s="31" t="s">
        <v>227</v>
      </c>
      <c r="D247" s="516"/>
      <c r="E247" s="32"/>
      <c r="F247" s="945">
        <v>705.71905000000004</v>
      </c>
      <c r="G247" s="920">
        <v>5722072</v>
      </c>
      <c r="H247" s="912">
        <v>349907</v>
      </c>
      <c r="I247" s="13"/>
    </row>
    <row r="248" spans="1:9" x14ac:dyDescent="0.35">
      <c r="A248" s="37" t="s">
        <v>1350</v>
      </c>
      <c r="B248" s="794" t="s">
        <v>1363</v>
      </c>
      <c r="C248" s="31" t="s">
        <v>227</v>
      </c>
      <c r="D248" s="516"/>
      <c r="E248" s="32"/>
      <c r="F248" s="945">
        <v>890.62918000000002</v>
      </c>
      <c r="G248" s="920">
        <v>9209571</v>
      </c>
      <c r="H248" s="912">
        <v>349912</v>
      </c>
      <c r="I248" s="13"/>
    </row>
    <row r="249" spans="1:9" x14ac:dyDescent="0.35">
      <c r="A249" s="37" t="s">
        <v>1351</v>
      </c>
      <c r="B249" s="794" t="s">
        <v>1364</v>
      </c>
      <c r="C249" s="31" t="s">
        <v>227</v>
      </c>
      <c r="D249" s="516"/>
      <c r="E249" s="32"/>
      <c r="F249" s="945">
        <v>769.83820000000003</v>
      </c>
      <c r="G249" s="920">
        <v>5799990</v>
      </c>
      <c r="H249" s="912">
        <v>349908</v>
      </c>
      <c r="I249" s="13"/>
    </row>
    <row r="250" spans="1:9" x14ac:dyDescent="0.35">
      <c r="A250" s="37" t="s">
        <v>1352</v>
      </c>
      <c r="B250" s="794" t="s">
        <v>1365</v>
      </c>
      <c r="C250" s="31" t="s">
        <v>227</v>
      </c>
      <c r="D250" s="516"/>
      <c r="E250" s="32"/>
      <c r="F250" s="945">
        <v>937.94550000000004</v>
      </c>
      <c r="G250" s="920">
        <v>7396964</v>
      </c>
      <c r="H250" s="912">
        <v>349913</v>
      </c>
      <c r="I250" s="13"/>
    </row>
    <row r="251" spans="1:9" x14ac:dyDescent="0.35">
      <c r="A251" s="37" t="s">
        <v>1353</v>
      </c>
      <c r="B251" s="794" t="s">
        <v>1366</v>
      </c>
      <c r="C251" s="31" t="s">
        <v>227</v>
      </c>
      <c r="D251" s="516"/>
      <c r="E251" s="32"/>
      <c r="F251" s="945">
        <v>865.24247000000003</v>
      </c>
      <c r="G251" s="920">
        <v>6243953</v>
      </c>
      <c r="H251" s="912">
        <v>349909</v>
      </c>
      <c r="I251" s="13"/>
    </row>
    <row r="252" spans="1:9" x14ac:dyDescent="0.35">
      <c r="A252" s="37" t="s">
        <v>1354</v>
      </c>
      <c r="B252" s="794" t="s">
        <v>1367</v>
      </c>
      <c r="C252" s="31" t="s">
        <v>227</v>
      </c>
      <c r="D252" s="516"/>
      <c r="E252" s="32"/>
      <c r="F252" s="945">
        <v>1033.34979</v>
      </c>
      <c r="G252" s="920">
        <v>2232968</v>
      </c>
      <c r="H252" s="912">
        <v>349914</v>
      </c>
      <c r="I252" s="13"/>
    </row>
    <row r="253" spans="1:9" x14ac:dyDescent="0.35">
      <c r="A253" s="37" t="s">
        <v>1355</v>
      </c>
      <c r="B253" s="794" t="s">
        <v>1368</v>
      </c>
      <c r="C253" s="31" t="s">
        <v>227</v>
      </c>
      <c r="D253" s="516"/>
      <c r="E253" s="32"/>
      <c r="F253" s="945">
        <v>1080.66551</v>
      </c>
      <c r="G253" s="920">
        <v>7016496</v>
      </c>
      <c r="H253" s="912">
        <v>349915</v>
      </c>
      <c r="I253" s="13"/>
    </row>
    <row r="254" spans="1:9" x14ac:dyDescent="0.35">
      <c r="A254" s="37"/>
      <c r="B254" s="31"/>
      <c r="C254" s="31"/>
      <c r="D254" s="516"/>
      <c r="E254" s="32"/>
      <c r="F254" s="945"/>
      <c r="G254" s="921"/>
      <c r="H254" s="913"/>
      <c r="I254" s="13"/>
    </row>
    <row r="255" spans="1:9" x14ac:dyDescent="0.35">
      <c r="A255" s="37"/>
      <c r="B255" s="31"/>
      <c r="C255" s="31"/>
      <c r="D255" s="516"/>
      <c r="E255" s="32"/>
      <c r="F255" s="945"/>
      <c r="G255" s="921"/>
      <c r="H255" s="913"/>
      <c r="I255" s="13"/>
    </row>
    <row r="256" spans="1:9" x14ac:dyDescent="0.35">
      <c r="A256" s="39" t="s">
        <v>76</v>
      </c>
      <c r="B256" s="31"/>
      <c r="C256" s="31"/>
      <c r="D256" s="516"/>
      <c r="E256" s="40"/>
      <c r="F256" s="945"/>
      <c r="G256" s="921"/>
      <c r="H256" s="913"/>
      <c r="I256" s="13"/>
    </row>
    <row r="257" spans="1:10" x14ac:dyDescent="0.35">
      <c r="A257" s="37" t="s">
        <v>528</v>
      </c>
      <c r="B257" s="31" t="s">
        <v>577</v>
      </c>
      <c r="C257" s="31" t="s">
        <v>227</v>
      </c>
      <c r="D257" s="516"/>
      <c r="E257" s="32"/>
      <c r="F257" s="945">
        <v>963.84325999999999</v>
      </c>
      <c r="G257" s="911">
        <v>3790819</v>
      </c>
      <c r="H257" s="912">
        <v>227420</v>
      </c>
      <c r="I257" s="13"/>
    </row>
    <row r="258" spans="1:10" x14ac:dyDescent="0.35">
      <c r="A258" s="37" t="s">
        <v>529</v>
      </c>
      <c r="B258" s="31" t="s">
        <v>578</v>
      </c>
      <c r="C258" s="31" t="s">
        <v>227</v>
      </c>
      <c r="D258" s="516"/>
      <c r="E258" s="32"/>
      <c r="F258" s="945">
        <v>963.84325999999999</v>
      </c>
      <c r="G258" s="911">
        <v>3867722</v>
      </c>
      <c r="H258" s="912">
        <v>227421</v>
      </c>
      <c r="I258" s="13"/>
    </row>
    <row r="259" spans="1:10" x14ac:dyDescent="0.35">
      <c r="A259" s="37" t="s">
        <v>530</v>
      </c>
      <c r="B259" s="31" t="s">
        <v>579</v>
      </c>
      <c r="C259" s="31" t="s">
        <v>227</v>
      </c>
      <c r="D259" s="516"/>
      <c r="E259" s="32"/>
      <c r="F259" s="945">
        <v>963.84325999999999</v>
      </c>
      <c r="G259" s="911">
        <v>5075795</v>
      </c>
      <c r="H259" s="912">
        <v>227422</v>
      </c>
      <c r="I259" s="13"/>
    </row>
    <row r="260" spans="1:10" x14ac:dyDescent="0.35">
      <c r="A260" s="37" t="s">
        <v>342</v>
      </c>
      <c r="B260" s="31" t="s">
        <v>423</v>
      </c>
      <c r="C260" s="31" t="s">
        <v>227</v>
      </c>
      <c r="D260" s="516"/>
      <c r="E260" s="32"/>
      <c r="F260" s="945">
        <v>972.70714999999996</v>
      </c>
      <c r="G260" s="911">
        <v>5085127</v>
      </c>
      <c r="H260" s="912">
        <v>227423</v>
      </c>
      <c r="I260" s="13"/>
    </row>
    <row r="261" spans="1:10" x14ac:dyDescent="0.35">
      <c r="A261" s="37" t="s">
        <v>343</v>
      </c>
      <c r="B261" s="31" t="s">
        <v>424</v>
      </c>
      <c r="C261" s="31" t="s">
        <v>227</v>
      </c>
      <c r="D261" s="516"/>
      <c r="E261" s="32"/>
      <c r="F261" s="945">
        <v>958.74321999999995</v>
      </c>
      <c r="G261" s="911">
        <v>5257996</v>
      </c>
      <c r="H261" s="912">
        <v>227424</v>
      </c>
      <c r="I261" s="13"/>
    </row>
    <row r="262" spans="1:10" x14ac:dyDescent="0.35">
      <c r="A262" s="37" t="s">
        <v>531</v>
      </c>
      <c r="B262" s="31" t="s">
        <v>580</v>
      </c>
      <c r="C262" s="31" t="s">
        <v>227</v>
      </c>
      <c r="D262" s="516"/>
      <c r="E262" s="32"/>
      <c r="F262" s="945">
        <v>1142.8525999999999</v>
      </c>
      <c r="G262" s="911">
        <v>5767239</v>
      </c>
      <c r="H262" s="912">
        <v>227428</v>
      </c>
      <c r="I262" s="13"/>
    </row>
    <row r="263" spans="1:10" x14ac:dyDescent="0.35">
      <c r="A263" s="37" t="s">
        <v>340</v>
      </c>
      <c r="B263" s="31" t="s">
        <v>421</v>
      </c>
      <c r="C263" s="31" t="s">
        <v>227</v>
      </c>
      <c r="D263" s="516"/>
      <c r="E263" s="32"/>
      <c r="F263" s="945">
        <v>967.39513999999997</v>
      </c>
      <c r="G263" s="911">
        <v>5372007</v>
      </c>
      <c r="H263" s="912">
        <v>227425</v>
      </c>
      <c r="I263" s="13"/>
    </row>
    <row r="264" spans="1:10" x14ac:dyDescent="0.35">
      <c r="A264" s="37" t="s">
        <v>341</v>
      </c>
      <c r="B264" s="31" t="s">
        <v>422</v>
      </c>
      <c r="C264" s="31" t="s">
        <v>227</v>
      </c>
      <c r="D264" s="516"/>
      <c r="E264" s="32"/>
      <c r="F264" s="945">
        <v>1151.7105200000001</v>
      </c>
      <c r="G264" s="911">
        <v>5817679</v>
      </c>
      <c r="H264" s="912">
        <v>227429</v>
      </c>
      <c r="I264" s="13"/>
    </row>
    <row r="265" spans="1:10" x14ac:dyDescent="0.35">
      <c r="A265" s="37" t="s">
        <v>576</v>
      </c>
      <c r="B265" s="31" t="s">
        <v>647</v>
      </c>
      <c r="C265" s="31" t="s">
        <v>227</v>
      </c>
      <c r="D265" s="516"/>
      <c r="E265" s="32"/>
      <c r="F265" s="945">
        <v>1037.74467</v>
      </c>
      <c r="G265" s="911">
        <v>5385115</v>
      </c>
      <c r="H265" s="912">
        <v>227426</v>
      </c>
      <c r="I265" s="13"/>
    </row>
    <row r="266" spans="1:10" x14ac:dyDescent="0.35">
      <c r="A266" s="37" t="s">
        <v>532</v>
      </c>
      <c r="B266" s="31" t="s">
        <v>648</v>
      </c>
      <c r="C266" s="31" t="s">
        <v>227</v>
      </c>
      <c r="D266" s="516"/>
      <c r="E266" s="32"/>
      <c r="F266" s="945">
        <v>1199.02684</v>
      </c>
      <c r="G266" s="911">
        <v>6134281</v>
      </c>
      <c r="H266" s="912">
        <v>227430</v>
      </c>
      <c r="I266" s="13"/>
    </row>
    <row r="267" spans="1:10" x14ac:dyDescent="0.35">
      <c r="A267" s="37" t="s">
        <v>533</v>
      </c>
      <c r="B267" s="31" t="s">
        <v>649</v>
      </c>
      <c r="C267" s="31" t="s">
        <v>227</v>
      </c>
      <c r="D267" s="516"/>
      <c r="E267" s="32"/>
      <c r="F267" s="945">
        <v>1133.14894</v>
      </c>
      <c r="G267" s="911">
        <v>5743471</v>
      </c>
      <c r="H267" s="912">
        <v>227427</v>
      </c>
      <c r="I267" s="13"/>
    </row>
    <row r="268" spans="1:10" x14ac:dyDescent="0.35">
      <c r="A268" s="37" t="s">
        <v>534</v>
      </c>
      <c r="B268" s="31" t="s">
        <v>650</v>
      </c>
      <c r="C268" s="31" t="s">
        <v>227</v>
      </c>
      <c r="D268" s="516"/>
      <c r="E268" s="32"/>
      <c r="F268" s="945">
        <v>1294.4311299999999</v>
      </c>
      <c r="G268" s="911">
        <v>6459880</v>
      </c>
      <c r="H268" s="912">
        <v>227431</v>
      </c>
      <c r="I268" s="13"/>
    </row>
    <row r="269" spans="1:10" x14ac:dyDescent="0.35">
      <c r="A269" s="37" t="s">
        <v>791</v>
      </c>
      <c r="B269" s="31" t="s">
        <v>792</v>
      </c>
      <c r="C269" s="31" t="s">
        <v>227</v>
      </c>
      <c r="D269" s="516"/>
      <c r="E269" s="32"/>
      <c r="F269" s="945">
        <v>1341.74685</v>
      </c>
      <c r="G269" s="911">
        <v>1661174</v>
      </c>
      <c r="H269" s="912">
        <v>253717</v>
      </c>
      <c r="I269" s="13"/>
    </row>
    <row r="270" spans="1:10" x14ac:dyDescent="0.35">
      <c r="A270" s="41"/>
      <c r="B270" s="31"/>
      <c r="C270" s="31"/>
      <c r="D270" s="516"/>
      <c r="E270" s="42"/>
      <c r="F270" s="945"/>
      <c r="G270" s="922"/>
      <c r="H270" s="913"/>
      <c r="I270" s="13"/>
    </row>
    <row r="271" spans="1:10" s="655" customFormat="1" x14ac:dyDescent="0.35">
      <c r="A271" s="41"/>
      <c r="B271" s="31"/>
      <c r="C271" s="31"/>
      <c r="D271" s="516"/>
      <c r="E271" s="42"/>
      <c r="F271" s="945"/>
      <c r="G271" s="670"/>
      <c r="H271" s="913"/>
      <c r="I271" s="653"/>
      <c r="J271" s="654"/>
    </row>
    <row r="272" spans="1:10" s="655" customFormat="1" x14ac:dyDescent="0.35">
      <c r="A272" s="38" t="s">
        <v>855</v>
      </c>
      <c r="B272" s="31"/>
      <c r="C272" s="31"/>
      <c r="D272" s="516"/>
      <c r="E272" s="32"/>
      <c r="F272" s="945"/>
      <c r="G272" s="921"/>
      <c r="H272" s="913"/>
      <c r="I272" s="653"/>
      <c r="J272" s="654"/>
    </row>
    <row r="273" spans="1:10" s="655" customFormat="1" x14ac:dyDescent="0.35">
      <c r="A273" s="37" t="s">
        <v>826</v>
      </c>
      <c r="B273" s="31" t="str">
        <f>REPLACE("750.2700B",9,1,"M")</f>
        <v>750.2700M</v>
      </c>
      <c r="C273" s="31" t="s">
        <v>227</v>
      </c>
      <c r="D273" s="516"/>
      <c r="E273" s="32"/>
      <c r="F273" s="945">
        <v>0</v>
      </c>
      <c r="G273" s="921">
        <v>8589412</v>
      </c>
      <c r="H273" s="912">
        <v>275330</v>
      </c>
      <c r="I273" s="653"/>
      <c r="J273" s="654"/>
    </row>
    <row r="274" spans="1:10" s="655" customFormat="1" x14ac:dyDescent="0.35">
      <c r="A274" s="37" t="s">
        <v>827</v>
      </c>
      <c r="B274" s="31" t="s">
        <v>840</v>
      </c>
      <c r="C274" s="31" t="s">
        <v>227</v>
      </c>
      <c r="D274" s="516"/>
      <c r="E274" s="32"/>
      <c r="F274" s="945">
        <v>695.93677000000002</v>
      </c>
      <c r="G274" s="921">
        <v>5663406</v>
      </c>
      <c r="H274" s="912">
        <v>275331</v>
      </c>
      <c r="I274" s="653"/>
      <c r="J274" s="654"/>
    </row>
    <row r="275" spans="1:10" s="655" customFormat="1" x14ac:dyDescent="0.35">
      <c r="A275" s="37" t="s">
        <v>828</v>
      </c>
      <c r="B275" s="31" t="s">
        <v>841</v>
      </c>
      <c r="C275" s="31" t="s">
        <v>227</v>
      </c>
      <c r="D275" s="516"/>
      <c r="E275" s="32"/>
      <c r="F275" s="945">
        <v>695.93677000000002</v>
      </c>
      <c r="G275" s="921">
        <v>4538135</v>
      </c>
      <c r="H275" s="912">
        <v>275332</v>
      </c>
      <c r="I275" s="653"/>
      <c r="J275" s="654"/>
    </row>
    <row r="276" spans="1:10" s="655" customFormat="1" x14ac:dyDescent="0.35">
      <c r="A276" s="37" t="s">
        <v>829</v>
      </c>
      <c r="B276" s="31" t="s">
        <v>842</v>
      </c>
      <c r="C276" s="31" t="s">
        <v>227</v>
      </c>
      <c r="D276" s="516"/>
      <c r="E276" s="32"/>
      <c r="F276" s="945">
        <v>0</v>
      </c>
      <c r="G276" s="921">
        <v>2346429</v>
      </c>
      <c r="H276" s="912">
        <v>275333</v>
      </c>
      <c r="I276" s="653"/>
      <c r="J276" s="654"/>
    </row>
    <row r="277" spans="1:10" s="655" customFormat="1" x14ac:dyDescent="0.35">
      <c r="A277" s="37" t="s">
        <v>830</v>
      </c>
      <c r="B277" s="31" t="s">
        <v>843</v>
      </c>
      <c r="C277" s="31" t="s">
        <v>227</v>
      </c>
      <c r="D277" s="516"/>
      <c r="E277" s="32"/>
      <c r="F277" s="945">
        <v>697.06186000000002</v>
      </c>
      <c r="G277" s="921">
        <v>2508131</v>
      </c>
      <c r="H277" s="912">
        <v>275334</v>
      </c>
      <c r="I277" s="653"/>
      <c r="J277" s="654"/>
    </row>
    <row r="278" spans="1:10" s="655" customFormat="1" x14ac:dyDescent="0.35">
      <c r="A278" s="37" t="s">
        <v>831</v>
      </c>
      <c r="B278" s="31" t="s">
        <v>844</v>
      </c>
      <c r="C278" s="31" t="s">
        <v>227</v>
      </c>
      <c r="D278" s="516"/>
      <c r="E278" s="32"/>
      <c r="F278" s="945">
        <v>881.76589000000001</v>
      </c>
      <c r="G278" s="921">
        <v>4419145</v>
      </c>
      <c r="H278" s="912">
        <v>275338</v>
      </c>
      <c r="I278" s="653"/>
      <c r="J278" s="654"/>
    </row>
    <row r="279" spans="1:10" s="655" customFormat="1" x14ac:dyDescent="0.35">
      <c r="A279" s="37" t="s">
        <v>832</v>
      </c>
      <c r="B279" s="31" t="s">
        <v>845</v>
      </c>
      <c r="C279" s="31" t="s">
        <v>227</v>
      </c>
      <c r="D279" s="516"/>
      <c r="E279" s="32"/>
      <c r="F279" s="945">
        <v>705.71905000000004</v>
      </c>
      <c r="G279" s="921">
        <v>9554467</v>
      </c>
      <c r="H279" s="912">
        <v>275335</v>
      </c>
      <c r="I279" s="653"/>
      <c r="J279" s="654"/>
    </row>
    <row r="280" spans="1:10" s="655" customFormat="1" x14ac:dyDescent="0.35">
      <c r="A280" s="37" t="s">
        <v>833</v>
      </c>
      <c r="B280" s="31" t="s">
        <v>846</v>
      </c>
      <c r="C280" s="31" t="s">
        <v>227</v>
      </c>
      <c r="D280" s="516"/>
      <c r="E280" s="32"/>
      <c r="F280" s="945">
        <v>890.62918000000002</v>
      </c>
      <c r="G280" s="921">
        <v>5699464</v>
      </c>
      <c r="H280" s="912">
        <v>275339</v>
      </c>
      <c r="I280" s="653"/>
      <c r="J280" s="654"/>
    </row>
    <row r="281" spans="1:10" s="655" customFormat="1" x14ac:dyDescent="0.35">
      <c r="A281" s="37" t="s">
        <v>834</v>
      </c>
      <c r="B281" s="31" t="s">
        <v>847</v>
      </c>
      <c r="C281" s="31" t="s">
        <v>227</v>
      </c>
      <c r="D281" s="516"/>
      <c r="E281" s="32"/>
      <c r="F281" s="945">
        <v>0</v>
      </c>
      <c r="G281" s="921">
        <v>1309911</v>
      </c>
      <c r="H281" s="912">
        <v>275336</v>
      </c>
      <c r="I281" s="653"/>
      <c r="J281" s="654"/>
    </row>
    <row r="282" spans="1:10" s="655" customFormat="1" x14ac:dyDescent="0.35">
      <c r="A282" s="37" t="s">
        <v>835</v>
      </c>
      <c r="B282" s="31" t="s">
        <v>848</v>
      </c>
      <c r="C282" s="31" t="s">
        <v>227</v>
      </c>
      <c r="D282" s="516"/>
      <c r="E282" s="32"/>
      <c r="F282" s="945">
        <v>0</v>
      </c>
      <c r="G282" s="921">
        <v>6306480</v>
      </c>
      <c r="H282" s="912">
        <v>275340</v>
      </c>
      <c r="I282" s="653"/>
      <c r="J282" s="654"/>
    </row>
    <row r="283" spans="1:10" s="655" customFormat="1" x14ac:dyDescent="0.35">
      <c r="A283" s="37" t="s">
        <v>836</v>
      </c>
      <c r="B283" s="31" t="s">
        <v>849</v>
      </c>
      <c r="C283" s="31" t="s">
        <v>227</v>
      </c>
      <c r="D283" s="516"/>
      <c r="E283" s="32"/>
      <c r="F283" s="945">
        <v>865.24247000000003</v>
      </c>
      <c r="G283" s="921">
        <v>9677262</v>
      </c>
      <c r="H283" s="912">
        <v>275337</v>
      </c>
      <c r="I283" s="653"/>
      <c r="J283" s="654"/>
    </row>
    <row r="284" spans="1:10" s="655" customFormat="1" x14ac:dyDescent="0.35">
      <c r="A284" s="37" t="s">
        <v>837</v>
      </c>
      <c r="B284" s="31" t="s">
        <v>850</v>
      </c>
      <c r="C284" s="31" t="s">
        <v>227</v>
      </c>
      <c r="D284" s="516"/>
      <c r="E284" s="32"/>
      <c r="F284" s="945">
        <v>0</v>
      </c>
      <c r="G284" s="921">
        <v>8301756</v>
      </c>
      <c r="H284" s="912">
        <v>275341</v>
      </c>
      <c r="I284" s="653"/>
      <c r="J284" s="654"/>
    </row>
    <row r="285" spans="1:10" s="655" customFormat="1" x14ac:dyDescent="0.35">
      <c r="A285" s="37" t="s">
        <v>838</v>
      </c>
      <c r="B285" s="31" t="s">
        <v>851</v>
      </c>
      <c r="C285" s="31" t="s">
        <v>227</v>
      </c>
      <c r="D285" s="516"/>
      <c r="E285" s="32"/>
      <c r="F285" s="945">
        <v>1080.66551</v>
      </c>
      <c r="G285" s="921">
        <v>9722794</v>
      </c>
      <c r="H285" s="912">
        <v>275342</v>
      </c>
      <c r="I285" s="653"/>
      <c r="J285" s="654"/>
    </row>
    <row r="286" spans="1:10" s="655" customFormat="1" x14ac:dyDescent="0.35">
      <c r="A286" s="41"/>
      <c r="B286" s="31"/>
      <c r="C286" s="31"/>
      <c r="D286" s="516"/>
      <c r="E286" s="42"/>
      <c r="F286" s="945"/>
      <c r="G286" s="905"/>
      <c r="H286" s="913"/>
      <c r="I286" s="653"/>
      <c r="J286" s="654"/>
    </row>
    <row r="287" spans="1:10" s="655" customFormat="1" x14ac:dyDescent="0.35">
      <c r="A287" s="41" t="s">
        <v>1015</v>
      </c>
      <c r="B287" s="31" t="s">
        <v>1016</v>
      </c>
      <c r="C287" s="31" t="s">
        <v>227</v>
      </c>
      <c r="D287" s="516"/>
      <c r="E287" s="42"/>
      <c r="F287" s="945">
        <v>478.94060000000002</v>
      </c>
      <c r="G287" s="923">
        <v>8675028</v>
      </c>
      <c r="H287" s="912">
        <v>284456</v>
      </c>
      <c r="I287" s="653"/>
      <c r="J287" s="654"/>
    </row>
    <row r="288" spans="1:10" s="655" customFormat="1" x14ac:dyDescent="0.35">
      <c r="A288" s="41" t="s">
        <v>839</v>
      </c>
      <c r="B288" s="31" t="s">
        <v>949</v>
      </c>
      <c r="C288" s="31" t="s">
        <v>227</v>
      </c>
      <c r="D288" s="516"/>
      <c r="E288" s="42"/>
      <c r="F288" s="945">
        <v>478.94060000000002</v>
      </c>
      <c r="G288" s="923">
        <v>8743540</v>
      </c>
      <c r="H288" s="912">
        <v>275343</v>
      </c>
      <c r="I288" s="653"/>
      <c r="J288" s="654"/>
    </row>
    <row r="289" spans="1:10" s="655" customFormat="1" x14ac:dyDescent="0.35">
      <c r="A289" s="41" t="s">
        <v>854</v>
      </c>
      <c r="B289" s="31" t="s">
        <v>950</v>
      </c>
      <c r="C289" s="31" t="s">
        <v>227</v>
      </c>
      <c r="D289" s="516"/>
      <c r="E289" s="42"/>
      <c r="F289" s="945">
        <v>467.80245000000002</v>
      </c>
      <c r="G289" s="923">
        <v>2368890</v>
      </c>
      <c r="H289" s="912">
        <v>275344</v>
      </c>
      <c r="I289" s="653"/>
      <c r="J289" s="654"/>
    </row>
    <row r="290" spans="1:10" s="655" customFormat="1" x14ac:dyDescent="0.35">
      <c r="A290" s="41" t="s">
        <v>852</v>
      </c>
      <c r="B290" s="31" t="s">
        <v>951</v>
      </c>
      <c r="C290" s="31" t="s">
        <v>227</v>
      </c>
      <c r="D290" s="516"/>
      <c r="E290" s="42"/>
      <c r="F290" s="945">
        <v>467.80245000000002</v>
      </c>
      <c r="G290" s="923">
        <v>1286932</v>
      </c>
      <c r="H290" s="912">
        <v>275345</v>
      </c>
      <c r="I290" s="653"/>
      <c r="J290" s="654"/>
    </row>
    <row r="291" spans="1:10" s="655" customFormat="1" x14ac:dyDescent="0.35">
      <c r="A291" s="41" t="s">
        <v>853</v>
      </c>
      <c r="B291" s="31" t="s">
        <v>952</v>
      </c>
      <c r="C291" s="31" t="s">
        <v>227</v>
      </c>
      <c r="D291" s="516"/>
      <c r="E291" s="42"/>
      <c r="F291" s="945">
        <v>467.80245000000002</v>
      </c>
      <c r="G291" s="923">
        <v>6335560</v>
      </c>
      <c r="H291" s="912">
        <v>275347</v>
      </c>
      <c r="I291" s="653"/>
      <c r="J291" s="654"/>
    </row>
    <row r="292" spans="1:10" s="655" customFormat="1" x14ac:dyDescent="0.35">
      <c r="A292" s="41" t="s">
        <v>1375</v>
      </c>
      <c r="B292" s="794" t="s">
        <v>1377</v>
      </c>
      <c r="C292" s="31" t="s">
        <v>227</v>
      </c>
      <c r="D292" s="516"/>
      <c r="E292" s="42"/>
      <c r="F292" s="945">
        <v>786.64774</v>
      </c>
      <c r="G292" s="923">
        <v>1752547</v>
      </c>
      <c r="H292" s="912">
        <v>360754</v>
      </c>
      <c r="I292" s="653"/>
      <c r="J292" s="654"/>
    </row>
    <row r="293" spans="1:10" s="655" customFormat="1" x14ac:dyDescent="0.35">
      <c r="A293" s="41" t="s">
        <v>1376</v>
      </c>
      <c r="B293" s="794" t="s">
        <v>1378</v>
      </c>
      <c r="C293" s="31" t="s">
        <v>227</v>
      </c>
      <c r="D293" s="516"/>
      <c r="E293" s="42"/>
      <c r="F293" s="945">
        <v>786.64774</v>
      </c>
      <c r="G293" s="923">
        <v>2783745</v>
      </c>
      <c r="H293" s="912">
        <v>360755</v>
      </c>
      <c r="I293" s="653"/>
      <c r="J293" s="654"/>
    </row>
    <row r="294" spans="1:10" s="655" customFormat="1" x14ac:dyDescent="0.35">
      <c r="A294" s="41"/>
      <c r="B294" s="31"/>
      <c r="C294" s="31"/>
      <c r="D294" s="516"/>
      <c r="E294" s="42"/>
      <c r="F294" s="945"/>
      <c r="G294" s="670"/>
      <c r="H294" s="913"/>
      <c r="I294" s="653"/>
      <c r="J294" s="654"/>
    </row>
    <row r="295" spans="1:10" x14ac:dyDescent="0.35">
      <c r="A295" s="41"/>
      <c r="B295" s="31"/>
      <c r="C295" s="31"/>
      <c r="D295" s="516"/>
      <c r="E295" s="42"/>
      <c r="F295" s="945"/>
      <c r="G295" s="922"/>
      <c r="H295" s="913"/>
      <c r="I295" s="13"/>
    </row>
    <row r="296" spans="1:10" x14ac:dyDescent="0.35">
      <c r="A296" s="39" t="s">
        <v>77</v>
      </c>
      <c r="B296" s="31"/>
      <c r="C296" s="31"/>
      <c r="D296" s="516"/>
      <c r="E296" s="42"/>
      <c r="F296" s="945"/>
      <c r="G296" s="922"/>
      <c r="H296" s="913"/>
      <c r="I296" s="13"/>
    </row>
    <row r="297" spans="1:10" x14ac:dyDescent="0.35">
      <c r="A297" s="41" t="s">
        <v>344</v>
      </c>
      <c r="B297" s="31" t="s">
        <v>975</v>
      </c>
      <c r="C297" s="31" t="s">
        <v>241</v>
      </c>
      <c r="D297" s="516"/>
      <c r="E297" s="42"/>
      <c r="F297" s="945">
        <v>194.59</v>
      </c>
      <c r="G297" s="906">
        <v>1605111</v>
      </c>
      <c r="H297" s="912">
        <v>227606</v>
      </c>
      <c r="I297" s="13"/>
    </row>
    <row r="298" spans="1:10" x14ac:dyDescent="0.35">
      <c r="A298" s="41" t="s">
        <v>345</v>
      </c>
      <c r="B298" s="31" t="s">
        <v>974</v>
      </c>
      <c r="C298" s="31" t="s">
        <v>2</v>
      </c>
      <c r="D298" s="516"/>
      <c r="E298" s="42"/>
      <c r="F298" s="945">
        <v>107.28</v>
      </c>
      <c r="G298" s="907">
        <v>5075934</v>
      </c>
      <c r="H298" s="912">
        <v>227607</v>
      </c>
      <c r="I298" s="13"/>
    </row>
    <row r="299" spans="1:10" x14ac:dyDescent="0.35">
      <c r="A299" s="41"/>
      <c r="B299" s="31"/>
      <c r="C299" s="31"/>
      <c r="D299" s="516"/>
      <c r="E299" s="42"/>
      <c r="F299" s="945"/>
      <c r="G299" s="670"/>
      <c r="H299" s="913"/>
      <c r="I299" s="13"/>
    </row>
    <row r="300" spans="1:10" x14ac:dyDescent="0.35">
      <c r="A300" s="39" t="s">
        <v>972</v>
      </c>
      <c r="B300" s="34"/>
      <c r="C300" s="34"/>
      <c r="D300" s="517"/>
      <c r="E300" s="32"/>
      <c r="F300" s="945"/>
      <c r="G300" s="35"/>
      <c r="H300" s="913"/>
      <c r="I300" s="13"/>
    </row>
    <row r="301" spans="1:10" x14ac:dyDescent="0.35">
      <c r="A301" s="41" t="s">
        <v>346</v>
      </c>
      <c r="B301" s="31" t="s">
        <v>1332</v>
      </c>
      <c r="C301" s="31" t="s">
        <v>241</v>
      </c>
      <c r="D301" s="516"/>
      <c r="E301" s="42"/>
      <c r="F301" s="945">
        <v>620.08266000000003</v>
      </c>
      <c r="G301" s="908">
        <v>7487083</v>
      </c>
      <c r="H301" s="912">
        <v>227609</v>
      </c>
      <c r="I301" s="13"/>
    </row>
    <row r="302" spans="1:10" x14ac:dyDescent="0.35">
      <c r="A302" s="41" t="s">
        <v>347</v>
      </c>
      <c r="B302" s="31" t="s">
        <v>1333</v>
      </c>
      <c r="C302" s="31" t="s">
        <v>241</v>
      </c>
      <c r="D302" s="516"/>
      <c r="E302" s="42"/>
      <c r="F302" s="945">
        <v>620.08266000000003</v>
      </c>
      <c r="G302" s="676">
        <v>8142713</v>
      </c>
      <c r="H302" s="912">
        <v>227611</v>
      </c>
      <c r="I302" s="13"/>
    </row>
    <row r="303" spans="1:10" x14ac:dyDescent="0.35">
      <c r="A303" s="41"/>
      <c r="B303" s="31"/>
      <c r="C303" s="31"/>
      <c r="D303" s="516"/>
      <c r="E303" s="42"/>
      <c r="F303" s="945"/>
      <c r="G303" s="907"/>
      <c r="H303" s="913"/>
      <c r="I303" s="13"/>
    </row>
    <row r="304" spans="1:10" s="655" customFormat="1" x14ac:dyDescent="0.35">
      <c r="A304" s="561"/>
      <c r="B304" s="31"/>
      <c r="C304" s="31"/>
      <c r="D304" s="516"/>
      <c r="E304" s="32"/>
      <c r="F304" s="945"/>
      <c r="G304" s="670"/>
      <c r="H304" s="913"/>
      <c r="I304" s="653"/>
      <c r="J304" s="654"/>
    </row>
    <row r="305" spans="1:10" s="655" customFormat="1" x14ac:dyDescent="0.35">
      <c r="A305" s="39" t="s">
        <v>879</v>
      </c>
      <c r="B305" s="31"/>
      <c r="C305" s="31"/>
      <c r="D305" s="516"/>
      <c r="E305" s="42"/>
      <c r="F305" s="945"/>
      <c r="G305" s="670"/>
      <c r="H305" s="913"/>
      <c r="I305" s="653"/>
      <c r="J305" s="654"/>
    </row>
    <row r="306" spans="1:10" s="655" customFormat="1" x14ac:dyDescent="0.35">
      <c r="A306" s="41" t="s">
        <v>953</v>
      </c>
      <c r="B306" s="31" t="s">
        <v>880</v>
      </c>
      <c r="C306" s="31" t="s">
        <v>883</v>
      </c>
      <c r="D306" s="516"/>
      <c r="E306" s="42"/>
      <c r="F306" s="945">
        <v>6.7107799999999997</v>
      </c>
      <c r="G306" s="909">
        <v>1512005</v>
      </c>
      <c r="H306" s="912">
        <v>275348</v>
      </c>
      <c r="I306" s="653"/>
      <c r="J306" s="654"/>
    </row>
    <row r="307" spans="1:10" s="655" customFormat="1" x14ac:dyDescent="0.35">
      <c r="A307" s="41" t="s">
        <v>954</v>
      </c>
      <c r="B307" s="31" t="s">
        <v>955</v>
      </c>
      <c r="C307" s="31" t="s">
        <v>243</v>
      </c>
      <c r="D307" s="516"/>
      <c r="E307" s="42"/>
      <c r="F307" s="945">
        <v>110.51743999999999</v>
      </c>
      <c r="G307" s="909">
        <v>2101757</v>
      </c>
      <c r="H307" s="912">
        <v>282277</v>
      </c>
      <c r="I307" s="653"/>
      <c r="J307" s="654"/>
    </row>
    <row r="308" spans="1:10" s="655" customFormat="1" ht="15" customHeight="1" x14ac:dyDescent="0.35">
      <c r="A308" s="41" t="s">
        <v>1021</v>
      </c>
      <c r="B308" s="31" t="s">
        <v>1022</v>
      </c>
      <c r="C308" s="31" t="s">
        <v>920</v>
      </c>
      <c r="D308" s="516"/>
      <c r="E308" s="32"/>
      <c r="F308" s="945">
        <v>27.348769999999998</v>
      </c>
      <c r="G308" s="670">
        <v>8133273</v>
      </c>
      <c r="H308" s="912">
        <v>293824</v>
      </c>
      <c r="I308" s="653"/>
      <c r="J308" s="654"/>
    </row>
    <row r="309" spans="1:10" s="655" customFormat="1" x14ac:dyDescent="0.35">
      <c r="A309" s="41"/>
      <c r="B309" s="31"/>
      <c r="C309" s="31"/>
      <c r="D309" s="516"/>
      <c r="E309" s="42"/>
      <c r="F309" s="945"/>
      <c r="G309" s="910"/>
      <c r="H309" s="913"/>
      <c r="I309" s="653"/>
      <c r="J309" s="654"/>
    </row>
    <row r="310" spans="1:10" s="655" customFormat="1" x14ac:dyDescent="0.35">
      <c r="A310" s="43"/>
      <c r="B310" s="31"/>
      <c r="C310" s="31"/>
      <c r="D310" s="516"/>
      <c r="E310" s="42"/>
      <c r="F310" s="945"/>
      <c r="G310" s="921"/>
      <c r="H310" s="913"/>
      <c r="I310" s="653"/>
      <c r="J310" s="654"/>
    </row>
    <row r="311" spans="1:10" s="655" customFormat="1" x14ac:dyDescent="0.35">
      <c r="A311" s="37"/>
      <c r="B311" s="31"/>
      <c r="C311" s="31"/>
      <c r="D311" s="516"/>
      <c r="E311" s="32"/>
      <c r="F311" s="945"/>
      <c r="G311" s="921"/>
      <c r="H311" s="913"/>
      <c r="I311" s="653"/>
      <c r="J311" s="654"/>
    </row>
    <row r="312" spans="1:10" x14ac:dyDescent="0.35">
      <c r="A312" s="37"/>
      <c r="B312" s="31"/>
      <c r="C312" s="31"/>
      <c r="D312" s="516"/>
      <c r="E312" s="42"/>
      <c r="F312" s="945"/>
      <c r="G312" s="914"/>
      <c r="H312" s="913"/>
      <c r="I312" s="13"/>
    </row>
    <row r="313" spans="1:10" x14ac:dyDescent="0.35">
      <c r="A313" s="38" t="s">
        <v>78</v>
      </c>
      <c r="B313" s="31"/>
      <c r="C313" s="31"/>
      <c r="D313" s="516"/>
      <c r="E313" s="42"/>
      <c r="F313" s="945"/>
      <c r="G313" s="914"/>
      <c r="H313" s="913"/>
      <c r="I313" s="13"/>
    </row>
    <row r="314" spans="1:10" x14ac:dyDescent="0.35">
      <c r="A314" s="263" t="s">
        <v>1088</v>
      </c>
      <c r="B314" s="264" t="s">
        <v>357</v>
      </c>
      <c r="C314" s="264" t="s">
        <v>321</v>
      </c>
      <c r="D314" s="513"/>
      <c r="E314" s="265"/>
      <c r="F314" s="945">
        <v>36.187139999999999</v>
      </c>
      <c r="G314" s="917">
        <v>2948763</v>
      </c>
      <c r="H314" s="912">
        <v>227550</v>
      </c>
      <c r="I314" s="13"/>
    </row>
    <row r="315" spans="1:10" x14ac:dyDescent="0.35">
      <c r="A315" s="266" t="s">
        <v>1147</v>
      </c>
      <c r="B315" s="267" t="s">
        <v>357</v>
      </c>
      <c r="C315" s="267" t="s">
        <v>322</v>
      </c>
      <c r="D315" s="514"/>
      <c r="E315" s="268"/>
      <c r="F315" s="945">
        <v>36.187139999999999</v>
      </c>
      <c r="G315" s="916">
        <v>2454505</v>
      </c>
      <c r="H315" s="912">
        <v>227549</v>
      </c>
      <c r="I315" s="13"/>
    </row>
    <row r="316" spans="1:10" x14ac:dyDescent="0.35">
      <c r="A316" s="479" t="s">
        <v>1206</v>
      </c>
      <c r="B316" s="480" t="s">
        <v>357</v>
      </c>
      <c r="C316" s="480" t="s">
        <v>377</v>
      </c>
      <c r="D316" s="515"/>
      <c r="E316" s="268"/>
      <c r="F316" s="945">
        <v>36.187139999999999</v>
      </c>
      <c r="G316" s="673">
        <v>1308438</v>
      </c>
      <c r="H316" s="912">
        <v>227551</v>
      </c>
      <c r="I316" s="13"/>
    </row>
    <row r="317" spans="1:10" x14ac:dyDescent="0.35">
      <c r="A317" s="479" t="s">
        <v>1316</v>
      </c>
      <c r="B317" s="480" t="s">
        <v>357</v>
      </c>
      <c r="C317" s="480" t="s">
        <v>1025</v>
      </c>
      <c r="D317" s="738"/>
      <c r="E317" s="739"/>
      <c r="F317" s="945">
        <v>36.187139999999999</v>
      </c>
      <c r="G317" s="740">
        <v>3411219</v>
      </c>
      <c r="H317" s="912">
        <v>348964</v>
      </c>
      <c r="I317" s="13"/>
    </row>
    <row r="318" spans="1:10" x14ac:dyDescent="0.35">
      <c r="A318" s="492" t="s">
        <v>348</v>
      </c>
      <c r="B318" s="494" t="s">
        <v>357</v>
      </c>
      <c r="C318" s="494" t="s">
        <v>242</v>
      </c>
      <c r="D318" s="509" t="s">
        <v>756</v>
      </c>
      <c r="E318" s="495"/>
      <c r="F318" s="945">
        <v>69.438400000000001</v>
      </c>
      <c r="G318" s="677">
        <v>3134862</v>
      </c>
      <c r="H318" s="912">
        <v>227552</v>
      </c>
      <c r="I318" s="13"/>
    </row>
    <row r="319" spans="1:10" x14ac:dyDescent="0.35">
      <c r="A319" s="263" t="s">
        <v>1089</v>
      </c>
      <c r="B319" s="264" t="s">
        <v>358</v>
      </c>
      <c r="C319" s="264" t="s">
        <v>321</v>
      </c>
      <c r="D319" s="513"/>
      <c r="E319" s="265"/>
      <c r="F319" s="945">
        <v>35.345579999999998</v>
      </c>
      <c r="G319" s="917">
        <v>6440820</v>
      </c>
      <c r="H319" s="912">
        <v>227554</v>
      </c>
      <c r="I319" s="13"/>
    </row>
    <row r="320" spans="1:10" x14ac:dyDescent="0.35">
      <c r="A320" s="266" t="s">
        <v>1148</v>
      </c>
      <c r="B320" s="267" t="s">
        <v>358</v>
      </c>
      <c r="C320" s="267" t="s">
        <v>322</v>
      </c>
      <c r="D320" s="514"/>
      <c r="E320" s="268"/>
      <c r="F320" s="945">
        <v>35.345579999999998</v>
      </c>
      <c r="G320" s="916">
        <v>5456308</v>
      </c>
      <c r="H320" s="912">
        <v>227553</v>
      </c>
      <c r="I320" s="13"/>
    </row>
    <row r="321" spans="1:9" x14ac:dyDescent="0.35">
      <c r="A321" s="479" t="s">
        <v>1207</v>
      </c>
      <c r="B321" s="480" t="s">
        <v>358</v>
      </c>
      <c r="C321" s="480" t="s">
        <v>377</v>
      </c>
      <c r="D321" s="515"/>
      <c r="E321" s="268"/>
      <c r="F321" s="945">
        <v>35.345579999999998</v>
      </c>
      <c r="G321" s="673">
        <v>5453480</v>
      </c>
      <c r="H321" s="912">
        <v>227555</v>
      </c>
      <c r="I321" s="13"/>
    </row>
    <row r="322" spans="1:9" x14ac:dyDescent="0.35">
      <c r="A322" s="479" t="s">
        <v>1317</v>
      </c>
      <c r="B322" s="480" t="s">
        <v>358</v>
      </c>
      <c r="C322" s="480" t="s">
        <v>1025</v>
      </c>
      <c r="D322" s="738"/>
      <c r="E322" s="739"/>
      <c r="F322" s="945">
        <v>36.187139999999999</v>
      </c>
      <c r="G322" s="740">
        <v>6543062</v>
      </c>
      <c r="H322" s="912">
        <v>314835</v>
      </c>
      <c r="I322" s="13"/>
    </row>
    <row r="323" spans="1:9" x14ac:dyDescent="0.35">
      <c r="A323" s="492" t="s">
        <v>349</v>
      </c>
      <c r="B323" s="494" t="s">
        <v>358</v>
      </c>
      <c r="C323" s="494" t="s">
        <v>242</v>
      </c>
      <c r="D323" s="509" t="s">
        <v>756</v>
      </c>
      <c r="E323" s="495"/>
      <c r="F323" s="945">
        <v>69.438400000000001</v>
      </c>
      <c r="G323" s="677">
        <v>3272102</v>
      </c>
      <c r="H323" s="912">
        <v>227556</v>
      </c>
      <c r="I323" s="13"/>
    </row>
    <row r="324" spans="1:9" x14ac:dyDescent="0.35">
      <c r="A324" s="499" t="s">
        <v>1090</v>
      </c>
      <c r="B324" s="500" t="s">
        <v>359</v>
      </c>
      <c r="C324" s="500" t="s">
        <v>321</v>
      </c>
      <c r="D324" s="518"/>
      <c r="E324" s="483"/>
      <c r="F324" s="945">
        <v>43.05771</v>
      </c>
      <c r="G324" s="678">
        <v>1537116</v>
      </c>
      <c r="H324" s="912">
        <v>227558</v>
      </c>
      <c r="I324" s="13"/>
    </row>
    <row r="325" spans="1:9" x14ac:dyDescent="0.35">
      <c r="A325" s="497" t="s">
        <v>1149</v>
      </c>
      <c r="B325" s="498" t="s">
        <v>359</v>
      </c>
      <c r="C325" s="498" t="s">
        <v>322</v>
      </c>
      <c r="D325" s="508"/>
      <c r="E325" s="484"/>
      <c r="F325" s="945">
        <v>43.05771</v>
      </c>
      <c r="G325" s="679">
        <v>4507006</v>
      </c>
      <c r="H325" s="912">
        <v>227557</v>
      </c>
      <c r="I325" s="13"/>
    </row>
    <row r="326" spans="1:9" x14ac:dyDescent="0.35">
      <c r="A326" s="497" t="s">
        <v>1208</v>
      </c>
      <c r="B326" s="498" t="s">
        <v>359</v>
      </c>
      <c r="C326" s="498" t="s">
        <v>377</v>
      </c>
      <c r="D326" s="508"/>
      <c r="E326" s="484"/>
      <c r="F326" s="945">
        <v>43.05771</v>
      </c>
      <c r="G326" s="679">
        <v>8793091</v>
      </c>
      <c r="H326" s="912">
        <v>227559</v>
      </c>
      <c r="I326" s="13"/>
    </row>
    <row r="327" spans="1:9" x14ac:dyDescent="0.35">
      <c r="A327" s="497" t="s">
        <v>1318</v>
      </c>
      <c r="B327" s="498" t="s">
        <v>359</v>
      </c>
      <c r="C327" s="746" t="s">
        <v>1025</v>
      </c>
      <c r="D327" s="747"/>
      <c r="E327" s="748"/>
      <c r="F327" s="945">
        <v>43.05771</v>
      </c>
      <c r="G327" s="749">
        <v>9967873</v>
      </c>
      <c r="H327" s="912">
        <v>348965</v>
      </c>
      <c r="I327" s="13"/>
    </row>
    <row r="328" spans="1:9" x14ac:dyDescent="0.35">
      <c r="A328" s="492" t="s">
        <v>350</v>
      </c>
      <c r="B328" s="494" t="s">
        <v>359</v>
      </c>
      <c r="C328" s="494" t="s">
        <v>242</v>
      </c>
      <c r="D328" s="509" t="s">
        <v>756</v>
      </c>
      <c r="E328" s="495"/>
      <c r="F328" s="945">
        <v>124.05085</v>
      </c>
      <c r="G328" s="677">
        <v>4599324</v>
      </c>
      <c r="H328" s="912">
        <v>227560</v>
      </c>
      <c r="I328" s="13"/>
    </row>
    <row r="329" spans="1:9" x14ac:dyDescent="0.35">
      <c r="A329" s="263" t="s">
        <v>1091</v>
      </c>
      <c r="B329" s="264" t="s">
        <v>360</v>
      </c>
      <c r="C329" s="264" t="s">
        <v>321</v>
      </c>
      <c r="D329" s="513"/>
      <c r="E329" s="265"/>
      <c r="F329" s="945">
        <v>47.092230000000001</v>
      </c>
      <c r="G329" s="917">
        <v>4160461</v>
      </c>
      <c r="H329" s="912">
        <v>227562</v>
      </c>
      <c r="I329" s="13"/>
    </row>
    <row r="330" spans="1:9" x14ac:dyDescent="0.35">
      <c r="A330" s="266" t="s">
        <v>1150</v>
      </c>
      <c r="B330" s="267" t="s">
        <v>360</v>
      </c>
      <c r="C330" s="267" t="s">
        <v>322</v>
      </c>
      <c r="D330" s="514"/>
      <c r="E330" s="268"/>
      <c r="F330" s="945">
        <v>47.092230000000001</v>
      </c>
      <c r="G330" s="916">
        <v>9078516</v>
      </c>
      <c r="H330" s="912">
        <v>227561</v>
      </c>
      <c r="I330" s="13"/>
    </row>
    <row r="331" spans="1:9" x14ac:dyDescent="0.35">
      <c r="A331" s="479" t="s">
        <v>1209</v>
      </c>
      <c r="B331" s="480" t="s">
        <v>360</v>
      </c>
      <c r="C331" s="480" t="s">
        <v>377</v>
      </c>
      <c r="D331" s="515"/>
      <c r="E331" s="268"/>
      <c r="F331" s="945">
        <v>47.092230000000001</v>
      </c>
      <c r="G331" s="673">
        <v>9976616</v>
      </c>
      <c r="H331" s="912">
        <v>227563</v>
      </c>
      <c r="I331" s="13"/>
    </row>
    <row r="332" spans="1:9" x14ac:dyDescent="0.35">
      <c r="A332" s="479" t="s">
        <v>1319</v>
      </c>
      <c r="B332" s="480" t="s">
        <v>360</v>
      </c>
      <c r="C332" s="480" t="s">
        <v>1025</v>
      </c>
      <c r="D332" s="738"/>
      <c r="E332" s="739"/>
      <c r="F332" s="945">
        <v>48.213470000000001</v>
      </c>
      <c r="G332" s="740">
        <v>7362305</v>
      </c>
      <c r="H332" s="912">
        <v>314836</v>
      </c>
      <c r="I332" s="13"/>
    </row>
    <row r="333" spans="1:9" x14ac:dyDescent="0.35">
      <c r="A333" s="270" t="s">
        <v>351</v>
      </c>
      <c r="B333" s="271" t="s">
        <v>360</v>
      </c>
      <c r="C333" s="271" t="s">
        <v>242</v>
      </c>
      <c r="D333" s="509" t="s">
        <v>756</v>
      </c>
      <c r="E333" s="272"/>
      <c r="F333" s="945">
        <v>140.60831999999999</v>
      </c>
      <c r="G333" s="675">
        <v>1955343</v>
      </c>
      <c r="H333" s="912">
        <v>227564</v>
      </c>
      <c r="I333" s="13"/>
    </row>
    <row r="334" spans="1:9" x14ac:dyDescent="0.35">
      <c r="A334" s="263" t="s">
        <v>1092</v>
      </c>
      <c r="B334" s="264" t="s">
        <v>361</v>
      </c>
      <c r="C334" s="264" t="s">
        <v>321</v>
      </c>
      <c r="D334" s="513"/>
      <c r="E334" s="265"/>
      <c r="F334" s="945">
        <v>100.76446</v>
      </c>
      <c r="G334" s="917">
        <v>7246986</v>
      </c>
      <c r="H334" s="912">
        <v>227566</v>
      </c>
      <c r="I334" s="13"/>
    </row>
    <row r="335" spans="1:9" x14ac:dyDescent="0.35">
      <c r="A335" s="266" t="s">
        <v>1151</v>
      </c>
      <c r="B335" s="267" t="s">
        <v>361</v>
      </c>
      <c r="C335" s="267" t="s">
        <v>322</v>
      </c>
      <c r="D335" s="514"/>
      <c r="E335" s="268"/>
      <c r="F335" s="945">
        <v>100.76446</v>
      </c>
      <c r="G335" s="916">
        <v>6274922</v>
      </c>
      <c r="H335" s="912">
        <v>227565</v>
      </c>
      <c r="I335" s="13"/>
    </row>
    <row r="336" spans="1:9" x14ac:dyDescent="0.35">
      <c r="A336" s="479" t="s">
        <v>1210</v>
      </c>
      <c r="B336" s="480" t="s">
        <v>361</v>
      </c>
      <c r="C336" s="480" t="s">
        <v>377</v>
      </c>
      <c r="D336" s="515"/>
      <c r="E336" s="268"/>
      <c r="F336" s="945">
        <v>100.76446</v>
      </c>
      <c r="G336" s="673">
        <v>8016671</v>
      </c>
      <c r="H336" s="912">
        <v>227567</v>
      </c>
      <c r="I336" s="13"/>
    </row>
    <row r="337" spans="1:10" x14ac:dyDescent="0.35">
      <c r="A337" s="479" t="s">
        <v>1320</v>
      </c>
      <c r="B337" s="480" t="s">
        <v>361</v>
      </c>
      <c r="C337" s="480" t="s">
        <v>1025</v>
      </c>
      <c r="D337" s="738"/>
      <c r="E337" s="739"/>
      <c r="F337" s="945">
        <v>100.76446</v>
      </c>
      <c r="G337" s="740">
        <v>6841370</v>
      </c>
      <c r="H337" s="912">
        <v>348966</v>
      </c>
      <c r="I337" s="13"/>
    </row>
    <row r="338" spans="1:10" x14ac:dyDescent="0.35">
      <c r="A338" s="492" t="s">
        <v>352</v>
      </c>
      <c r="B338" s="494" t="s">
        <v>361</v>
      </c>
      <c r="C338" s="494" t="s">
        <v>242</v>
      </c>
      <c r="D338" s="509" t="s">
        <v>756</v>
      </c>
      <c r="E338" s="495"/>
      <c r="F338" s="945">
        <v>205.18024</v>
      </c>
      <c r="G338" s="677">
        <v>1665209</v>
      </c>
      <c r="H338" s="912">
        <v>227568</v>
      </c>
      <c r="I338" s="13"/>
    </row>
    <row r="339" spans="1:10" x14ac:dyDescent="0.35">
      <c r="A339" s="37"/>
      <c r="B339" s="31"/>
      <c r="C339" s="31"/>
      <c r="D339" s="516"/>
      <c r="E339" s="42"/>
      <c r="F339" s="945"/>
      <c r="G339" s="914"/>
      <c r="H339" s="913"/>
      <c r="I339" s="13"/>
    </row>
    <row r="340" spans="1:10" x14ac:dyDescent="0.35">
      <c r="A340" s="33"/>
      <c r="B340" s="34"/>
      <c r="C340" s="34"/>
      <c r="D340" s="517"/>
      <c r="E340" s="32"/>
      <c r="F340" s="945"/>
      <c r="G340" s="35"/>
      <c r="H340" s="913"/>
      <c r="I340" s="13"/>
    </row>
    <row r="341" spans="1:10" x14ac:dyDescent="0.35">
      <c r="A341" s="37"/>
      <c r="B341" s="31"/>
      <c r="C341" s="31"/>
      <c r="D341" s="516"/>
      <c r="E341" s="42"/>
      <c r="F341" s="945"/>
      <c r="G341" s="914"/>
      <c r="H341" s="913"/>
      <c r="I341" s="13"/>
    </row>
    <row r="342" spans="1:10" x14ac:dyDescent="0.35">
      <c r="A342" s="37"/>
      <c r="B342" s="31"/>
      <c r="C342" s="31"/>
      <c r="D342" s="516"/>
      <c r="E342" s="42"/>
      <c r="F342" s="945"/>
      <c r="G342" s="914"/>
      <c r="H342" s="913"/>
      <c r="I342" s="13"/>
    </row>
    <row r="343" spans="1:10" x14ac:dyDescent="0.35">
      <c r="A343" s="38" t="s">
        <v>79</v>
      </c>
      <c r="B343" s="31"/>
      <c r="C343" s="31"/>
      <c r="D343" s="516"/>
      <c r="E343" s="42"/>
      <c r="F343" s="945"/>
      <c r="G343" s="914"/>
      <c r="H343" s="913"/>
      <c r="I343" s="13"/>
    </row>
    <row r="344" spans="1:10" x14ac:dyDescent="0.35">
      <c r="A344" s="37" t="s">
        <v>354</v>
      </c>
      <c r="B344" s="31" t="s">
        <v>356</v>
      </c>
      <c r="C344" s="31" t="s">
        <v>240</v>
      </c>
      <c r="D344" s="516"/>
      <c r="E344" s="42"/>
      <c r="F344" s="945">
        <v>20.202860000000001</v>
      </c>
      <c r="G344" s="911">
        <v>4476127</v>
      </c>
      <c r="H344" s="912">
        <v>227541</v>
      </c>
      <c r="I344" s="13"/>
    </row>
    <row r="345" spans="1:10" x14ac:dyDescent="0.35">
      <c r="A345" s="37" t="s">
        <v>353</v>
      </c>
      <c r="B345" s="31" t="s">
        <v>355</v>
      </c>
      <c r="C345" s="31" t="s">
        <v>240</v>
      </c>
      <c r="D345" s="516"/>
      <c r="E345" s="32"/>
      <c r="F345" s="945">
        <v>22.951080000000001</v>
      </c>
      <c r="G345" s="911">
        <v>4745381</v>
      </c>
      <c r="H345" s="912">
        <v>227542</v>
      </c>
      <c r="I345" s="13"/>
    </row>
    <row r="346" spans="1:10" s="762" customFormat="1" x14ac:dyDescent="0.35">
      <c r="A346" s="37" t="s">
        <v>1370</v>
      </c>
      <c r="B346" s="31" t="s">
        <v>1402</v>
      </c>
      <c r="C346" s="31" t="s">
        <v>240</v>
      </c>
      <c r="D346" s="516" t="s">
        <v>756</v>
      </c>
      <c r="E346" s="32"/>
      <c r="F346" s="945">
        <v>131</v>
      </c>
      <c r="G346" s="920">
        <v>4636848</v>
      </c>
      <c r="H346" s="912">
        <v>347994</v>
      </c>
      <c r="I346" s="13"/>
      <c r="J346" s="642"/>
    </row>
    <row r="347" spans="1:10" x14ac:dyDescent="0.35">
      <c r="A347" s="37" t="s">
        <v>363</v>
      </c>
      <c r="B347" s="31" t="s">
        <v>365</v>
      </c>
      <c r="C347" s="31" t="s">
        <v>240</v>
      </c>
      <c r="D347" s="516"/>
      <c r="E347" s="42"/>
      <c r="F347" s="945">
        <v>7.6647100000000004</v>
      </c>
      <c r="G347" s="676">
        <v>9105005</v>
      </c>
      <c r="H347" s="912">
        <v>227543</v>
      </c>
      <c r="I347" s="13"/>
    </row>
    <row r="348" spans="1:10" x14ac:dyDescent="0.35">
      <c r="A348" s="37" t="s">
        <v>362</v>
      </c>
      <c r="B348" s="31" t="s">
        <v>364</v>
      </c>
      <c r="C348" s="31" t="s">
        <v>240</v>
      </c>
      <c r="D348" s="516"/>
      <c r="E348" s="32"/>
      <c r="F348" s="945">
        <v>10.349030000000001</v>
      </c>
      <c r="G348" s="911">
        <v>7054881</v>
      </c>
      <c r="H348" s="912">
        <v>227544</v>
      </c>
      <c r="I348" s="13"/>
    </row>
    <row r="349" spans="1:10" s="762" customFormat="1" x14ac:dyDescent="0.35">
      <c r="A349" s="37" t="s">
        <v>1371</v>
      </c>
      <c r="B349" s="31" t="s">
        <v>1403</v>
      </c>
      <c r="C349" s="31" t="s">
        <v>240</v>
      </c>
      <c r="D349" s="516"/>
      <c r="E349" s="32"/>
      <c r="F349" s="945">
        <v>124.63539</v>
      </c>
      <c r="G349" s="920">
        <v>1598535</v>
      </c>
      <c r="H349" s="912">
        <v>347995</v>
      </c>
      <c r="I349" s="13"/>
      <c r="J349" s="642"/>
    </row>
    <row r="350" spans="1:10" x14ac:dyDescent="0.35">
      <c r="A350" s="37" t="s">
        <v>366</v>
      </c>
      <c r="B350" s="31" t="s">
        <v>368</v>
      </c>
      <c r="C350" s="31" t="s">
        <v>240</v>
      </c>
      <c r="D350" s="516"/>
      <c r="E350" s="32"/>
      <c r="F350" s="945">
        <v>15.18336</v>
      </c>
      <c r="G350" s="911">
        <v>3949406</v>
      </c>
      <c r="H350" s="912">
        <v>227545</v>
      </c>
      <c r="I350" s="13"/>
    </row>
    <row r="351" spans="1:10" x14ac:dyDescent="0.35">
      <c r="A351" s="37" t="s">
        <v>1369</v>
      </c>
      <c r="B351" s="31" t="s">
        <v>367</v>
      </c>
      <c r="C351" s="31" t="s">
        <v>240</v>
      </c>
      <c r="D351" s="516"/>
      <c r="E351" s="32"/>
      <c r="F351" s="945">
        <v>17.9316</v>
      </c>
      <c r="G351" s="911">
        <v>4314617</v>
      </c>
      <c r="H351" s="912">
        <v>227546</v>
      </c>
      <c r="I351" s="13"/>
    </row>
    <row r="352" spans="1:10" s="762" customFormat="1" x14ac:dyDescent="0.35">
      <c r="A352" s="37" t="s">
        <v>1372</v>
      </c>
      <c r="B352" s="31" t="s">
        <v>1404</v>
      </c>
      <c r="C352" s="31" t="s">
        <v>240</v>
      </c>
      <c r="D352" s="516" t="s">
        <v>756</v>
      </c>
      <c r="E352" s="32"/>
      <c r="F352" s="945">
        <v>131.97156000000001</v>
      </c>
      <c r="G352" s="920">
        <v>4734090</v>
      </c>
      <c r="H352" s="912">
        <v>347996</v>
      </c>
      <c r="I352" s="13"/>
      <c r="J352" s="642"/>
    </row>
    <row r="353" spans="1:9" x14ac:dyDescent="0.35">
      <c r="A353" s="37" t="s">
        <v>370</v>
      </c>
      <c r="B353" s="31" t="s">
        <v>372</v>
      </c>
      <c r="C353" s="31" t="s">
        <v>240</v>
      </c>
      <c r="D353" s="516"/>
      <c r="E353" s="32"/>
      <c r="F353" s="945">
        <v>18.390879999999999</v>
      </c>
      <c r="G353" s="911">
        <v>8850350</v>
      </c>
      <c r="H353" s="912">
        <v>227547</v>
      </c>
      <c r="I353" s="13"/>
    </row>
    <row r="354" spans="1:9" x14ac:dyDescent="0.35">
      <c r="A354" s="37" t="s">
        <v>369</v>
      </c>
      <c r="B354" s="31" t="s">
        <v>371</v>
      </c>
      <c r="C354" s="31" t="s">
        <v>240</v>
      </c>
      <c r="D354" s="516"/>
      <c r="E354" s="32"/>
      <c r="F354" s="945">
        <v>22.423169999999999</v>
      </c>
      <c r="G354" s="911">
        <v>6997079</v>
      </c>
      <c r="H354" s="912">
        <v>227548</v>
      </c>
      <c r="I354" s="13"/>
    </row>
    <row r="355" spans="1:9" x14ac:dyDescent="0.35">
      <c r="A355" s="37" t="s">
        <v>1373</v>
      </c>
      <c r="B355" s="31" t="s">
        <v>1405</v>
      </c>
      <c r="C355" s="31" t="s">
        <v>240</v>
      </c>
      <c r="D355" s="517"/>
      <c r="E355" s="32"/>
      <c r="F355" s="945">
        <v>194.01103000000001</v>
      </c>
      <c r="G355" s="920">
        <v>8848970</v>
      </c>
      <c r="H355" s="912">
        <v>347997</v>
      </c>
      <c r="I355" s="13"/>
    </row>
    <row r="356" spans="1:9" x14ac:dyDescent="0.35">
      <c r="A356" s="33"/>
      <c r="B356" s="34"/>
      <c r="C356" s="34"/>
      <c r="D356" s="517"/>
      <c r="E356" s="32"/>
      <c r="F356" s="945"/>
      <c r="G356" s="924"/>
      <c r="H356" s="913"/>
      <c r="I356" s="13"/>
    </row>
    <row r="357" spans="1:9" x14ac:dyDescent="0.35">
      <c r="A357" s="33"/>
      <c r="B357" s="34"/>
      <c r="C357" s="34"/>
      <c r="D357" s="517"/>
      <c r="E357" s="32"/>
      <c r="F357" s="945"/>
      <c r="G357" s="924"/>
      <c r="H357" s="913"/>
      <c r="I357" s="13"/>
    </row>
    <row r="358" spans="1:9" x14ac:dyDescent="0.35">
      <c r="A358" s="33"/>
      <c r="B358" s="34"/>
      <c r="C358" s="34"/>
      <c r="D358" s="517"/>
      <c r="E358" s="32"/>
      <c r="F358" s="945"/>
      <c r="G358" s="924"/>
      <c r="H358" s="913"/>
      <c r="I358" s="13"/>
    </row>
    <row r="359" spans="1:9" x14ac:dyDescent="0.35">
      <c r="A359" s="38" t="s">
        <v>80</v>
      </c>
      <c r="B359" s="31"/>
      <c r="C359" s="31"/>
      <c r="D359" s="516"/>
      <c r="E359" s="42"/>
      <c r="F359" s="945"/>
      <c r="G359" s="914"/>
      <c r="H359" s="913"/>
      <c r="I359" s="13"/>
    </row>
    <row r="360" spans="1:9" x14ac:dyDescent="0.35">
      <c r="A360" s="263" t="s">
        <v>390</v>
      </c>
      <c r="B360" s="264" t="s">
        <v>375</v>
      </c>
      <c r="C360" s="264" t="s">
        <v>321</v>
      </c>
      <c r="D360" s="513"/>
      <c r="E360" s="265"/>
      <c r="F360" s="945">
        <v>413.54563999999999</v>
      </c>
      <c r="G360" s="917">
        <v>5156741</v>
      </c>
      <c r="H360" s="912">
        <v>227571</v>
      </c>
      <c r="I360" s="13"/>
    </row>
    <row r="361" spans="1:9" x14ac:dyDescent="0.35">
      <c r="A361" s="266" t="s">
        <v>373</v>
      </c>
      <c r="B361" s="267" t="s">
        <v>375</v>
      </c>
      <c r="C361" s="267" t="s">
        <v>322</v>
      </c>
      <c r="D361" s="514"/>
      <c r="E361" s="268"/>
      <c r="F361" s="945">
        <v>413.54563999999999</v>
      </c>
      <c r="G361" s="916">
        <v>1777320</v>
      </c>
      <c r="H361" s="912">
        <v>227570</v>
      </c>
      <c r="I361" s="13"/>
    </row>
    <row r="362" spans="1:9" x14ac:dyDescent="0.35">
      <c r="A362" s="266" t="s">
        <v>1224</v>
      </c>
      <c r="B362" s="267" t="s">
        <v>375</v>
      </c>
      <c r="C362" s="267" t="s">
        <v>377</v>
      </c>
      <c r="D362" s="514"/>
      <c r="E362" s="268"/>
      <c r="F362" s="945">
        <v>413.54563999999999</v>
      </c>
      <c r="G362" s="916">
        <v>8239496</v>
      </c>
      <c r="H362" s="912">
        <v>227572</v>
      </c>
      <c r="I362" s="13"/>
    </row>
    <row r="363" spans="1:9" x14ac:dyDescent="0.35">
      <c r="A363" s="266" t="s">
        <v>1321</v>
      </c>
      <c r="B363" s="267" t="s">
        <v>375</v>
      </c>
      <c r="C363" s="267" t="s">
        <v>1025</v>
      </c>
      <c r="D363" s="744"/>
      <c r="E363" s="739"/>
      <c r="F363" s="945">
        <v>413.54563999999999</v>
      </c>
      <c r="G363" s="916">
        <v>7229983</v>
      </c>
      <c r="H363" s="912">
        <v>314838</v>
      </c>
      <c r="I363" s="13"/>
    </row>
    <row r="364" spans="1:9" x14ac:dyDescent="0.35">
      <c r="A364" s="492" t="s">
        <v>374</v>
      </c>
      <c r="B364" s="494" t="s">
        <v>376</v>
      </c>
      <c r="C364" s="494" t="s">
        <v>425</v>
      </c>
      <c r="D364" s="509" t="s">
        <v>756</v>
      </c>
      <c r="E364" s="495"/>
      <c r="F364" s="945">
        <v>578.41043999999999</v>
      </c>
      <c r="G364" s="677">
        <v>5016984</v>
      </c>
      <c r="H364" s="912">
        <v>227573</v>
      </c>
      <c r="I364" s="13"/>
    </row>
    <row r="365" spans="1:9" x14ac:dyDescent="0.35">
      <c r="A365" s="37"/>
      <c r="B365" s="31"/>
      <c r="C365" s="31"/>
      <c r="D365" s="516"/>
      <c r="E365" s="42"/>
      <c r="F365" s="945"/>
      <c r="G365" s="921"/>
      <c r="H365" s="913"/>
      <c r="I365" s="13"/>
    </row>
    <row r="366" spans="1:9" x14ac:dyDescent="0.35">
      <c r="A366" s="33"/>
      <c r="B366" s="34"/>
      <c r="C366" s="34"/>
      <c r="D366" s="517"/>
      <c r="E366" s="32"/>
      <c r="F366" s="945"/>
      <c r="G366" s="35"/>
      <c r="H366" s="913"/>
      <c r="I366" s="13"/>
    </row>
    <row r="367" spans="1:9" x14ac:dyDescent="0.35">
      <c r="A367" s="37"/>
      <c r="B367" s="31"/>
      <c r="C367" s="31"/>
      <c r="D367" s="516"/>
      <c r="E367" s="42"/>
      <c r="F367" s="945"/>
      <c r="G367" s="921"/>
      <c r="H367" s="913"/>
      <c r="I367" s="13"/>
    </row>
    <row r="368" spans="1:9" x14ac:dyDescent="0.35">
      <c r="A368" s="37"/>
      <c r="B368" s="31"/>
      <c r="C368" s="31"/>
      <c r="D368" s="516"/>
      <c r="E368" s="42"/>
      <c r="F368" s="945"/>
      <c r="G368" s="921"/>
      <c r="H368" s="913"/>
      <c r="I368" s="13"/>
    </row>
    <row r="369" spans="1:9" x14ac:dyDescent="0.35">
      <c r="A369" s="263" t="s">
        <v>389</v>
      </c>
      <c r="B369" s="264" t="s">
        <v>380</v>
      </c>
      <c r="C369" s="264" t="s">
        <v>321</v>
      </c>
      <c r="D369" s="513"/>
      <c r="E369" s="265"/>
      <c r="F369" s="945">
        <v>585.05386999999996</v>
      </c>
      <c r="G369" s="917">
        <v>4529568</v>
      </c>
      <c r="H369" s="912">
        <v>227575</v>
      </c>
      <c r="I369" s="13"/>
    </row>
    <row r="370" spans="1:9" x14ac:dyDescent="0.35">
      <c r="A370" s="266" t="s">
        <v>378</v>
      </c>
      <c r="B370" s="267" t="s">
        <v>380</v>
      </c>
      <c r="C370" s="267" t="s">
        <v>322</v>
      </c>
      <c r="D370" s="514"/>
      <c r="E370" s="268"/>
      <c r="F370" s="945">
        <v>585.05386999999996</v>
      </c>
      <c r="G370" s="916">
        <v>4967635</v>
      </c>
      <c r="H370" s="912">
        <v>227574</v>
      </c>
      <c r="I370" s="13"/>
    </row>
    <row r="371" spans="1:9" x14ac:dyDescent="0.35">
      <c r="A371" s="266" t="s">
        <v>1225</v>
      </c>
      <c r="B371" s="267" t="s">
        <v>380</v>
      </c>
      <c r="C371" s="267" t="s">
        <v>377</v>
      </c>
      <c r="D371" s="514"/>
      <c r="E371" s="268"/>
      <c r="F371" s="945">
        <v>585.05386999999996</v>
      </c>
      <c r="G371" s="916">
        <v>2910052</v>
      </c>
      <c r="H371" s="912">
        <v>227576</v>
      </c>
      <c r="I371" s="13"/>
    </row>
    <row r="372" spans="1:9" x14ac:dyDescent="0.35">
      <c r="A372" s="266" t="s">
        <v>1322</v>
      </c>
      <c r="B372" s="267" t="s">
        <v>380</v>
      </c>
      <c r="C372" s="267" t="s">
        <v>1025</v>
      </c>
      <c r="D372" s="744"/>
      <c r="E372" s="739"/>
      <c r="F372" s="945">
        <v>585.05386999999996</v>
      </c>
      <c r="G372" s="916">
        <v>5349021</v>
      </c>
      <c r="H372" s="912">
        <v>314839</v>
      </c>
      <c r="I372" s="13"/>
    </row>
    <row r="373" spans="1:9" x14ac:dyDescent="0.35">
      <c r="A373" s="492" t="s">
        <v>379</v>
      </c>
      <c r="B373" s="494" t="s">
        <v>381</v>
      </c>
      <c r="C373" s="494" t="s">
        <v>425</v>
      </c>
      <c r="D373" s="509" t="s">
        <v>756</v>
      </c>
      <c r="E373" s="495"/>
      <c r="F373" s="945">
        <v>928.53114000000005</v>
      </c>
      <c r="G373" s="677">
        <v>3793148</v>
      </c>
      <c r="H373" s="912">
        <v>227577</v>
      </c>
      <c r="I373" s="13"/>
    </row>
    <row r="374" spans="1:9" x14ac:dyDescent="0.35">
      <c r="A374" s="263" t="s">
        <v>427</v>
      </c>
      <c r="B374" s="264" t="s">
        <v>382</v>
      </c>
      <c r="C374" s="264" t="s">
        <v>321</v>
      </c>
      <c r="D374" s="513"/>
      <c r="E374" s="265"/>
      <c r="F374" s="945">
        <v>547.28877999999997</v>
      </c>
      <c r="G374" s="917">
        <v>3868654</v>
      </c>
      <c r="H374" s="912">
        <v>236547</v>
      </c>
      <c r="I374" s="13"/>
    </row>
    <row r="375" spans="1:9" x14ac:dyDescent="0.35">
      <c r="A375" s="266" t="s">
        <v>428</v>
      </c>
      <c r="B375" s="267" t="s">
        <v>382</v>
      </c>
      <c r="C375" s="267" t="s">
        <v>322</v>
      </c>
      <c r="D375" s="514"/>
      <c r="E375" s="268"/>
      <c r="F375" s="945">
        <v>547.28877999999997</v>
      </c>
      <c r="G375" s="916">
        <v>9103721</v>
      </c>
      <c r="H375" s="912">
        <v>236546</v>
      </c>
      <c r="I375" s="13"/>
    </row>
    <row r="376" spans="1:9" x14ac:dyDescent="0.35">
      <c r="A376" s="266" t="s">
        <v>1226</v>
      </c>
      <c r="B376" s="267" t="s">
        <v>382</v>
      </c>
      <c r="C376" s="267" t="s">
        <v>377</v>
      </c>
      <c r="D376" s="514"/>
      <c r="E376" s="268"/>
      <c r="F376" s="945">
        <v>547.28877999999997</v>
      </c>
      <c r="G376" s="916">
        <v>6724341</v>
      </c>
      <c r="H376" s="912">
        <v>236548</v>
      </c>
      <c r="I376" s="13"/>
    </row>
    <row r="377" spans="1:9" x14ac:dyDescent="0.35">
      <c r="A377" s="266" t="s">
        <v>1323</v>
      </c>
      <c r="B377" s="267" t="s">
        <v>382</v>
      </c>
      <c r="C377" s="267" t="s">
        <v>1025</v>
      </c>
      <c r="D377" s="744"/>
      <c r="E377" s="739"/>
      <c r="F377" s="945">
        <v>547.28877999999997</v>
      </c>
      <c r="G377" s="916">
        <v>4940600</v>
      </c>
      <c r="H377" s="912">
        <v>314840</v>
      </c>
      <c r="I377" s="13"/>
    </row>
    <row r="378" spans="1:9" x14ac:dyDescent="0.35">
      <c r="A378" s="492" t="s">
        <v>429</v>
      </c>
      <c r="B378" s="494" t="s">
        <v>383</v>
      </c>
      <c r="C378" s="494" t="s">
        <v>425</v>
      </c>
      <c r="D378" s="509" t="s">
        <v>756</v>
      </c>
      <c r="E378" s="495"/>
      <c r="F378" s="945">
        <v>890.76007000000004</v>
      </c>
      <c r="G378" s="677">
        <v>9439314</v>
      </c>
      <c r="H378" s="912">
        <v>236549</v>
      </c>
      <c r="I378" s="13"/>
    </row>
    <row r="379" spans="1:9" x14ac:dyDescent="0.35">
      <c r="A379" s="33"/>
      <c r="B379" s="34"/>
      <c r="C379" s="34"/>
      <c r="D379" s="517"/>
      <c r="E379" s="32"/>
      <c r="F379" s="945"/>
      <c r="G379" s="35"/>
      <c r="H379" s="913"/>
      <c r="I379" s="13"/>
    </row>
    <row r="380" spans="1:9" x14ac:dyDescent="0.35">
      <c r="A380" s="33"/>
      <c r="B380" s="34"/>
      <c r="C380" s="34"/>
      <c r="D380" s="517"/>
      <c r="E380" s="32"/>
      <c r="F380" s="945"/>
      <c r="G380" s="35"/>
      <c r="H380" s="913"/>
      <c r="I380" s="13"/>
    </row>
    <row r="381" spans="1:9" x14ac:dyDescent="0.35">
      <c r="A381" s="33"/>
      <c r="B381" s="34"/>
      <c r="C381" s="34"/>
      <c r="D381" s="517"/>
      <c r="E381" s="32"/>
      <c r="F381" s="945"/>
      <c r="G381" s="35"/>
      <c r="H381" s="913"/>
      <c r="I381" s="13"/>
    </row>
    <row r="382" spans="1:9" x14ac:dyDescent="0.35">
      <c r="A382" s="33"/>
      <c r="B382" s="34"/>
      <c r="C382" s="34"/>
      <c r="D382" s="517"/>
      <c r="E382" s="32"/>
      <c r="F382" s="945"/>
      <c r="G382" s="35"/>
      <c r="H382" s="913"/>
      <c r="I382" s="13"/>
    </row>
    <row r="383" spans="1:9" x14ac:dyDescent="0.35">
      <c r="A383" s="33"/>
      <c r="B383" s="34"/>
      <c r="C383" s="34"/>
      <c r="D383" s="517"/>
      <c r="E383" s="32"/>
      <c r="F383" s="945"/>
      <c r="G383" s="35"/>
      <c r="H383" s="913"/>
      <c r="I383" s="13"/>
    </row>
    <row r="384" spans="1:9" x14ac:dyDescent="0.35">
      <c r="A384" s="263" t="s">
        <v>1229</v>
      </c>
      <c r="B384" s="264" t="s">
        <v>387</v>
      </c>
      <c r="C384" s="264" t="s">
        <v>321</v>
      </c>
      <c r="D384" s="513"/>
      <c r="E384" s="265"/>
      <c r="F384" s="945">
        <v>446.52434</v>
      </c>
      <c r="G384" s="917">
        <v>1302013</v>
      </c>
      <c r="H384" s="912">
        <v>227583</v>
      </c>
      <c r="I384" s="13"/>
    </row>
    <row r="385" spans="1:9" x14ac:dyDescent="0.35">
      <c r="A385" s="266" t="s">
        <v>1246</v>
      </c>
      <c r="B385" s="267" t="s">
        <v>387</v>
      </c>
      <c r="C385" s="267" t="s">
        <v>322</v>
      </c>
      <c r="D385" s="514"/>
      <c r="E385" s="268"/>
      <c r="F385" s="945">
        <v>446.52434</v>
      </c>
      <c r="G385" s="916">
        <v>8063022</v>
      </c>
      <c r="H385" s="912">
        <v>227582</v>
      </c>
      <c r="I385" s="13"/>
    </row>
    <row r="386" spans="1:9" x14ac:dyDescent="0.35">
      <c r="A386" s="266" t="s">
        <v>1227</v>
      </c>
      <c r="B386" s="267" t="s">
        <v>387</v>
      </c>
      <c r="C386" s="267" t="s">
        <v>377</v>
      </c>
      <c r="D386" s="514"/>
      <c r="E386" s="268"/>
      <c r="F386" s="945">
        <v>446.52434</v>
      </c>
      <c r="G386" s="916">
        <v>8107316</v>
      </c>
      <c r="H386" s="912">
        <v>227584</v>
      </c>
      <c r="I386" s="13"/>
    </row>
    <row r="387" spans="1:9" x14ac:dyDescent="0.35">
      <c r="A387" s="266" t="s">
        <v>1324</v>
      </c>
      <c r="B387" s="267" t="s">
        <v>387</v>
      </c>
      <c r="C387" s="267" t="s">
        <v>1025</v>
      </c>
      <c r="D387" s="744"/>
      <c r="E387" s="739"/>
      <c r="F387" s="945">
        <v>446.52434</v>
      </c>
      <c r="G387" s="916">
        <v>1859092</v>
      </c>
      <c r="H387" s="912">
        <v>314842</v>
      </c>
      <c r="I387" s="13"/>
    </row>
    <row r="388" spans="1:9" x14ac:dyDescent="0.35">
      <c r="A388" s="492" t="s">
        <v>384</v>
      </c>
      <c r="B388" s="494" t="s">
        <v>387</v>
      </c>
      <c r="C388" s="494" t="s">
        <v>386</v>
      </c>
      <c r="D388" s="509" t="s">
        <v>756</v>
      </c>
      <c r="E388" s="495"/>
      <c r="F388" s="945">
        <v>934.24872000000005</v>
      </c>
      <c r="G388" s="677">
        <v>6242793</v>
      </c>
      <c r="H388" s="912">
        <v>227585</v>
      </c>
      <c r="I388" s="13"/>
    </row>
    <row r="389" spans="1:9" x14ac:dyDescent="0.35">
      <c r="A389" s="263" t="s">
        <v>1230</v>
      </c>
      <c r="B389" s="264" t="s">
        <v>388</v>
      </c>
      <c r="C389" s="264" t="s">
        <v>321</v>
      </c>
      <c r="D389" s="513"/>
      <c r="E389" s="265"/>
      <c r="F389" s="945">
        <v>467.12466999999998</v>
      </c>
      <c r="G389" s="917">
        <v>5897587</v>
      </c>
      <c r="H389" s="912">
        <v>227579</v>
      </c>
      <c r="I389" s="13"/>
    </row>
    <row r="390" spans="1:9" x14ac:dyDescent="0.35">
      <c r="A390" s="266" t="s">
        <v>1247</v>
      </c>
      <c r="B390" s="267" t="s">
        <v>388</v>
      </c>
      <c r="C390" s="267" t="s">
        <v>322</v>
      </c>
      <c r="D390" s="514"/>
      <c r="E390" s="268"/>
      <c r="F390" s="945">
        <v>467.12466999999998</v>
      </c>
      <c r="G390" s="916">
        <v>7731476</v>
      </c>
      <c r="H390" s="912">
        <v>227578</v>
      </c>
      <c r="I390" s="13"/>
    </row>
    <row r="391" spans="1:9" x14ac:dyDescent="0.35">
      <c r="A391" s="266" t="s">
        <v>1228</v>
      </c>
      <c r="B391" s="267" t="s">
        <v>388</v>
      </c>
      <c r="C391" s="267" t="s">
        <v>377</v>
      </c>
      <c r="D391" s="514"/>
      <c r="E391" s="268"/>
      <c r="F391" s="945">
        <v>467.12466999999998</v>
      </c>
      <c r="G391" s="916">
        <v>9425225</v>
      </c>
      <c r="H391" s="912">
        <v>227580</v>
      </c>
      <c r="I391" s="13"/>
    </row>
    <row r="392" spans="1:9" x14ac:dyDescent="0.35">
      <c r="A392" s="266" t="s">
        <v>1325</v>
      </c>
      <c r="B392" s="267" t="s">
        <v>388</v>
      </c>
      <c r="C392" s="267" t="s">
        <v>1025</v>
      </c>
      <c r="D392" s="744"/>
      <c r="E392" s="739"/>
      <c r="F392" s="945">
        <v>467.12466999999998</v>
      </c>
      <c r="G392" s="916">
        <v>7513424</v>
      </c>
      <c r="H392" s="912">
        <v>314841</v>
      </c>
      <c r="I392" s="13"/>
    </row>
    <row r="393" spans="1:9" x14ac:dyDescent="0.35">
      <c r="A393" s="492" t="s">
        <v>385</v>
      </c>
      <c r="B393" s="494" t="s">
        <v>388</v>
      </c>
      <c r="C393" s="494" t="s">
        <v>386</v>
      </c>
      <c r="D393" s="509" t="s">
        <v>756</v>
      </c>
      <c r="E393" s="495"/>
      <c r="F393" s="945">
        <v>1119.7258099999999</v>
      </c>
      <c r="G393" s="677">
        <v>8937075</v>
      </c>
      <c r="H393" s="912">
        <v>227581</v>
      </c>
      <c r="I393" s="13"/>
    </row>
    <row r="394" spans="1:9" x14ac:dyDescent="0.35">
      <c r="A394" s="33"/>
      <c r="B394" s="34"/>
      <c r="C394" s="34"/>
      <c r="D394" s="517"/>
      <c r="E394" s="42"/>
      <c r="F394" s="945"/>
      <c r="G394" s="914"/>
      <c r="H394" s="913"/>
      <c r="I394" s="13"/>
    </row>
    <row r="395" spans="1:9" x14ac:dyDescent="0.35">
      <c r="A395" s="33"/>
      <c r="B395" s="34"/>
      <c r="C395" s="34"/>
      <c r="D395" s="517"/>
      <c r="E395" s="42"/>
      <c r="F395" s="945"/>
      <c r="G395" s="914"/>
      <c r="H395" s="913"/>
      <c r="I395" s="13"/>
    </row>
    <row r="396" spans="1:9" x14ac:dyDescent="0.35">
      <c r="A396" s="33"/>
      <c r="B396" s="34"/>
      <c r="C396" s="34"/>
      <c r="D396" s="517"/>
      <c r="E396" s="42"/>
      <c r="F396" s="945"/>
      <c r="G396" s="914"/>
      <c r="H396" s="913"/>
      <c r="I396" s="13"/>
    </row>
    <row r="397" spans="1:9" x14ac:dyDescent="0.35">
      <c r="A397" s="33"/>
      <c r="B397" s="34"/>
      <c r="C397" s="34"/>
      <c r="D397" s="517"/>
      <c r="E397" s="42"/>
      <c r="F397" s="945"/>
      <c r="G397" s="914"/>
      <c r="H397" s="913"/>
      <c r="I397" s="13"/>
    </row>
    <row r="398" spans="1:9" x14ac:dyDescent="0.35">
      <c r="A398" s="276" t="s">
        <v>1041</v>
      </c>
      <c r="B398" s="264" t="s">
        <v>391</v>
      </c>
      <c r="C398" s="264" t="s">
        <v>321</v>
      </c>
      <c r="D398" s="513"/>
      <c r="E398" s="277"/>
      <c r="F398" s="945">
        <v>172.86022</v>
      </c>
      <c r="G398" s="925">
        <v>5209105</v>
      </c>
      <c r="H398" s="912">
        <v>227604</v>
      </c>
      <c r="I398" s="13"/>
    </row>
    <row r="399" spans="1:9" x14ac:dyDescent="0.35">
      <c r="A399" s="278" t="s">
        <v>1042</v>
      </c>
      <c r="B399" s="267" t="s">
        <v>391</v>
      </c>
      <c r="C399" s="267" t="s">
        <v>322</v>
      </c>
      <c r="D399" s="514"/>
      <c r="E399" s="279"/>
      <c r="F399" s="945">
        <v>172.86022</v>
      </c>
      <c r="G399" s="926">
        <v>9717615</v>
      </c>
      <c r="H399" s="912">
        <v>227603</v>
      </c>
      <c r="I399" s="13"/>
    </row>
    <row r="400" spans="1:9" x14ac:dyDescent="0.35">
      <c r="A400" s="497" t="s">
        <v>1043</v>
      </c>
      <c r="B400" s="498" t="s">
        <v>391</v>
      </c>
      <c r="C400" s="498" t="s">
        <v>377</v>
      </c>
      <c r="D400" s="508" t="s">
        <v>756</v>
      </c>
      <c r="E400" s="484"/>
      <c r="F400" s="945">
        <v>172.86022</v>
      </c>
      <c r="G400" s="679">
        <v>7228931</v>
      </c>
      <c r="H400" s="912">
        <v>227605</v>
      </c>
      <c r="I400" s="13"/>
    </row>
    <row r="401" spans="1:9" x14ac:dyDescent="0.35">
      <c r="A401" s="485" t="s">
        <v>1326</v>
      </c>
      <c r="B401" s="486" t="s">
        <v>391</v>
      </c>
      <c r="C401" s="486" t="s">
        <v>1265</v>
      </c>
      <c r="D401" s="519" t="s">
        <v>756</v>
      </c>
      <c r="E401" s="272"/>
      <c r="F401" s="945">
        <v>172.86022</v>
      </c>
      <c r="G401" s="753">
        <v>3227450</v>
      </c>
      <c r="H401" s="912">
        <v>314843</v>
      </c>
      <c r="I401" s="13"/>
    </row>
    <row r="402" spans="1:9" x14ac:dyDescent="0.35">
      <c r="A402" s="278"/>
      <c r="B402" s="267"/>
      <c r="C402" s="267"/>
      <c r="D402" s="514"/>
      <c r="E402" s="279"/>
      <c r="F402" s="945"/>
      <c r="G402" s="926"/>
      <c r="H402" s="913"/>
      <c r="I402" s="13"/>
    </row>
    <row r="403" spans="1:9" x14ac:dyDescent="0.35">
      <c r="A403" s="37" t="s">
        <v>931</v>
      </c>
      <c r="B403" s="31" t="s">
        <v>392</v>
      </c>
      <c r="C403" s="31" t="s">
        <v>447</v>
      </c>
      <c r="D403" s="516"/>
      <c r="E403" s="42"/>
      <c r="F403" s="945">
        <v>389.35672</v>
      </c>
      <c r="G403" s="911">
        <v>6831132</v>
      </c>
      <c r="H403" s="912">
        <v>227587</v>
      </c>
      <c r="I403" s="13"/>
    </row>
    <row r="404" spans="1:9" x14ac:dyDescent="0.35">
      <c r="A404" s="37" t="s">
        <v>932</v>
      </c>
      <c r="B404" s="31" t="s">
        <v>685</v>
      </c>
      <c r="C404" s="31" t="s">
        <v>447</v>
      </c>
      <c r="D404" s="516"/>
      <c r="E404" s="42"/>
      <c r="F404" s="945">
        <v>442.47012999999998</v>
      </c>
      <c r="G404" s="911">
        <v>4562065</v>
      </c>
      <c r="H404" s="912">
        <v>227588</v>
      </c>
      <c r="I404" s="13"/>
    </row>
    <row r="405" spans="1:9" x14ac:dyDescent="0.35">
      <c r="A405" s="460" t="s">
        <v>933</v>
      </c>
      <c r="B405" s="34" t="s">
        <v>393</v>
      </c>
      <c r="C405" s="34" t="s">
        <v>447</v>
      </c>
      <c r="D405" s="517" t="s">
        <v>756</v>
      </c>
      <c r="E405" s="533"/>
      <c r="F405" s="945">
        <v>737.45001999999999</v>
      </c>
      <c r="G405" s="680">
        <v>8741762</v>
      </c>
      <c r="H405" s="912">
        <v>227589</v>
      </c>
      <c r="I405" s="13"/>
    </row>
    <row r="406" spans="1:9" x14ac:dyDescent="0.35">
      <c r="A406" s="460" t="s">
        <v>934</v>
      </c>
      <c r="B406" s="34" t="s">
        <v>394</v>
      </c>
      <c r="C406" s="34" t="s">
        <v>447</v>
      </c>
      <c r="D406" s="517" t="s">
        <v>756</v>
      </c>
      <c r="E406" s="533"/>
      <c r="F406" s="945">
        <v>949.83555999999999</v>
      </c>
      <c r="G406" s="681">
        <v>1039565</v>
      </c>
      <c r="H406" s="912">
        <v>227590</v>
      </c>
      <c r="I406" s="13"/>
    </row>
    <row r="407" spans="1:9" x14ac:dyDescent="0.35">
      <c r="A407" s="37"/>
      <c r="B407" s="31"/>
      <c r="C407" s="34"/>
      <c r="D407" s="517"/>
      <c r="E407" s="32"/>
      <c r="F407" s="945"/>
      <c r="G407" s="250"/>
      <c r="H407" s="913"/>
      <c r="I407" s="13"/>
    </row>
    <row r="408" spans="1:9" x14ac:dyDescent="0.35">
      <c r="A408" s="37"/>
      <c r="B408" s="31"/>
      <c r="C408" s="34"/>
      <c r="D408" s="517"/>
      <c r="E408" s="32"/>
      <c r="F408" s="945"/>
      <c r="G408" s="250"/>
      <c r="H408" s="913"/>
      <c r="I408" s="13"/>
    </row>
    <row r="409" spans="1:9" x14ac:dyDescent="0.35">
      <c r="A409" s="37"/>
      <c r="B409" s="31"/>
      <c r="C409" s="34"/>
      <c r="D409" s="517"/>
      <c r="E409" s="32"/>
      <c r="F409" s="945"/>
      <c r="G409" s="250"/>
      <c r="H409" s="913"/>
      <c r="I409" s="13"/>
    </row>
    <row r="410" spans="1:9" x14ac:dyDescent="0.35">
      <c r="A410" s="37"/>
      <c r="B410" s="31"/>
      <c r="C410" s="34"/>
      <c r="D410" s="517"/>
      <c r="E410" s="32"/>
      <c r="F410" s="945"/>
      <c r="G410" s="250"/>
      <c r="H410" s="913"/>
      <c r="I410" s="13"/>
    </row>
    <row r="411" spans="1:9" x14ac:dyDescent="0.35">
      <c r="A411" s="37" t="s">
        <v>935</v>
      </c>
      <c r="B411" s="31" t="s">
        <v>395</v>
      </c>
      <c r="C411" s="31" t="s">
        <v>447</v>
      </c>
      <c r="D411" s="516"/>
      <c r="E411" s="42"/>
      <c r="F411" s="945">
        <v>241.88919000000001</v>
      </c>
      <c r="G411" s="911">
        <v>9062400</v>
      </c>
      <c r="H411" s="912">
        <v>227591</v>
      </c>
      <c r="I411" s="13"/>
    </row>
    <row r="412" spans="1:9" x14ac:dyDescent="0.35">
      <c r="A412" s="37" t="s">
        <v>936</v>
      </c>
      <c r="B412" s="31" t="s">
        <v>686</v>
      </c>
      <c r="C412" s="31" t="s">
        <v>447</v>
      </c>
      <c r="D412" s="516"/>
      <c r="E412" s="42"/>
      <c r="F412" s="945">
        <v>277.28676999999999</v>
      </c>
      <c r="G412" s="911">
        <v>7032427</v>
      </c>
      <c r="H412" s="912">
        <v>227592</v>
      </c>
      <c r="I412" s="13"/>
    </row>
    <row r="413" spans="1:9" x14ac:dyDescent="0.35">
      <c r="A413" s="460" t="s">
        <v>937</v>
      </c>
      <c r="B413" s="34" t="s">
        <v>396</v>
      </c>
      <c r="C413" s="34" t="s">
        <v>447</v>
      </c>
      <c r="D413" s="517" t="s">
        <v>756</v>
      </c>
      <c r="E413" s="533"/>
      <c r="F413" s="945">
        <v>489.67230000000001</v>
      </c>
      <c r="G413" s="680">
        <v>7696491</v>
      </c>
      <c r="H413" s="912">
        <v>227593</v>
      </c>
      <c r="I413" s="13"/>
    </row>
    <row r="414" spans="1:9" x14ac:dyDescent="0.35">
      <c r="A414" s="460" t="s">
        <v>938</v>
      </c>
      <c r="B414" s="34" t="s">
        <v>397</v>
      </c>
      <c r="C414" s="34" t="s">
        <v>447</v>
      </c>
      <c r="D414" s="517" t="s">
        <v>756</v>
      </c>
      <c r="E414" s="461"/>
      <c r="F414" s="945">
        <v>631.26264000000003</v>
      </c>
      <c r="G414" s="927">
        <v>7710993</v>
      </c>
      <c r="H414" s="912">
        <v>227594</v>
      </c>
      <c r="I414" s="13"/>
    </row>
    <row r="415" spans="1:9" x14ac:dyDescent="0.35">
      <c r="A415" s="37"/>
      <c r="B415" s="31"/>
      <c r="C415" s="31"/>
      <c r="D415" s="516"/>
      <c r="E415" s="42"/>
      <c r="F415" s="945"/>
      <c r="G415" s="914"/>
      <c r="H415" s="913"/>
      <c r="I415" s="13"/>
    </row>
    <row r="416" spans="1:9" x14ac:dyDescent="0.35">
      <c r="A416" s="37"/>
      <c r="B416" s="31"/>
      <c r="C416" s="31"/>
      <c r="D416" s="516"/>
      <c r="E416" s="42"/>
      <c r="F416" s="945"/>
      <c r="G416" s="914"/>
      <c r="H416" s="913"/>
      <c r="I416" s="13"/>
    </row>
    <row r="417" spans="1:9" x14ac:dyDescent="0.35">
      <c r="A417" s="37"/>
      <c r="B417" s="31"/>
      <c r="C417" s="31"/>
      <c r="D417" s="516"/>
      <c r="E417" s="42"/>
      <c r="F417" s="945"/>
      <c r="G417" s="914"/>
      <c r="H417" s="913"/>
      <c r="I417" s="13"/>
    </row>
    <row r="418" spans="1:9" x14ac:dyDescent="0.35">
      <c r="A418" s="37"/>
      <c r="B418" s="31"/>
      <c r="C418" s="31"/>
      <c r="D418" s="516"/>
      <c r="E418" s="42"/>
      <c r="F418" s="945"/>
      <c r="G418" s="914"/>
      <c r="H418" s="913"/>
      <c r="I418" s="13"/>
    </row>
    <row r="419" spans="1:9" x14ac:dyDescent="0.35">
      <c r="A419" s="263" t="s">
        <v>1044</v>
      </c>
      <c r="B419" s="264" t="s">
        <v>687</v>
      </c>
      <c r="C419" s="264" t="s">
        <v>321</v>
      </c>
      <c r="D419" s="513"/>
      <c r="E419" s="265"/>
      <c r="F419" s="945">
        <v>199.21817999999999</v>
      </c>
      <c r="G419" s="917">
        <v>3359148</v>
      </c>
      <c r="H419" s="912">
        <v>227597</v>
      </c>
      <c r="I419" s="13"/>
    </row>
    <row r="420" spans="1:9" x14ac:dyDescent="0.35">
      <c r="A420" s="266" t="s">
        <v>1045</v>
      </c>
      <c r="B420" s="267" t="s">
        <v>687</v>
      </c>
      <c r="C420" s="267" t="s">
        <v>322</v>
      </c>
      <c r="D420" s="514"/>
      <c r="E420" s="268"/>
      <c r="F420" s="945">
        <v>199.21817999999999</v>
      </c>
      <c r="G420" s="916">
        <v>7053143</v>
      </c>
      <c r="H420" s="912">
        <v>227596</v>
      </c>
      <c r="I420" s="13"/>
    </row>
    <row r="421" spans="1:9" x14ac:dyDescent="0.35">
      <c r="A421" s="266" t="s">
        <v>1046</v>
      </c>
      <c r="B421" s="267" t="s">
        <v>687</v>
      </c>
      <c r="C421" s="267" t="s">
        <v>377</v>
      </c>
      <c r="D421" s="514"/>
      <c r="E421" s="268"/>
      <c r="F421" s="945">
        <v>199.21817999999999</v>
      </c>
      <c r="G421" s="916">
        <v>9751013</v>
      </c>
      <c r="H421" s="912">
        <v>227598</v>
      </c>
      <c r="I421" s="13"/>
    </row>
    <row r="422" spans="1:9" x14ac:dyDescent="0.35">
      <c r="A422" s="266" t="s">
        <v>1327</v>
      </c>
      <c r="B422" s="267" t="s">
        <v>687</v>
      </c>
      <c r="C422" s="267" t="s">
        <v>1025</v>
      </c>
      <c r="D422" s="744"/>
      <c r="E422" s="739"/>
      <c r="F422" s="945">
        <v>199.21817999999999</v>
      </c>
      <c r="G422" s="743">
        <v>2134219</v>
      </c>
      <c r="H422" s="912">
        <v>314844</v>
      </c>
      <c r="I422" s="13"/>
    </row>
    <row r="423" spans="1:9" x14ac:dyDescent="0.35">
      <c r="A423" s="492" t="s">
        <v>398</v>
      </c>
      <c r="B423" s="494" t="s">
        <v>687</v>
      </c>
      <c r="C423" s="494" t="s">
        <v>691</v>
      </c>
      <c r="D423" s="509" t="s">
        <v>756</v>
      </c>
      <c r="E423" s="495"/>
      <c r="F423" s="945">
        <v>755.64283</v>
      </c>
      <c r="G423" s="677">
        <v>9240980</v>
      </c>
      <c r="H423" s="912">
        <v>227600</v>
      </c>
      <c r="I423" s="13"/>
    </row>
    <row r="424" spans="1:9" x14ac:dyDescent="0.35">
      <c r="A424" s="37"/>
      <c r="B424" s="31"/>
      <c r="C424" s="31"/>
      <c r="D424" s="516"/>
      <c r="E424" s="42"/>
      <c r="F424" s="945"/>
      <c r="G424" s="921"/>
      <c r="H424" s="913"/>
      <c r="I424" s="13"/>
    </row>
    <row r="425" spans="1:9" x14ac:dyDescent="0.35">
      <c r="A425" s="33"/>
      <c r="B425" s="34"/>
      <c r="C425" s="34"/>
      <c r="D425" s="517"/>
      <c r="E425" s="32"/>
      <c r="F425" s="945"/>
      <c r="G425" s="921"/>
      <c r="H425" s="913"/>
      <c r="I425" s="13"/>
    </row>
    <row r="426" spans="1:9" x14ac:dyDescent="0.35">
      <c r="A426" s="38" t="s">
        <v>470</v>
      </c>
      <c r="B426" s="31"/>
      <c r="C426" s="31"/>
      <c r="D426" s="516"/>
      <c r="E426" s="42"/>
      <c r="F426" s="945"/>
      <c r="G426" s="914"/>
      <c r="H426" s="913"/>
      <c r="I426" s="13"/>
    </row>
    <row r="427" spans="1:9" x14ac:dyDescent="0.35">
      <c r="A427" s="276" t="s">
        <v>1231</v>
      </c>
      <c r="B427" s="264" t="s">
        <v>626</v>
      </c>
      <c r="C427" s="264" t="s">
        <v>321</v>
      </c>
      <c r="D427" s="513"/>
      <c r="E427" s="277"/>
      <c r="F427" s="945">
        <v>2198.2389899999998</v>
      </c>
      <c r="G427" s="925">
        <v>9653503</v>
      </c>
      <c r="H427" s="912">
        <v>227614</v>
      </c>
      <c r="I427" s="13"/>
    </row>
    <row r="428" spans="1:9" x14ac:dyDescent="0.35">
      <c r="A428" s="278" t="s">
        <v>1248</v>
      </c>
      <c r="B428" s="267" t="s">
        <v>626</v>
      </c>
      <c r="C428" s="267" t="s">
        <v>400</v>
      </c>
      <c r="D428" s="514"/>
      <c r="E428" s="279"/>
      <c r="F428" s="945">
        <v>2198.2389899999998</v>
      </c>
      <c r="G428" s="926">
        <v>1952399</v>
      </c>
      <c r="H428" s="912">
        <v>227613</v>
      </c>
      <c r="I428" s="13"/>
    </row>
    <row r="429" spans="1:9" x14ac:dyDescent="0.35">
      <c r="A429" s="485" t="s">
        <v>625</v>
      </c>
      <c r="B429" s="486" t="s">
        <v>626</v>
      </c>
      <c r="C429" s="486" t="s">
        <v>377</v>
      </c>
      <c r="D429" s="519"/>
      <c r="E429" s="280"/>
      <c r="F429" s="945">
        <v>2198.2389899999998</v>
      </c>
      <c r="G429" s="928">
        <v>5834206</v>
      </c>
      <c r="H429" s="912">
        <v>227615</v>
      </c>
      <c r="I429" s="13"/>
    </row>
    <row r="430" spans="1:9" x14ac:dyDescent="0.35">
      <c r="A430" s="276" t="s">
        <v>1232</v>
      </c>
      <c r="B430" s="264" t="s">
        <v>399</v>
      </c>
      <c r="C430" s="264" t="s">
        <v>321</v>
      </c>
      <c r="D430" s="513"/>
      <c r="E430" s="277"/>
      <c r="F430" s="945">
        <v>2266.93325</v>
      </c>
      <c r="G430" s="925">
        <v>4497947</v>
      </c>
      <c r="H430" s="912">
        <v>227617</v>
      </c>
      <c r="I430" s="13"/>
    </row>
    <row r="431" spans="1:9" x14ac:dyDescent="0.35">
      <c r="A431" s="278" t="s">
        <v>1249</v>
      </c>
      <c r="B431" s="267" t="s">
        <v>399</v>
      </c>
      <c r="C431" s="267" t="s">
        <v>400</v>
      </c>
      <c r="D431" s="514"/>
      <c r="E431" s="279"/>
      <c r="F431" s="945">
        <v>2266.93325</v>
      </c>
      <c r="G431" s="926">
        <v>8830585</v>
      </c>
      <c r="H431" s="912">
        <v>227616</v>
      </c>
      <c r="I431" s="13"/>
    </row>
    <row r="432" spans="1:9" x14ac:dyDescent="0.35">
      <c r="A432" s="485" t="s">
        <v>581</v>
      </c>
      <c r="B432" s="487" t="s">
        <v>399</v>
      </c>
      <c r="C432" s="487" t="s">
        <v>377</v>
      </c>
      <c r="D432" s="520"/>
      <c r="E432" s="280"/>
      <c r="F432" s="945">
        <v>2266.93325</v>
      </c>
      <c r="G432" s="928">
        <v>6081951</v>
      </c>
      <c r="H432" s="912">
        <v>227618</v>
      </c>
      <c r="I432" s="13"/>
    </row>
    <row r="433" spans="1:9" x14ac:dyDescent="0.35">
      <c r="A433" s="276" t="s">
        <v>1233</v>
      </c>
      <c r="B433" s="264" t="s">
        <v>629</v>
      </c>
      <c r="C433" s="264" t="s">
        <v>321</v>
      </c>
      <c r="D433" s="513"/>
      <c r="E433" s="277"/>
      <c r="F433" s="945">
        <v>3355.7471999999998</v>
      </c>
      <c r="G433" s="925">
        <v>5140460</v>
      </c>
      <c r="H433" s="912">
        <v>227621</v>
      </c>
      <c r="I433" s="13"/>
    </row>
    <row r="434" spans="1:9" x14ac:dyDescent="0.35">
      <c r="A434" s="278" t="s">
        <v>1250</v>
      </c>
      <c r="B434" s="267" t="s">
        <v>629</v>
      </c>
      <c r="C434" s="267" t="s">
        <v>400</v>
      </c>
      <c r="D434" s="514"/>
      <c r="E434" s="279"/>
      <c r="F434" s="945">
        <v>3355.7471999999998</v>
      </c>
      <c r="G434" s="926">
        <v>8208118</v>
      </c>
      <c r="H434" s="912">
        <v>227619</v>
      </c>
      <c r="I434" s="13"/>
    </row>
    <row r="435" spans="1:9" x14ac:dyDescent="0.35">
      <c r="A435" s="485" t="s">
        <v>627</v>
      </c>
      <c r="B435" s="487" t="s">
        <v>629</v>
      </c>
      <c r="C435" s="487" t="s">
        <v>377</v>
      </c>
      <c r="D435" s="520"/>
      <c r="E435" s="280"/>
      <c r="F435" s="945">
        <v>3355.7471999999998</v>
      </c>
      <c r="G435" s="928">
        <v>9325745</v>
      </c>
      <c r="H435" s="912">
        <v>227622</v>
      </c>
      <c r="I435" s="13"/>
    </row>
    <row r="436" spans="1:9" x14ac:dyDescent="0.35">
      <c r="A436" s="276" t="s">
        <v>1234</v>
      </c>
      <c r="B436" s="264" t="s">
        <v>630</v>
      </c>
      <c r="C436" s="264" t="s">
        <v>321</v>
      </c>
      <c r="D436" s="513"/>
      <c r="E436" s="277"/>
      <c r="F436" s="945">
        <v>3424.44146</v>
      </c>
      <c r="G436" s="925">
        <v>2003515</v>
      </c>
      <c r="H436" s="912">
        <v>227624</v>
      </c>
      <c r="I436" s="13"/>
    </row>
    <row r="437" spans="1:9" x14ac:dyDescent="0.35">
      <c r="A437" s="278" t="s">
        <v>1251</v>
      </c>
      <c r="B437" s="267" t="s">
        <v>630</v>
      </c>
      <c r="C437" s="267" t="s">
        <v>400</v>
      </c>
      <c r="D437" s="514"/>
      <c r="E437" s="279"/>
      <c r="F437" s="945">
        <v>3424.44146</v>
      </c>
      <c r="G437" s="926">
        <v>2129847</v>
      </c>
      <c r="H437" s="912">
        <v>227623</v>
      </c>
      <c r="I437" s="13"/>
    </row>
    <row r="438" spans="1:9" x14ac:dyDescent="0.35">
      <c r="A438" s="485" t="s">
        <v>628</v>
      </c>
      <c r="B438" s="487" t="s">
        <v>630</v>
      </c>
      <c r="C438" s="487" t="s">
        <v>377</v>
      </c>
      <c r="D438" s="520"/>
      <c r="E438" s="280"/>
      <c r="F438" s="945">
        <v>3424.44146</v>
      </c>
      <c r="G438" s="928">
        <v>8245682</v>
      </c>
      <c r="H438" s="912">
        <v>227625</v>
      </c>
      <c r="I438" s="13"/>
    </row>
    <row r="439" spans="1:9" x14ac:dyDescent="0.35">
      <c r="A439" s="276" t="s">
        <v>1235</v>
      </c>
      <c r="B439" s="264" t="s">
        <v>969</v>
      </c>
      <c r="C439" s="264" t="s">
        <v>321</v>
      </c>
      <c r="D439" s="513"/>
      <c r="E439" s="277"/>
      <c r="F439" s="945">
        <v>4310.6076300000004</v>
      </c>
      <c r="G439" s="925">
        <v>7864958</v>
      </c>
      <c r="H439" s="912">
        <v>279407</v>
      </c>
      <c r="I439" s="13"/>
    </row>
    <row r="440" spans="1:9" x14ac:dyDescent="0.35">
      <c r="A440" s="278" t="s">
        <v>1252</v>
      </c>
      <c r="B440" s="267" t="s">
        <v>969</v>
      </c>
      <c r="C440" s="267" t="s">
        <v>400</v>
      </c>
      <c r="D440" s="514"/>
      <c r="E440" s="279"/>
      <c r="F440" s="945">
        <v>4310.6076300000004</v>
      </c>
      <c r="G440" s="926">
        <v>5771089</v>
      </c>
      <c r="H440" s="912">
        <v>279408</v>
      </c>
      <c r="I440" s="13"/>
    </row>
    <row r="441" spans="1:9" x14ac:dyDescent="0.35">
      <c r="A441" s="485" t="s">
        <v>968</v>
      </c>
      <c r="B441" s="487" t="s">
        <v>969</v>
      </c>
      <c r="C441" s="487" t="s">
        <v>377</v>
      </c>
      <c r="D441" s="520"/>
      <c r="E441" s="280"/>
      <c r="F441" s="945">
        <v>4310.6076300000004</v>
      </c>
      <c r="G441" s="928">
        <v>7132220</v>
      </c>
      <c r="H441" s="912">
        <v>279409</v>
      </c>
      <c r="I441" s="13"/>
    </row>
    <row r="442" spans="1:9" x14ac:dyDescent="0.35">
      <c r="A442" s="37"/>
      <c r="B442" s="31"/>
      <c r="C442" s="31"/>
      <c r="D442" s="516"/>
      <c r="E442" s="42"/>
      <c r="F442" s="945"/>
      <c r="G442" s="929"/>
      <c r="H442" s="913"/>
      <c r="I442" s="13"/>
    </row>
    <row r="443" spans="1:9" x14ac:dyDescent="0.35">
      <c r="A443" s="276" t="s">
        <v>1093</v>
      </c>
      <c r="B443" s="264" t="s">
        <v>631</v>
      </c>
      <c r="C443" s="264" t="s">
        <v>321</v>
      </c>
      <c r="D443" s="513"/>
      <c r="E443" s="277"/>
      <c r="F443" s="945">
        <v>609.31690000000003</v>
      </c>
      <c r="G443" s="925">
        <v>3560959</v>
      </c>
      <c r="H443" s="912">
        <v>227636</v>
      </c>
      <c r="I443" s="13"/>
    </row>
    <row r="444" spans="1:9" x14ac:dyDescent="0.35">
      <c r="A444" s="278" t="s">
        <v>1152</v>
      </c>
      <c r="B444" s="267" t="s">
        <v>631</v>
      </c>
      <c r="C444" s="267" t="s">
        <v>322</v>
      </c>
      <c r="D444" s="514"/>
      <c r="E444" s="279"/>
      <c r="F444" s="945">
        <v>609.31690000000003</v>
      </c>
      <c r="G444" s="926">
        <v>7627957</v>
      </c>
      <c r="H444" s="912">
        <v>227635</v>
      </c>
      <c r="I444" s="13"/>
    </row>
    <row r="445" spans="1:9" x14ac:dyDescent="0.35">
      <c r="A445" s="485" t="s">
        <v>1211</v>
      </c>
      <c r="B445" s="487" t="s">
        <v>631</v>
      </c>
      <c r="C445" s="487" t="s">
        <v>377</v>
      </c>
      <c r="D445" s="520"/>
      <c r="E445" s="280"/>
      <c r="F445" s="945">
        <v>609.31690000000003</v>
      </c>
      <c r="G445" s="928">
        <v>8504478</v>
      </c>
      <c r="H445" s="912">
        <v>227637</v>
      </c>
      <c r="I445" s="13"/>
    </row>
    <row r="446" spans="1:9" x14ac:dyDescent="0.35">
      <c r="A446" s="276" t="s">
        <v>1094</v>
      </c>
      <c r="B446" s="264" t="s">
        <v>454</v>
      </c>
      <c r="C446" s="264" t="s">
        <v>321</v>
      </c>
      <c r="D446" s="513"/>
      <c r="E446" s="277"/>
      <c r="F446" s="945">
        <v>618.24832000000004</v>
      </c>
      <c r="G446" s="925">
        <v>8693820</v>
      </c>
      <c r="H446" s="912">
        <v>227639</v>
      </c>
      <c r="I446" s="13"/>
    </row>
    <row r="447" spans="1:9" x14ac:dyDescent="0.35">
      <c r="A447" s="278" t="s">
        <v>1153</v>
      </c>
      <c r="B447" s="267" t="s">
        <v>454</v>
      </c>
      <c r="C447" s="267" t="s">
        <v>322</v>
      </c>
      <c r="D447" s="514"/>
      <c r="E447" s="279"/>
      <c r="F447" s="945">
        <v>618.24832000000004</v>
      </c>
      <c r="G447" s="926">
        <v>4394675</v>
      </c>
      <c r="H447" s="912">
        <v>227638</v>
      </c>
      <c r="I447" s="13"/>
    </row>
    <row r="448" spans="1:9" x14ac:dyDescent="0.35">
      <c r="A448" s="485" t="s">
        <v>1212</v>
      </c>
      <c r="B448" s="487" t="s">
        <v>454</v>
      </c>
      <c r="C448" s="487" t="s">
        <v>377</v>
      </c>
      <c r="D448" s="520"/>
      <c r="E448" s="280"/>
      <c r="F448" s="945">
        <v>618.24832000000004</v>
      </c>
      <c r="G448" s="928">
        <v>2001978</v>
      </c>
      <c r="H448" s="912">
        <v>227640</v>
      </c>
      <c r="I448" s="13"/>
    </row>
    <row r="449" spans="1:9" x14ac:dyDescent="0.35">
      <c r="A449" s="276" t="s">
        <v>1095</v>
      </c>
      <c r="B449" s="264" t="s">
        <v>633</v>
      </c>
      <c r="C449" s="264" t="s">
        <v>321</v>
      </c>
      <c r="D449" s="513"/>
      <c r="E449" s="277"/>
      <c r="F449" s="945">
        <v>634.03956000000005</v>
      </c>
      <c r="G449" s="925">
        <v>7888159</v>
      </c>
      <c r="H449" s="912">
        <v>227642</v>
      </c>
      <c r="I449" s="13"/>
    </row>
    <row r="450" spans="1:9" x14ac:dyDescent="0.35">
      <c r="A450" s="278" t="s">
        <v>1154</v>
      </c>
      <c r="B450" s="267" t="s">
        <v>633</v>
      </c>
      <c r="C450" s="267" t="s">
        <v>322</v>
      </c>
      <c r="D450" s="514"/>
      <c r="E450" s="279"/>
      <c r="F450" s="945">
        <v>634.03956000000005</v>
      </c>
      <c r="G450" s="926">
        <v>4659446</v>
      </c>
      <c r="H450" s="912">
        <v>227641</v>
      </c>
      <c r="I450" s="13"/>
    </row>
    <row r="451" spans="1:9" x14ac:dyDescent="0.35">
      <c r="A451" s="485" t="s">
        <v>1213</v>
      </c>
      <c r="B451" s="487" t="s">
        <v>633</v>
      </c>
      <c r="C451" s="487" t="s">
        <v>377</v>
      </c>
      <c r="D451" s="520"/>
      <c r="E451" s="280"/>
      <c r="F451" s="945">
        <v>634.03956000000005</v>
      </c>
      <c r="G451" s="928">
        <v>1857690</v>
      </c>
      <c r="H451" s="912">
        <v>227643</v>
      </c>
      <c r="I451" s="13"/>
    </row>
    <row r="452" spans="1:9" x14ac:dyDescent="0.35">
      <c r="A452" s="276" t="s">
        <v>1096</v>
      </c>
      <c r="B452" s="264" t="s">
        <v>632</v>
      </c>
      <c r="C452" s="264" t="s">
        <v>321</v>
      </c>
      <c r="D452" s="513"/>
      <c r="E452" s="277"/>
      <c r="F452" s="945">
        <v>649.83617000000004</v>
      </c>
      <c r="G452" s="925">
        <v>5406259</v>
      </c>
      <c r="H452" s="912">
        <v>227645</v>
      </c>
      <c r="I452" s="13"/>
    </row>
    <row r="453" spans="1:9" x14ac:dyDescent="0.35">
      <c r="A453" s="278" t="s">
        <v>1155</v>
      </c>
      <c r="B453" s="267" t="s">
        <v>632</v>
      </c>
      <c r="C453" s="267" t="s">
        <v>322</v>
      </c>
      <c r="D453" s="514"/>
      <c r="E453" s="279"/>
      <c r="F453" s="945">
        <v>649.83617000000004</v>
      </c>
      <c r="G453" s="926">
        <v>9947186</v>
      </c>
      <c r="H453" s="912">
        <v>227644</v>
      </c>
      <c r="I453" s="13"/>
    </row>
    <row r="454" spans="1:9" x14ac:dyDescent="0.35">
      <c r="A454" s="485" t="s">
        <v>1214</v>
      </c>
      <c r="B454" s="487" t="s">
        <v>632</v>
      </c>
      <c r="C454" s="487" t="s">
        <v>377</v>
      </c>
      <c r="D454" s="520"/>
      <c r="E454" s="280"/>
      <c r="F454" s="945">
        <v>649.83617000000004</v>
      </c>
      <c r="G454" s="928">
        <v>3460266</v>
      </c>
      <c r="H454" s="912">
        <v>227646</v>
      </c>
      <c r="I454" s="13"/>
    </row>
    <row r="455" spans="1:9" x14ac:dyDescent="0.35">
      <c r="A455" s="276" t="s">
        <v>1097</v>
      </c>
      <c r="B455" s="264" t="s">
        <v>970</v>
      </c>
      <c r="C455" s="264" t="s">
        <v>321</v>
      </c>
      <c r="D455" s="513"/>
      <c r="E455" s="277"/>
      <c r="F455" s="945">
        <v>665.62681999999995</v>
      </c>
      <c r="G455" s="925">
        <v>9535897</v>
      </c>
      <c r="H455" s="912">
        <v>275842</v>
      </c>
      <c r="I455" s="13"/>
    </row>
    <row r="456" spans="1:9" x14ac:dyDescent="0.35">
      <c r="A456" s="278" t="s">
        <v>1156</v>
      </c>
      <c r="B456" s="267" t="s">
        <v>970</v>
      </c>
      <c r="C456" s="267" t="s">
        <v>322</v>
      </c>
      <c r="D456" s="514"/>
      <c r="E456" s="279"/>
      <c r="F456" s="945">
        <v>665.62681999999995</v>
      </c>
      <c r="G456" s="926">
        <v>5590354</v>
      </c>
      <c r="H456" s="912">
        <v>279410</v>
      </c>
      <c r="I456" s="13"/>
    </row>
    <row r="457" spans="1:9" x14ac:dyDescent="0.35">
      <c r="A457" s="485" t="s">
        <v>1215</v>
      </c>
      <c r="B457" s="487" t="s">
        <v>970</v>
      </c>
      <c r="C457" s="487" t="s">
        <v>377</v>
      </c>
      <c r="D457" s="520"/>
      <c r="E457" s="280"/>
      <c r="F457" s="945">
        <v>665.62681999999995</v>
      </c>
      <c r="G457" s="928">
        <v>2663377</v>
      </c>
      <c r="H457" s="912">
        <v>279411</v>
      </c>
      <c r="I457" s="13"/>
    </row>
    <row r="458" spans="1:9" x14ac:dyDescent="0.35">
      <c r="A458" s="488" t="s">
        <v>477</v>
      </c>
      <c r="B458" s="482" t="s">
        <v>475</v>
      </c>
      <c r="C458" s="482" t="s">
        <v>321</v>
      </c>
      <c r="D458" s="506" t="s">
        <v>756</v>
      </c>
      <c r="E458" s="489"/>
      <c r="F458" s="945">
        <v>99.606099999999998</v>
      </c>
      <c r="G458" s="930">
        <v>1842247</v>
      </c>
      <c r="H458" s="912">
        <v>227648</v>
      </c>
      <c r="I458" s="13"/>
    </row>
    <row r="459" spans="1:9" x14ac:dyDescent="0.35">
      <c r="A459" s="490" t="s">
        <v>478</v>
      </c>
      <c r="B459" s="269" t="s">
        <v>475</v>
      </c>
      <c r="C459" s="269" t="s">
        <v>322</v>
      </c>
      <c r="D459" s="507" t="s">
        <v>756</v>
      </c>
      <c r="E459" s="491"/>
      <c r="F459" s="945">
        <v>99.606099999999998</v>
      </c>
      <c r="G459" s="931">
        <v>5291776</v>
      </c>
      <c r="H459" s="912">
        <v>227647</v>
      </c>
      <c r="I459" s="13"/>
    </row>
    <row r="460" spans="1:9" x14ac:dyDescent="0.35">
      <c r="A460" s="492" t="s">
        <v>479</v>
      </c>
      <c r="B460" s="271" t="s">
        <v>475</v>
      </c>
      <c r="C460" s="271" t="s">
        <v>377</v>
      </c>
      <c r="D460" s="521" t="s">
        <v>756</v>
      </c>
      <c r="E460" s="493"/>
      <c r="F460" s="945">
        <v>99.606099999999998</v>
      </c>
      <c r="G460" s="932">
        <v>2118580</v>
      </c>
      <c r="H460" s="912">
        <v>227649</v>
      </c>
      <c r="I460" s="13"/>
    </row>
    <row r="461" spans="1:9" x14ac:dyDescent="0.35">
      <c r="A461" s="37"/>
      <c r="B461" s="31"/>
      <c r="C461" s="31"/>
      <c r="D461" s="516"/>
      <c r="E461" s="42"/>
      <c r="F461" s="945"/>
      <c r="G461" s="929"/>
      <c r="H461" s="913"/>
      <c r="I461" s="13"/>
    </row>
    <row r="462" spans="1:9" x14ac:dyDescent="0.35">
      <c r="A462" s="276" t="s">
        <v>1098</v>
      </c>
      <c r="B462" s="264" t="s">
        <v>634</v>
      </c>
      <c r="C462" s="264" t="s">
        <v>321</v>
      </c>
      <c r="D462" s="513"/>
      <c r="E462" s="277"/>
      <c r="F462" s="945">
        <v>746.71677999999997</v>
      </c>
      <c r="G462" s="925">
        <v>2903985</v>
      </c>
      <c r="H462" s="912">
        <v>227651</v>
      </c>
      <c r="I462" s="13"/>
    </row>
    <row r="463" spans="1:9" x14ac:dyDescent="0.35">
      <c r="A463" s="278" t="s">
        <v>1157</v>
      </c>
      <c r="B463" s="267" t="s">
        <v>634</v>
      </c>
      <c r="C463" s="267" t="s">
        <v>322</v>
      </c>
      <c r="D463" s="514"/>
      <c r="E463" s="279"/>
      <c r="F463" s="945">
        <v>746.71677999999997</v>
      </c>
      <c r="G463" s="926">
        <v>3896104</v>
      </c>
      <c r="H463" s="912">
        <v>227650</v>
      </c>
      <c r="I463" s="13"/>
    </row>
    <row r="464" spans="1:9" x14ac:dyDescent="0.35">
      <c r="A464" s="485" t="s">
        <v>1216</v>
      </c>
      <c r="B464" s="487" t="s">
        <v>634</v>
      </c>
      <c r="C464" s="487" t="s">
        <v>377</v>
      </c>
      <c r="D464" s="520"/>
      <c r="E464" s="280"/>
      <c r="F464" s="945">
        <v>746.71677999999997</v>
      </c>
      <c r="G464" s="928">
        <v>8885527</v>
      </c>
      <c r="H464" s="912">
        <v>227652</v>
      </c>
      <c r="I464" s="13"/>
    </row>
    <row r="465" spans="1:9" x14ac:dyDescent="0.35">
      <c r="A465" s="276" t="s">
        <v>1099</v>
      </c>
      <c r="B465" s="264" t="s">
        <v>455</v>
      </c>
      <c r="C465" s="264" t="s">
        <v>321</v>
      </c>
      <c r="D465" s="513"/>
      <c r="E465" s="277"/>
      <c r="F465" s="945">
        <v>755.64283</v>
      </c>
      <c r="G465" s="925">
        <v>4595319</v>
      </c>
      <c r="H465" s="912">
        <v>227654</v>
      </c>
      <c r="I465" s="13"/>
    </row>
    <row r="466" spans="1:9" x14ac:dyDescent="0.35">
      <c r="A466" s="278" t="s">
        <v>1158</v>
      </c>
      <c r="B466" s="267" t="s">
        <v>455</v>
      </c>
      <c r="C466" s="267" t="s">
        <v>322</v>
      </c>
      <c r="D466" s="514"/>
      <c r="E466" s="279"/>
      <c r="F466" s="945">
        <v>755.64283</v>
      </c>
      <c r="G466" s="926">
        <v>2921190</v>
      </c>
      <c r="H466" s="912">
        <v>227653</v>
      </c>
      <c r="I466" s="13"/>
    </row>
    <row r="467" spans="1:9" x14ac:dyDescent="0.35">
      <c r="A467" s="485" t="s">
        <v>1217</v>
      </c>
      <c r="B467" s="487" t="s">
        <v>455</v>
      </c>
      <c r="C467" s="487" t="s">
        <v>377</v>
      </c>
      <c r="D467" s="520"/>
      <c r="E467" s="280"/>
      <c r="F467" s="945">
        <v>755.64283</v>
      </c>
      <c r="G467" s="928">
        <v>8524202</v>
      </c>
      <c r="H467" s="912">
        <v>227655</v>
      </c>
      <c r="I467" s="13"/>
    </row>
    <row r="468" spans="1:9" x14ac:dyDescent="0.35">
      <c r="A468" s="276" t="s">
        <v>1100</v>
      </c>
      <c r="B468" s="264" t="s">
        <v>636</v>
      </c>
      <c r="C468" s="264" t="s">
        <v>321</v>
      </c>
      <c r="D468" s="513"/>
      <c r="E468" s="277"/>
      <c r="F468" s="945">
        <v>771.43943999999999</v>
      </c>
      <c r="G468" s="925">
        <v>4777342</v>
      </c>
      <c r="H468" s="912">
        <v>227657</v>
      </c>
      <c r="I468" s="13"/>
    </row>
    <row r="469" spans="1:9" x14ac:dyDescent="0.35">
      <c r="A469" s="278" t="s">
        <v>1159</v>
      </c>
      <c r="B469" s="267" t="s">
        <v>636</v>
      </c>
      <c r="C469" s="267" t="s">
        <v>322</v>
      </c>
      <c r="D469" s="514"/>
      <c r="E469" s="279"/>
      <c r="F469" s="945">
        <v>771.43943999999999</v>
      </c>
      <c r="G469" s="926">
        <v>9635420</v>
      </c>
      <c r="H469" s="912">
        <v>227656</v>
      </c>
      <c r="I469" s="13"/>
    </row>
    <row r="470" spans="1:9" x14ac:dyDescent="0.35">
      <c r="A470" s="485" t="s">
        <v>1218</v>
      </c>
      <c r="B470" s="487" t="s">
        <v>636</v>
      </c>
      <c r="C470" s="487" t="s">
        <v>377</v>
      </c>
      <c r="D470" s="520"/>
      <c r="E470" s="280"/>
      <c r="F470" s="945">
        <v>771.43943999999999</v>
      </c>
      <c r="G470" s="928">
        <v>6450117</v>
      </c>
      <c r="H470" s="912">
        <v>227658</v>
      </c>
      <c r="I470" s="13"/>
    </row>
    <row r="471" spans="1:9" x14ac:dyDescent="0.35">
      <c r="A471" s="276" t="s">
        <v>1101</v>
      </c>
      <c r="B471" s="264" t="s">
        <v>635</v>
      </c>
      <c r="C471" s="264" t="s">
        <v>321</v>
      </c>
      <c r="D471" s="513"/>
      <c r="E471" s="277"/>
      <c r="F471" s="945">
        <v>787.23006999999996</v>
      </c>
      <c r="G471" s="925">
        <v>6140227</v>
      </c>
      <c r="H471" s="912">
        <v>227661</v>
      </c>
      <c r="I471" s="13"/>
    </row>
    <row r="472" spans="1:9" x14ac:dyDescent="0.35">
      <c r="A472" s="278" t="s">
        <v>1160</v>
      </c>
      <c r="B472" s="267" t="s">
        <v>635</v>
      </c>
      <c r="C472" s="267" t="s">
        <v>322</v>
      </c>
      <c r="D472" s="514"/>
      <c r="E472" s="279"/>
      <c r="F472" s="945">
        <v>787.23006999999996</v>
      </c>
      <c r="G472" s="926">
        <v>6103455</v>
      </c>
      <c r="H472" s="912">
        <v>227660</v>
      </c>
      <c r="I472" s="13"/>
    </row>
    <row r="473" spans="1:9" x14ac:dyDescent="0.35">
      <c r="A473" s="485" t="s">
        <v>1219</v>
      </c>
      <c r="B473" s="487" t="s">
        <v>635</v>
      </c>
      <c r="C473" s="487" t="s">
        <v>377</v>
      </c>
      <c r="D473" s="520"/>
      <c r="E473" s="280"/>
      <c r="F473" s="945">
        <v>787.23006999999996</v>
      </c>
      <c r="G473" s="928">
        <v>3821805</v>
      </c>
      <c r="H473" s="912">
        <v>227662</v>
      </c>
      <c r="I473" s="13"/>
    </row>
    <row r="474" spans="1:9" x14ac:dyDescent="0.35">
      <c r="A474" s="276" t="s">
        <v>1102</v>
      </c>
      <c r="B474" s="264" t="s">
        <v>971</v>
      </c>
      <c r="C474" s="264" t="s">
        <v>321</v>
      </c>
      <c r="D474" s="513"/>
      <c r="E474" s="277"/>
      <c r="F474" s="945">
        <v>803.0213</v>
      </c>
      <c r="G474" s="925">
        <v>4781572</v>
      </c>
      <c r="H474" s="912">
        <v>275843</v>
      </c>
      <c r="I474" s="13"/>
    </row>
    <row r="475" spans="1:9" x14ac:dyDescent="0.35">
      <c r="A475" s="278" t="s">
        <v>1161</v>
      </c>
      <c r="B475" s="267" t="s">
        <v>971</v>
      </c>
      <c r="C475" s="267" t="s">
        <v>322</v>
      </c>
      <c r="D475" s="514"/>
      <c r="E475" s="279"/>
      <c r="F475" s="945">
        <v>803.0213</v>
      </c>
      <c r="G475" s="926">
        <v>4468538</v>
      </c>
      <c r="H475" s="912">
        <v>279412</v>
      </c>
      <c r="I475" s="13"/>
    </row>
    <row r="476" spans="1:9" x14ac:dyDescent="0.35">
      <c r="A476" s="485" t="s">
        <v>1220</v>
      </c>
      <c r="B476" s="487" t="s">
        <v>971</v>
      </c>
      <c r="C476" s="487" t="s">
        <v>377</v>
      </c>
      <c r="D476" s="520"/>
      <c r="E476" s="280"/>
      <c r="F476" s="945">
        <v>803.0213</v>
      </c>
      <c r="G476" s="928">
        <v>5398172</v>
      </c>
      <c r="H476" s="912">
        <v>279413</v>
      </c>
      <c r="I476" s="13"/>
    </row>
    <row r="477" spans="1:9" x14ac:dyDescent="0.35">
      <c r="A477" s="564" t="s">
        <v>480</v>
      </c>
      <c r="B477" s="565" t="s">
        <v>476</v>
      </c>
      <c r="C477" s="565" t="s">
        <v>321</v>
      </c>
      <c r="D477" s="566" t="s">
        <v>756</v>
      </c>
      <c r="E477" s="567"/>
      <c r="F477" s="945">
        <v>140.82409999999999</v>
      </c>
      <c r="G477" s="933">
        <v>1587698</v>
      </c>
      <c r="H477" s="912">
        <v>227664</v>
      </c>
      <c r="I477" s="13"/>
    </row>
    <row r="478" spans="1:9" x14ac:dyDescent="0.35">
      <c r="A478" s="568" t="s">
        <v>481</v>
      </c>
      <c r="B478" s="569" t="s">
        <v>476</v>
      </c>
      <c r="C478" s="569" t="s">
        <v>322</v>
      </c>
      <c r="D478" s="570" t="s">
        <v>756</v>
      </c>
      <c r="E478" s="571"/>
      <c r="F478" s="945">
        <v>140.82409999999999</v>
      </c>
      <c r="G478" s="934">
        <v>7267832</v>
      </c>
      <c r="H478" s="912">
        <v>227663</v>
      </c>
      <c r="I478" s="13"/>
    </row>
    <row r="479" spans="1:9" x14ac:dyDescent="0.35">
      <c r="A479" s="572" t="s">
        <v>482</v>
      </c>
      <c r="B479" s="573" t="s">
        <v>476</v>
      </c>
      <c r="C479" s="573" t="s">
        <v>377</v>
      </c>
      <c r="D479" s="574" t="s">
        <v>756</v>
      </c>
      <c r="E479" s="575"/>
      <c r="F479" s="945">
        <v>140.82409999999999</v>
      </c>
      <c r="G479" s="935">
        <v>8291579</v>
      </c>
      <c r="H479" s="912">
        <v>227666</v>
      </c>
      <c r="I479" s="13"/>
    </row>
    <row r="480" spans="1:9" x14ac:dyDescent="0.35">
      <c r="A480" s="37"/>
      <c r="B480" s="31"/>
      <c r="C480" s="31"/>
      <c r="D480" s="516"/>
      <c r="E480" s="42"/>
      <c r="F480" s="945"/>
      <c r="G480" s="929"/>
      <c r="H480" s="913"/>
      <c r="I480" s="13"/>
    </row>
    <row r="481" spans="1:9" x14ac:dyDescent="0.35">
      <c r="A481" s="276" t="s">
        <v>1103</v>
      </c>
      <c r="B481" s="264" t="s">
        <v>456</v>
      </c>
      <c r="C481" s="264" t="s">
        <v>321</v>
      </c>
      <c r="D481" s="513"/>
      <c r="E481" s="277"/>
      <c r="F481" s="945">
        <v>961.73096999999996</v>
      </c>
      <c r="G481" s="925">
        <v>1392076</v>
      </c>
      <c r="H481" s="912">
        <v>227627</v>
      </c>
      <c r="I481" s="13"/>
    </row>
    <row r="482" spans="1:9" x14ac:dyDescent="0.35">
      <c r="A482" s="278" t="s">
        <v>1162</v>
      </c>
      <c r="B482" s="267" t="s">
        <v>456</v>
      </c>
      <c r="C482" s="267" t="s">
        <v>322</v>
      </c>
      <c r="D482" s="514"/>
      <c r="E482" s="279"/>
      <c r="F482" s="945">
        <v>961.73096999999996</v>
      </c>
      <c r="G482" s="926">
        <v>6886598</v>
      </c>
      <c r="H482" s="912">
        <v>227626</v>
      </c>
      <c r="I482" s="13"/>
    </row>
    <row r="483" spans="1:9" x14ac:dyDescent="0.35">
      <c r="A483" s="485" t="s">
        <v>1221</v>
      </c>
      <c r="B483" s="487" t="s">
        <v>456</v>
      </c>
      <c r="C483" s="487" t="s">
        <v>377</v>
      </c>
      <c r="D483" s="520"/>
      <c r="E483" s="280"/>
      <c r="F483" s="945">
        <v>961.73096999999996</v>
      </c>
      <c r="G483" s="928">
        <v>5010600</v>
      </c>
      <c r="H483" s="912">
        <v>227628</v>
      </c>
      <c r="I483" s="13"/>
    </row>
    <row r="484" spans="1:9" x14ac:dyDescent="0.35">
      <c r="A484" s="276" t="s">
        <v>1236</v>
      </c>
      <c r="B484" s="264" t="s">
        <v>457</v>
      </c>
      <c r="C484" s="264" t="s">
        <v>321</v>
      </c>
      <c r="D484" s="513"/>
      <c r="E484" s="277"/>
      <c r="F484" s="945">
        <v>123.65338</v>
      </c>
      <c r="G484" s="925">
        <v>3486858</v>
      </c>
      <c r="H484" s="912">
        <v>227630</v>
      </c>
      <c r="I484" s="13"/>
    </row>
    <row r="485" spans="1:9" x14ac:dyDescent="0.35">
      <c r="A485" s="278" t="s">
        <v>1253</v>
      </c>
      <c r="B485" s="267" t="s">
        <v>457</v>
      </c>
      <c r="C485" s="267" t="s">
        <v>322</v>
      </c>
      <c r="D485" s="514"/>
      <c r="E485" s="279"/>
      <c r="F485" s="945">
        <v>123.65338</v>
      </c>
      <c r="G485" s="926">
        <v>6523848</v>
      </c>
      <c r="H485" s="912">
        <v>227629</v>
      </c>
      <c r="I485" s="13"/>
    </row>
    <row r="486" spans="1:9" x14ac:dyDescent="0.35">
      <c r="A486" s="485" t="s">
        <v>458</v>
      </c>
      <c r="B486" s="487" t="s">
        <v>457</v>
      </c>
      <c r="C486" s="487" t="s">
        <v>377</v>
      </c>
      <c r="D486" s="520"/>
      <c r="E486" s="280"/>
      <c r="F486" s="945">
        <v>123.65338</v>
      </c>
      <c r="G486" s="928">
        <v>5700456</v>
      </c>
      <c r="H486" s="912">
        <v>227631</v>
      </c>
      <c r="I486" s="13"/>
    </row>
    <row r="487" spans="1:9" x14ac:dyDescent="0.35">
      <c r="A487" s="564" t="s">
        <v>1237</v>
      </c>
      <c r="B487" s="565" t="s">
        <v>692</v>
      </c>
      <c r="C487" s="565" t="s">
        <v>321</v>
      </c>
      <c r="D487" s="566" t="s">
        <v>756</v>
      </c>
      <c r="E487" s="567"/>
      <c r="F487" s="945">
        <v>137.38853</v>
      </c>
      <c r="G487" s="933">
        <v>9566186</v>
      </c>
      <c r="H487" s="912">
        <v>279415</v>
      </c>
      <c r="I487" s="13"/>
    </row>
    <row r="488" spans="1:9" x14ac:dyDescent="0.35">
      <c r="A488" s="568" t="s">
        <v>1254</v>
      </c>
      <c r="B488" s="569" t="s">
        <v>692</v>
      </c>
      <c r="C488" s="569" t="s">
        <v>322</v>
      </c>
      <c r="D488" s="570" t="s">
        <v>756</v>
      </c>
      <c r="E488" s="571"/>
      <c r="F488" s="945">
        <v>137.38853</v>
      </c>
      <c r="G488" s="934">
        <v>1248692</v>
      </c>
      <c r="H488" s="912">
        <v>279414</v>
      </c>
      <c r="I488" s="13"/>
    </row>
    <row r="489" spans="1:9" x14ac:dyDescent="0.35">
      <c r="A489" s="572" t="s">
        <v>459</v>
      </c>
      <c r="B489" s="573" t="s">
        <v>692</v>
      </c>
      <c r="C489" s="573" t="s">
        <v>377</v>
      </c>
      <c r="D489" s="574" t="s">
        <v>756</v>
      </c>
      <c r="E489" s="575"/>
      <c r="F489" s="945">
        <v>137.38853</v>
      </c>
      <c r="G489" s="935">
        <v>8875217</v>
      </c>
      <c r="H489" s="912">
        <v>279416</v>
      </c>
      <c r="I489" s="13"/>
    </row>
    <row r="490" spans="1:9" x14ac:dyDescent="0.35">
      <c r="A490" s="564" t="s">
        <v>483</v>
      </c>
      <c r="B490" s="565" t="s">
        <v>461</v>
      </c>
      <c r="C490" s="565" t="s">
        <v>321</v>
      </c>
      <c r="D490" s="566" t="s">
        <v>756</v>
      </c>
      <c r="E490" s="567"/>
      <c r="F490" s="945">
        <v>151.12965</v>
      </c>
      <c r="G490" s="933">
        <v>8022610</v>
      </c>
      <c r="H490" s="912">
        <v>227633</v>
      </c>
      <c r="I490" s="13"/>
    </row>
    <row r="491" spans="1:9" x14ac:dyDescent="0.35">
      <c r="A491" s="568" t="s">
        <v>484</v>
      </c>
      <c r="B491" s="569" t="s">
        <v>461</v>
      </c>
      <c r="C491" s="569" t="s">
        <v>322</v>
      </c>
      <c r="D491" s="570" t="s">
        <v>756</v>
      </c>
      <c r="E491" s="571"/>
      <c r="F491" s="945">
        <v>151.12965</v>
      </c>
      <c r="G491" s="934">
        <v>8790467</v>
      </c>
      <c r="H491" s="912">
        <v>227632</v>
      </c>
      <c r="I491" s="13"/>
    </row>
    <row r="492" spans="1:9" x14ac:dyDescent="0.35">
      <c r="A492" s="572" t="s">
        <v>485</v>
      </c>
      <c r="B492" s="573" t="s">
        <v>461</v>
      </c>
      <c r="C492" s="573" t="s">
        <v>377</v>
      </c>
      <c r="D492" s="574" t="s">
        <v>756</v>
      </c>
      <c r="E492" s="575"/>
      <c r="F492" s="945">
        <v>151.12965</v>
      </c>
      <c r="G492" s="935">
        <v>2120285</v>
      </c>
      <c r="H492" s="912">
        <v>227634</v>
      </c>
      <c r="I492" s="13"/>
    </row>
    <row r="493" spans="1:9" x14ac:dyDescent="0.35">
      <c r="A493" s="37"/>
      <c r="B493" s="31"/>
      <c r="C493" s="31"/>
      <c r="D493" s="516"/>
      <c r="E493" s="42"/>
      <c r="F493" s="945"/>
      <c r="G493" s="929"/>
      <c r="H493" s="913"/>
      <c r="I493" s="13"/>
    </row>
    <row r="494" spans="1:9" x14ac:dyDescent="0.35">
      <c r="A494" s="37"/>
      <c r="B494" s="31"/>
      <c r="C494" s="31"/>
      <c r="D494" s="516"/>
      <c r="E494" s="42"/>
      <c r="F494" s="945"/>
      <c r="G494" s="929"/>
      <c r="H494" s="913"/>
      <c r="I494" s="13"/>
    </row>
    <row r="495" spans="1:9" x14ac:dyDescent="0.35">
      <c r="A495" s="38" t="s">
        <v>471</v>
      </c>
      <c r="B495" s="31"/>
      <c r="C495" s="31"/>
      <c r="D495" s="516"/>
      <c r="E495" s="42"/>
      <c r="F495" s="945"/>
      <c r="G495" s="929"/>
      <c r="H495" s="913"/>
      <c r="I495" s="13"/>
    </row>
    <row r="496" spans="1:9" x14ac:dyDescent="0.35">
      <c r="A496" s="276" t="s">
        <v>1104</v>
      </c>
      <c r="B496" s="264" t="s">
        <v>460</v>
      </c>
      <c r="C496" s="264" t="s">
        <v>321</v>
      </c>
      <c r="D496" s="513"/>
      <c r="E496" s="277"/>
      <c r="F496" s="945">
        <v>1236.50802</v>
      </c>
      <c r="G496" s="925">
        <v>7830344</v>
      </c>
      <c r="H496" s="912">
        <v>227668</v>
      </c>
      <c r="I496" s="13"/>
    </row>
    <row r="497" spans="1:9" x14ac:dyDescent="0.35">
      <c r="A497" s="278" t="s">
        <v>1163</v>
      </c>
      <c r="B497" s="267" t="s">
        <v>460</v>
      </c>
      <c r="C497" s="267" t="s">
        <v>322</v>
      </c>
      <c r="D497" s="514"/>
      <c r="E497" s="279"/>
      <c r="F497" s="945">
        <v>1236.50802</v>
      </c>
      <c r="G497" s="926">
        <v>6278039</v>
      </c>
      <c r="H497" s="912">
        <v>227667</v>
      </c>
      <c r="I497" s="13"/>
    </row>
    <row r="498" spans="1:9" x14ac:dyDescent="0.35">
      <c r="A498" s="572" t="s">
        <v>1222</v>
      </c>
      <c r="B498" s="576" t="s">
        <v>460</v>
      </c>
      <c r="C498" s="576" t="s">
        <v>377</v>
      </c>
      <c r="D498" s="577" t="s">
        <v>756</v>
      </c>
      <c r="E498" s="578"/>
      <c r="F498" s="945">
        <v>1236.50802</v>
      </c>
      <c r="G498" s="672">
        <v>6379696</v>
      </c>
      <c r="H498" s="912">
        <v>227669</v>
      </c>
      <c r="I498" s="13"/>
    </row>
    <row r="499" spans="1:9" x14ac:dyDescent="0.35">
      <c r="A499" s="276" t="s">
        <v>1238</v>
      </c>
      <c r="B499" s="264" t="s">
        <v>465</v>
      </c>
      <c r="C499" s="264" t="s">
        <v>321</v>
      </c>
      <c r="D499" s="513"/>
      <c r="E499" s="277"/>
      <c r="F499" s="945">
        <v>147.69466</v>
      </c>
      <c r="G499" s="925">
        <v>4293657</v>
      </c>
      <c r="H499" s="912">
        <v>227671</v>
      </c>
      <c r="I499" s="13"/>
    </row>
    <row r="500" spans="1:9" x14ac:dyDescent="0.35">
      <c r="A500" s="278" t="s">
        <v>1255</v>
      </c>
      <c r="B500" s="267" t="s">
        <v>465</v>
      </c>
      <c r="C500" s="267" t="s">
        <v>322</v>
      </c>
      <c r="D500" s="514"/>
      <c r="E500" s="279"/>
      <c r="F500" s="945">
        <v>147.69466</v>
      </c>
      <c r="G500" s="926">
        <v>1135009</v>
      </c>
      <c r="H500" s="912">
        <v>227670</v>
      </c>
      <c r="I500" s="13"/>
    </row>
    <row r="501" spans="1:9" x14ac:dyDescent="0.35">
      <c r="A501" s="572" t="s">
        <v>464</v>
      </c>
      <c r="B501" s="576" t="s">
        <v>465</v>
      </c>
      <c r="C501" s="576" t="s">
        <v>377</v>
      </c>
      <c r="D501" s="574" t="s">
        <v>756</v>
      </c>
      <c r="E501" s="578"/>
      <c r="F501" s="945">
        <v>147.69466</v>
      </c>
      <c r="G501" s="672">
        <v>8886957</v>
      </c>
      <c r="H501" s="912">
        <v>227672</v>
      </c>
      <c r="I501" s="13"/>
    </row>
    <row r="502" spans="1:9" x14ac:dyDescent="0.35">
      <c r="A502" s="564" t="s">
        <v>698</v>
      </c>
      <c r="B502" s="565" t="s">
        <v>462</v>
      </c>
      <c r="C502" s="565" t="s">
        <v>321</v>
      </c>
      <c r="D502" s="566" t="s">
        <v>756</v>
      </c>
      <c r="E502" s="567"/>
      <c r="F502" s="945">
        <v>182.04149000000001</v>
      </c>
      <c r="G502" s="933">
        <v>9384548</v>
      </c>
      <c r="H502" s="912">
        <v>227674</v>
      </c>
      <c r="I502" s="13"/>
    </row>
    <row r="503" spans="1:9" x14ac:dyDescent="0.35">
      <c r="A503" s="568" t="s">
        <v>699</v>
      </c>
      <c r="B503" s="569" t="s">
        <v>462</v>
      </c>
      <c r="C503" s="569" t="s">
        <v>322</v>
      </c>
      <c r="D503" s="570" t="s">
        <v>756</v>
      </c>
      <c r="E503" s="571"/>
      <c r="F503" s="945">
        <v>182.04149000000001</v>
      </c>
      <c r="G503" s="934">
        <v>7313912</v>
      </c>
      <c r="H503" s="912">
        <v>227673</v>
      </c>
      <c r="I503" s="13"/>
    </row>
    <row r="504" spans="1:9" x14ac:dyDescent="0.35">
      <c r="A504" s="572" t="s">
        <v>700</v>
      </c>
      <c r="B504" s="573" t="s">
        <v>462</v>
      </c>
      <c r="C504" s="573" t="s">
        <v>377</v>
      </c>
      <c r="D504" s="574" t="s">
        <v>756</v>
      </c>
      <c r="E504" s="575"/>
      <c r="F504" s="945">
        <v>182.04149000000001</v>
      </c>
      <c r="G504" s="935">
        <v>1792344</v>
      </c>
      <c r="H504" s="912">
        <v>227675</v>
      </c>
      <c r="I504" s="13"/>
    </row>
    <row r="505" spans="1:9" x14ac:dyDescent="0.35">
      <c r="A505" s="37"/>
      <c r="B505" s="31"/>
      <c r="C505" s="31"/>
      <c r="D505" s="516"/>
      <c r="E505" s="32"/>
      <c r="F505" s="945"/>
      <c r="G505" s="35"/>
      <c r="H505" s="913"/>
      <c r="I505" s="13"/>
    </row>
    <row r="506" spans="1:9" x14ac:dyDescent="0.35">
      <c r="A506" s="276" t="s">
        <v>1105</v>
      </c>
      <c r="B506" s="264" t="s">
        <v>693</v>
      </c>
      <c r="C506" s="264" t="s">
        <v>321</v>
      </c>
      <c r="D506" s="513"/>
      <c r="E506" s="277"/>
      <c r="F506" s="945">
        <v>1305.20226</v>
      </c>
      <c r="G506" s="925">
        <v>7649432</v>
      </c>
      <c r="H506" s="912">
        <v>227677</v>
      </c>
      <c r="I506" s="13"/>
    </row>
    <row r="507" spans="1:9" x14ac:dyDescent="0.35">
      <c r="A507" s="278" t="s">
        <v>1164</v>
      </c>
      <c r="B507" s="267" t="s">
        <v>693</v>
      </c>
      <c r="C507" s="267" t="s">
        <v>322</v>
      </c>
      <c r="D507" s="514"/>
      <c r="E507" s="279"/>
      <c r="F507" s="945">
        <v>1305.20226</v>
      </c>
      <c r="G507" s="926">
        <v>2195450</v>
      </c>
      <c r="H507" s="912">
        <v>227676</v>
      </c>
      <c r="I507" s="13"/>
    </row>
    <row r="508" spans="1:9" x14ac:dyDescent="0.35">
      <c r="A508" s="572" t="s">
        <v>1223</v>
      </c>
      <c r="B508" s="576" t="s">
        <v>693</v>
      </c>
      <c r="C508" s="576" t="s">
        <v>377</v>
      </c>
      <c r="D508" s="577" t="s">
        <v>756</v>
      </c>
      <c r="E508" s="578"/>
      <c r="F508" s="945">
        <v>1305.20226</v>
      </c>
      <c r="G508" s="672">
        <v>9241686</v>
      </c>
      <c r="H508" s="912">
        <v>227678</v>
      </c>
      <c r="I508" s="13"/>
    </row>
    <row r="509" spans="1:9" x14ac:dyDescent="0.35">
      <c r="A509" s="276" t="s">
        <v>1239</v>
      </c>
      <c r="B509" s="264" t="s">
        <v>466</v>
      </c>
      <c r="C509" s="264" t="s">
        <v>321</v>
      </c>
      <c r="D509" s="513"/>
      <c r="E509" s="277"/>
      <c r="F509" s="945">
        <v>147.69466</v>
      </c>
      <c r="G509" s="925">
        <v>2258290</v>
      </c>
      <c r="H509" s="912">
        <v>227680</v>
      </c>
      <c r="I509" s="13"/>
    </row>
    <row r="510" spans="1:9" x14ac:dyDescent="0.35">
      <c r="A510" s="278" t="s">
        <v>1256</v>
      </c>
      <c r="B510" s="267" t="s">
        <v>466</v>
      </c>
      <c r="C510" s="267" t="s">
        <v>322</v>
      </c>
      <c r="D510" s="514"/>
      <c r="E510" s="279"/>
      <c r="F510" s="945">
        <v>147.69466</v>
      </c>
      <c r="G510" s="926">
        <v>8408859</v>
      </c>
      <c r="H510" s="912">
        <v>227679</v>
      </c>
      <c r="I510" s="13"/>
    </row>
    <row r="511" spans="1:9" x14ac:dyDescent="0.35">
      <c r="A511" s="572" t="s">
        <v>463</v>
      </c>
      <c r="B511" s="576" t="s">
        <v>466</v>
      </c>
      <c r="C511" s="576" t="s">
        <v>377</v>
      </c>
      <c r="D511" s="577" t="s">
        <v>756</v>
      </c>
      <c r="E511" s="578"/>
      <c r="F511" s="945">
        <v>0</v>
      </c>
      <c r="G511" s="672">
        <v>6898225</v>
      </c>
      <c r="H511" s="912">
        <v>227681</v>
      </c>
      <c r="I511" s="13"/>
    </row>
    <row r="512" spans="1:9" x14ac:dyDescent="0.35">
      <c r="A512" s="276" t="s">
        <v>1240</v>
      </c>
      <c r="B512" s="264" t="s">
        <v>468</v>
      </c>
      <c r="C512" s="264" t="s">
        <v>321</v>
      </c>
      <c r="D512" s="513"/>
      <c r="E512" s="277"/>
      <c r="F512" s="945">
        <v>164.87076999999999</v>
      </c>
      <c r="G512" s="925">
        <v>3677745</v>
      </c>
      <c r="H512" s="912">
        <v>227683</v>
      </c>
      <c r="I512" s="13"/>
    </row>
    <row r="513" spans="1:9" x14ac:dyDescent="0.35">
      <c r="A513" s="278" t="s">
        <v>1257</v>
      </c>
      <c r="B513" s="267" t="s">
        <v>468</v>
      </c>
      <c r="C513" s="267" t="s">
        <v>322</v>
      </c>
      <c r="D513" s="514"/>
      <c r="E513" s="279"/>
      <c r="F513" s="945">
        <v>164.87076999999999</v>
      </c>
      <c r="G513" s="926">
        <v>6946065</v>
      </c>
      <c r="H513" s="912">
        <v>227682</v>
      </c>
      <c r="I513" s="13"/>
    </row>
    <row r="514" spans="1:9" x14ac:dyDescent="0.35">
      <c r="A514" s="572" t="s">
        <v>467</v>
      </c>
      <c r="B514" s="573" t="s">
        <v>468</v>
      </c>
      <c r="C514" s="573" t="s">
        <v>377</v>
      </c>
      <c r="D514" s="574" t="s">
        <v>756</v>
      </c>
      <c r="E514" s="575"/>
      <c r="F514" s="945">
        <v>164.87076999999999</v>
      </c>
      <c r="G514" s="935">
        <v>4854839</v>
      </c>
      <c r="H514" s="912">
        <v>227684</v>
      </c>
      <c r="I514" s="13"/>
    </row>
    <row r="515" spans="1:9" x14ac:dyDescent="0.35">
      <c r="A515" s="564" t="s">
        <v>701</v>
      </c>
      <c r="B515" s="565" t="s">
        <v>469</v>
      </c>
      <c r="C515" s="565" t="s">
        <v>321</v>
      </c>
      <c r="D515" s="566" t="s">
        <v>756</v>
      </c>
      <c r="E515" s="567"/>
      <c r="F515" s="945">
        <v>182.04149000000001</v>
      </c>
      <c r="G515" s="933">
        <v>8999239</v>
      </c>
      <c r="H515" s="912">
        <v>227686</v>
      </c>
      <c r="I515" s="13"/>
    </row>
    <row r="516" spans="1:9" x14ac:dyDescent="0.35">
      <c r="A516" s="568" t="s">
        <v>702</v>
      </c>
      <c r="B516" s="569" t="s">
        <v>469</v>
      </c>
      <c r="C516" s="569" t="s">
        <v>322</v>
      </c>
      <c r="D516" s="570" t="s">
        <v>756</v>
      </c>
      <c r="E516" s="571"/>
      <c r="F516" s="945">
        <v>182.04149000000001</v>
      </c>
      <c r="G516" s="934">
        <v>9570082</v>
      </c>
      <c r="H516" s="912">
        <v>227685</v>
      </c>
      <c r="I516" s="13"/>
    </row>
    <row r="517" spans="1:9" x14ac:dyDescent="0.35">
      <c r="A517" s="572" t="s">
        <v>703</v>
      </c>
      <c r="B517" s="573" t="s">
        <v>469</v>
      </c>
      <c r="C517" s="573" t="s">
        <v>377</v>
      </c>
      <c r="D517" s="574" t="s">
        <v>756</v>
      </c>
      <c r="E517" s="575"/>
      <c r="F517" s="945">
        <v>182.04149000000001</v>
      </c>
      <c r="G517" s="935">
        <v>6429035</v>
      </c>
      <c r="H517" s="912">
        <v>227687</v>
      </c>
      <c r="I517" s="13"/>
    </row>
    <row r="518" spans="1:9" x14ac:dyDescent="0.35">
      <c r="A518" s="37"/>
      <c r="B518" s="31"/>
      <c r="C518" s="31"/>
      <c r="D518" s="516"/>
      <c r="E518" s="42"/>
      <c r="F518" s="945"/>
      <c r="G518" s="929"/>
      <c r="H518" s="913"/>
      <c r="I518" s="13"/>
    </row>
    <row r="519" spans="1:9" x14ac:dyDescent="0.35">
      <c r="A519" s="33"/>
      <c r="B519" s="34"/>
      <c r="C519" s="34"/>
      <c r="D519" s="517"/>
      <c r="E519" s="32"/>
      <c r="F519" s="945"/>
      <c r="G519" s="35"/>
      <c r="H519" s="913"/>
      <c r="I519" s="13"/>
    </row>
    <row r="520" spans="1:9" x14ac:dyDescent="0.35">
      <c r="A520" s="276" t="s">
        <v>922</v>
      </c>
      <c r="B520" s="264" t="s">
        <v>823</v>
      </c>
      <c r="C520" s="264" t="s">
        <v>321</v>
      </c>
      <c r="D520" s="513"/>
      <c r="E520" s="277"/>
      <c r="F520" s="945">
        <v>61.823700000000002</v>
      </c>
      <c r="G520" s="936">
        <v>6678082</v>
      </c>
      <c r="H520" s="912">
        <v>265028</v>
      </c>
      <c r="I520" s="13"/>
    </row>
    <row r="521" spans="1:9" x14ac:dyDescent="0.35">
      <c r="A521" s="278" t="s">
        <v>923</v>
      </c>
      <c r="B521" s="267" t="s">
        <v>823</v>
      </c>
      <c r="C521" s="267" t="s">
        <v>322</v>
      </c>
      <c r="D521" s="514"/>
      <c r="E521" s="279"/>
      <c r="F521" s="945">
        <v>61.823700000000002</v>
      </c>
      <c r="G521" s="937">
        <v>9779494</v>
      </c>
      <c r="H521" s="912">
        <v>265217</v>
      </c>
      <c r="I521" s="13"/>
    </row>
    <row r="522" spans="1:9" x14ac:dyDescent="0.35">
      <c r="A522" s="497" t="s">
        <v>924</v>
      </c>
      <c r="B522" s="498" t="s">
        <v>823</v>
      </c>
      <c r="C522" s="498" t="s">
        <v>377</v>
      </c>
      <c r="D522" s="508" t="s">
        <v>756</v>
      </c>
      <c r="E522" s="484"/>
      <c r="F522" s="945">
        <v>61.823700000000002</v>
      </c>
      <c r="G522" s="679">
        <v>6858779</v>
      </c>
      <c r="H522" s="912">
        <v>283037</v>
      </c>
      <c r="I522" s="13"/>
    </row>
    <row r="523" spans="1:9" x14ac:dyDescent="0.35">
      <c r="A523" s="485" t="s">
        <v>1329</v>
      </c>
      <c r="B523" s="486" t="s">
        <v>823</v>
      </c>
      <c r="C523" s="486" t="s">
        <v>1025</v>
      </c>
      <c r="D523" s="519" t="s">
        <v>756</v>
      </c>
      <c r="E523" s="272"/>
      <c r="F523" s="945">
        <v>61.82</v>
      </c>
      <c r="G523" s="753">
        <v>2119890</v>
      </c>
      <c r="H523" s="912">
        <v>349465</v>
      </c>
      <c r="I523" s="13"/>
    </row>
    <row r="524" spans="1:9" x14ac:dyDescent="0.35">
      <c r="A524" s="276" t="s">
        <v>925</v>
      </c>
      <c r="B524" s="264" t="s">
        <v>824</v>
      </c>
      <c r="C524" s="264" t="s">
        <v>321</v>
      </c>
      <c r="D524" s="513"/>
      <c r="E524" s="277"/>
      <c r="F524" s="945">
        <v>92.849100000000007</v>
      </c>
      <c r="G524" s="936">
        <v>1032061</v>
      </c>
      <c r="H524" s="912">
        <v>279375</v>
      </c>
      <c r="I524" s="13"/>
    </row>
    <row r="525" spans="1:9" x14ac:dyDescent="0.35">
      <c r="A525" s="278" t="s">
        <v>927</v>
      </c>
      <c r="B525" s="267" t="s">
        <v>824</v>
      </c>
      <c r="C525" s="267" t="s">
        <v>322</v>
      </c>
      <c r="D525" s="514"/>
      <c r="E525" s="279"/>
      <c r="F525" s="945">
        <v>92.849100000000007</v>
      </c>
      <c r="G525" s="937">
        <v>3748865</v>
      </c>
      <c r="H525" s="912">
        <v>279376</v>
      </c>
      <c r="I525" s="13"/>
    </row>
    <row r="526" spans="1:9" x14ac:dyDescent="0.35">
      <c r="A526" s="497" t="s">
        <v>929</v>
      </c>
      <c r="B526" s="498" t="s">
        <v>824</v>
      </c>
      <c r="C526" s="498" t="s">
        <v>377</v>
      </c>
      <c r="D526" s="508" t="s">
        <v>756</v>
      </c>
      <c r="E526" s="484"/>
      <c r="F526" s="945">
        <v>92.849100000000007</v>
      </c>
      <c r="G526" s="679">
        <v>2006173</v>
      </c>
      <c r="H526" s="912">
        <v>283038</v>
      </c>
      <c r="I526" s="13"/>
    </row>
    <row r="527" spans="1:9" x14ac:dyDescent="0.35">
      <c r="A527" s="485" t="s">
        <v>1330</v>
      </c>
      <c r="B527" s="486" t="s">
        <v>824</v>
      </c>
      <c r="C527" s="486" t="s">
        <v>1025</v>
      </c>
      <c r="D527" s="519" t="s">
        <v>756</v>
      </c>
      <c r="E527" s="272"/>
      <c r="F527" s="945">
        <v>92.85</v>
      </c>
      <c r="G527" s="753">
        <v>5664111</v>
      </c>
      <c r="H527" s="912">
        <v>349466</v>
      </c>
      <c r="I527" s="13"/>
    </row>
    <row r="528" spans="1:9" x14ac:dyDescent="0.35">
      <c r="A528" s="276" t="s">
        <v>926</v>
      </c>
      <c r="B528" s="264" t="s">
        <v>825</v>
      </c>
      <c r="C528" s="264" t="s">
        <v>321</v>
      </c>
      <c r="D528" s="513"/>
      <c r="E528" s="277"/>
      <c r="F528" s="945">
        <v>27.476870000000002</v>
      </c>
      <c r="G528" s="936">
        <v>6297748</v>
      </c>
      <c r="H528" s="912">
        <v>267756</v>
      </c>
      <c r="I528" s="13"/>
    </row>
    <row r="529" spans="1:9" x14ac:dyDescent="0.35">
      <c r="A529" s="278" t="s">
        <v>928</v>
      </c>
      <c r="B529" s="267" t="s">
        <v>825</v>
      </c>
      <c r="C529" s="267" t="s">
        <v>322</v>
      </c>
      <c r="D529" s="514"/>
      <c r="E529" s="279"/>
      <c r="F529" s="945">
        <v>27.476870000000002</v>
      </c>
      <c r="G529" s="937">
        <v>4189322</v>
      </c>
      <c r="H529" s="912">
        <v>275351</v>
      </c>
      <c r="I529" s="13"/>
    </row>
    <row r="530" spans="1:9" x14ac:dyDescent="0.35">
      <c r="A530" s="497" t="s">
        <v>930</v>
      </c>
      <c r="B530" s="498" t="s">
        <v>825</v>
      </c>
      <c r="C530" s="498" t="s">
        <v>377</v>
      </c>
      <c r="D530" s="508" t="s">
        <v>756</v>
      </c>
      <c r="E530" s="484"/>
      <c r="F530" s="945">
        <v>27.476870000000002</v>
      </c>
      <c r="G530" s="679">
        <v>4873606</v>
      </c>
      <c r="H530" s="912">
        <v>283039</v>
      </c>
      <c r="I530" s="13"/>
    </row>
    <row r="531" spans="1:9" x14ac:dyDescent="0.35">
      <c r="A531" s="485" t="s">
        <v>1331</v>
      </c>
      <c r="B531" s="486" t="s">
        <v>825</v>
      </c>
      <c r="C531" s="486" t="s">
        <v>1025</v>
      </c>
      <c r="D531" s="519" t="s">
        <v>756</v>
      </c>
      <c r="E531" s="272"/>
      <c r="F531" s="945">
        <v>27.48</v>
      </c>
      <c r="G531" s="753">
        <v>9703260</v>
      </c>
      <c r="H531" s="912">
        <v>349464</v>
      </c>
      <c r="I531" s="13"/>
    </row>
    <row r="532" spans="1:9" x14ac:dyDescent="0.35">
      <c r="A532" s="33"/>
      <c r="B532" s="34"/>
      <c r="C532" s="34"/>
      <c r="D532" s="517"/>
      <c r="E532" s="32"/>
      <c r="F532" s="945"/>
      <c r="G532" s="35"/>
      <c r="H532" s="913"/>
      <c r="I532" s="13"/>
    </row>
    <row r="533" spans="1:9" x14ac:dyDescent="0.35">
      <c r="A533" s="38" t="s">
        <v>472</v>
      </c>
      <c r="B533" s="31"/>
      <c r="C533" s="31"/>
      <c r="D533" s="516"/>
      <c r="E533" s="42"/>
      <c r="F533" s="945"/>
      <c r="G533" s="914"/>
      <c r="H533" s="913"/>
      <c r="I533" s="13"/>
    </row>
    <row r="534" spans="1:9" x14ac:dyDescent="0.35">
      <c r="A534" s="276" t="s">
        <v>585</v>
      </c>
      <c r="B534" s="264" t="s">
        <v>588</v>
      </c>
      <c r="C534" s="264" t="s">
        <v>402</v>
      </c>
      <c r="D534" s="513"/>
      <c r="E534" s="277"/>
      <c r="F534" s="945">
        <v>1549.76018</v>
      </c>
      <c r="G534" s="925">
        <v>7178662</v>
      </c>
      <c r="H534" s="912">
        <v>227696</v>
      </c>
      <c r="I534" s="13"/>
    </row>
    <row r="535" spans="1:9" x14ac:dyDescent="0.35">
      <c r="A535" s="278" t="s">
        <v>586</v>
      </c>
      <c r="B535" s="267" t="s">
        <v>588</v>
      </c>
      <c r="C535" s="267" t="s">
        <v>403</v>
      </c>
      <c r="D535" s="514"/>
      <c r="E535" s="279"/>
      <c r="F535" s="945">
        <v>1549.76018</v>
      </c>
      <c r="G535" s="926">
        <v>5667052</v>
      </c>
      <c r="H535" s="912">
        <v>227698</v>
      </c>
      <c r="I535" s="13"/>
    </row>
    <row r="536" spans="1:9" x14ac:dyDescent="0.35">
      <c r="A536" s="485" t="s">
        <v>587</v>
      </c>
      <c r="B536" s="487" t="s">
        <v>588</v>
      </c>
      <c r="C536" s="487" t="s">
        <v>404</v>
      </c>
      <c r="D536" s="520"/>
      <c r="E536" s="280"/>
      <c r="F536" s="945">
        <v>1549.76018</v>
      </c>
      <c r="G536" s="928">
        <v>9842710</v>
      </c>
      <c r="H536" s="912">
        <v>227697</v>
      </c>
      <c r="I536" s="13"/>
    </row>
    <row r="537" spans="1:9" x14ac:dyDescent="0.35">
      <c r="A537" s="276" t="s">
        <v>582</v>
      </c>
      <c r="B537" s="264" t="s">
        <v>401</v>
      </c>
      <c r="C537" s="264" t="s">
        <v>402</v>
      </c>
      <c r="D537" s="513"/>
      <c r="E537" s="277"/>
      <c r="F537" s="945">
        <v>1579.9852900000001</v>
      </c>
      <c r="G537" s="925">
        <v>1520200</v>
      </c>
      <c r="H537" s="912">
        <v>227699</v>
      </c>
      <c r="I537" s="13"/>
    </row>
    <row r="538" spans="1:9" x14ac:dyDescent="0.35">
      <c r="A538" s="278" t="s">
        <v>583</v>
      </c>
      <c r="B538" s="267" t="s">
        <v>401</v>
      </c>
      <c r="C538" s="267" t="s">
        <v>403</v>
      </c>
      <c r="D538" s="514"/>
      <c r="E538" s="279"/>
      <c r="F538" s="945">
        <v>1579.9852900000001</v>
      </c>
      <c r="G538" s="926">
        <v>6608218</v>
      </c>
      <c r="H538" s="912">
        <v>227701</v>
      </c>
      <c r="I538" s="13"/>
    </row>
    <row r="539" spans="1:9" x14ac:dyDescent="0.35">
      <c r="A539" s="485" t="s">
        <v>584</v>
      </c>
      <c r="B539" s="487" t="s">
        <v>401</v>
      </c>
      <c r="C539" s="487" t="s">
        <v>404</v>
      </c>
      <c r="D539" s="520"/>
      <c r="E539" s="280"/>
      <c r="F539" s="945">
        <v>1579.9852900000001</v>
      </c>
      <c r="G539" s="928">
        <v>2709332</v>
      </c>
      <c r="H539" s="912">
        <v>227700</v>
      </c>
      <c r="I539" s="13"/>
    </row>
    <row r="540" spans="1:9" x14ac:dyDescent="0.35">
      <c r="A540" s="276" t="s">
        <v>589</v>
      </c>
      <c r="B540" s="264" t="s">
        <v>595</v>
      </c>
      <c r="C540" s="264" t="s">
        <v>402</v>
      </c>
      <c r="D540" s="513"/>
      <c r="E540" s="277"/>
      <c r="F540" s="945">
        <v>1623.26415</v>
      </c>
      <c r="G540" s="925">
        <v>4575860</v>
      </c>
      <c r="H540" s="912">
        <v>227703</v>
      </c>
      <c r="I540" s="13"/>
    </row>
    <row r="541" spans="1:9" x14ac:dyDescent="0.35">
      <c r="A541" s="278" t="s">
        <v>590</v>
      </c>
      <c r="B541" s="267" t="s">
        <v>595</v>
      </c>
      <c r="C541" s="267" t="s">
        <v>403</v>
      </c>
      <c r="D541" s="514"/>
      <c r="E541" s="279"/>
      <c r="F541" s="945">
        <v>1623.26415</v>
      </c>
      <c r="G541" s="926">
        <v>8043261</v>
      </c>
      <c r="H541" s="912">
        <v>227705</v>
      </c>
      <c r="I541" s="13"/>
    </row>
    <row r="542" spans="1:9" x14ac:dyDescent="0.35">
      <c r="A542" s="485" t="s">
        <v>591</v>
      </c>
      <c r="B542" s="487" t="s">
        <v>595</v>
      </c>
      <c r="C542" s="487" t="s">
        <v>404</v>
      </c>
      <c r="D542" s="520"/>
      <c r="E542" s="280"/>
      <c r="F542" s="945">
        <v>1623.26415</v>
      </c>
      <c r="G542" s="928">
        <v>1860296</v>
      </c>
      <c r="H542" s="912">
        <v>227704</v>
      </c>
      <c r="I542" s="13"/>
    </row>
    <row r="543" spans="1:9" x14ac:dyDescent="0.35">
      <c r="A543" s="276" t="s">
        <v>592</v>
      </c>
      <c r="B543" s="264" t="s">
        <v>596</v>
      </c>
      <c r="C543" s="264" t="s">
        <v>402</v>
      </c>
      <c r="D543" s="513"/>
      <c r="E543" s="277"/>
      <c r="F543" s="945">
        <v>1748.9724100000001</v>
      </c>
      <c r="G543" s="925">
        <v>1717256</v>
      </c>
      <c r="H543" s="912">
        <v>227707</v>
      </c>
      <c r="I543" s="13"/>
    </row>
    <row r="544" spans="1:9" x14ac:dyDescent="0.35">
      <c r="A544" s="278" t="s">
        <v>593</v>
      </c>
      <c r="B544" s="267" t="s">
        <v>596</v>
      </c>
      <c r="C544" s="267" t="s">
        <v>403</v>
      </c>
      <c r="D544" s="514"/>
      <c r="E544" s="279"/>
      <c r="F544" s="945">
        <v>1748.9724100000001</v>
      </c>
      <c r="G544" s="926">
        <v>6730043</v>
      </c>
      <c r="H544" s="912">
        <v>227709</v>
      </c>
      <c r="I544" s="13"/>
    </row>
    <row r="545" spans="1:9" x14ac:dyDescent="0.35">
      <c r="A545" s="485" t="s">
        <v>594</v>
      </c>
      <c r="B545" s="487" t="s">
        <v>596</v>
      </c>
      <c r="C545" s="487" t="s">
        <v>404</v>
      </c>
      <c r="D545" s="520"/>
      <c r="E545" s="280"/>
      <c r="F545" s="945">
        <v>1748.9724100000001</v>
      </c>
      <c r="G545" s="928">
        <v>2981065</v>
      </c>
      <c r="H545" s="912">
        <v>227708</v>
      </c>
      <c r="I545" s="13"/>
    </row>
    <row r="546" spans="1:9" x14ac:dyDescent="0.35">
      <c r="A546" s="276" t="s">
        <v>956</v>
      </c>
      <c r="B546" s="264" t="s">
        <v>959</v>
      </c>
      <c r="C546" s="264" t="s">
        <v>402</v>
      </c>
      <c r="D546" s="513"/>
      <c r="E546" s="277"/>
      <c r="F546" s="945">
        <v>1792.25127</v>
      </c>
      <c r="G546" s="925">
        <v>6270630</v>
      </c>
      <c r="H546" s="912">
        <v>279417</v>
      </c>
      <c r="I546" s="13"/>
    </row>
    <row r="547" spans="1:9" x14ac:dyDescent="0.35">
      <c r="A547" s="278" t="s">
        <v>957</v>
      </c>
      <c r="B547" s="267" t="s">
        <v>959</v>
      </c>
      <c r="C547" s="267" t="s">
        <v>403</v>
      </c>
      <c r="D547" s="514"/>
      <c r="E547" s="279"/>
      <c r="F547" s="945">
        <v>1792.25127</v>
      </c>
      <c r="G547" s="926">
        <v>8729724</v>
      </c>
      <c r="H547" s="912">
        <v>279418</v>
      </c>
      <c r="I547" s="13"/>
    </row>
    <row r="548" spans="1:9" x14ac:dyDescent="0.35">
      <c r="A548" s="485" t="s">
        <v>958</v>
      </c>
      <c r="B548" s="487" t="s">
        <v>959</v>
      </c>
      <c r="C548" s="487" t="s">
        <v>404</v>
      </c>
      <c r="D548" s="520"/>
      <c r="E548" s="280"/>
      <c r="F548" s="945">
        <v>1792.25127</v>
      </c>
      <c r="G548" s="928">
        <v>3067342</v>
      </c>
      <c r="H548" s="912">
        <v>279419</v>
      </c>
      <c r="I548" s="13"/>
    </row>
    <row r="549" spans="1:9" x14ac:dyDescent="0.35">
      <c r="A549" s="274"/>
      <c r="B549" s="275"/>
      <c r="C549" s="275"/>
      <c r="D549" s="522"/>
      <c r="E549" s="281"/>
      <c r="F549" s="945"/>
      <c r="G549" s="938"/>
      <c r="H549" s="913"/>
      <c r="I549" s="13"/>
    </row>
    <row r="550" spans="1:9" x14ac:dyDescent="0.35">
      <c r="A550" s="276" t="s">
        <v>601</v>
      </c>
      <c r="B550" s="264" t="s">
        <v>597</v>
      </c>
      <c r="C550" s="264" t="s">
        <v>402</v>
      </c>
      <c r="D550" s="513"/>
      <c r="E550" s="277"/>
      <c r="F550" s="945">
        <v>1017.37146</v>
      </c>
      <c r="G550" s="925">
        <v>3870552</v>
      </c>
      <c r="H550" s="912">
        <v>227718</v>
      </c>
      <c r="I550" s="13"/>
    </row>
    <row r="551" spans="1:9" x14ac:dyDescent="0.35">
      <c r="A551" s="278" t="s">
        <v>603</v>
      </c>
      <c r="B551" s="267" t="s">
        <v>597</v>
      </c>
      <c r="C551" s="267" t="s">
        <v>403</v>
      </c>
      <c r="D551" s="514"/>
      <c r="E551" s="279"/>
      <c r="F551" s="945">
        <v>1017.37146</v>
      </c>
      <c r="G551" s="926">
        <v>9734196</v>
      </c>
      <c r="H551" s="912">
        <v>227720</v>
      </c>
      <c r="I551" s="13"/>
    </row>
    <row r="552" spans="1:9" x14ac:dyDescent="0.35">
      <c r="A552" s="485" t="s">
        <v>604</v>
      </c>
      <c r="B552" s="487" t="s">
        <v>597</v>
      </c>
      <c r="C552" s="487" t="s">
        <v>404</v>
      </c>
      <c r="D552" s="520"/>
      <c r="E552" s="280"/>
      <c r="F552" s="945">
        <v>1017.37146</v>
      </c>
      <c r="G552" s="928">
        <v>8819861</v>
      </c>
      <c r="H552" s="912">
        <v>227719</v>
      </c>
      <c r="I552" s="13"/>
    </row>
    <row r="553" spans="1:9" x14ac:dyDescent="0.35">
      <c r="A553" s="276" t="s">
        <v>602</v>
      </c>
      <c r="B553" s="264" t="s">
        <v>473</v>
      </c>
      <c r="C553" s="264" t="s">
        <v>402</v>
      </c>
      <c r="D553" s="513"/>
      <c r="E553" s="277"/>
      <c r="F553" s="945">
        <v>1030.4252300000001</v>
      </c>
      <c r="G553" s="925">
        <v>9278001</v>
      </c>
      <c r="H553" s="912">
        <v>227721</v>
      </c>
      <c r="I553" s="13"/>
    </row>
    <row r="554" spans="1:9" x14ac:dyDescent="0.35">
      <c r="A554" s="278" t="s">
        <v>605</v>
      </c>
      <c r="B554" s="267" t="s">
        <v>473</v>
      </c>
      <c r="C554" s="267" t="s">
        <v>403</v>
      </c>
      <c r="D554" s="514"/>
      <c r="E554" s="279"/>
      <c r="F554" s="945">
        <v>1030.4252300000001</v>
      </c>
      <c r="G554" s="926">
        <v>4542306</v>
      </c>
      <c r="H554" s="912">
        <v>227723</v>
      </c>
      <c r="I554" s="13"/>
    </row>
    <row r="555" spans="1:9" x14ac:dyDescent="0.35">
      <c r="A555" s="485" t="s">
        <v>606</v>
      </c>
      <c r="B555" s="487" t="s">
        <v>473</v>
      </c>
      <c r="C555" s="487" t="s">
        <v>404</v>
      </c>
      <c r="D555" s="520"/>
      <c r="E555" s="280"/>
      <c r="F555" s="945">
        <v>1030.4252300000001</v>
      </c>
      <c r="G555" s="928">
        <v>1918643</v>
      </c>
      <c r="H555" s="912">
        <v>227722</v>
      </c>
      <c r="I555" s="13"/>
    </row>
    <row r="556" spans="1:9" x14ac:dyDescent="0.35">
      <c r="A556" s="276" t="s">
        <v>607</v>
      </c>
      <c r="B556" s="264" t="s">
        <v>696</v>
      </c>
      <c r="C556" s="264" t="s">
        <v>402</v>
      </c>
      <c r="D556" s="513"/>
      <c r="E556" s="277"/>
      <c r="F556" s="945">
        <v>1049.65743</v>
      </c>
      <c r="G556" s="925">
        <v>5369486</v>
      </c>
      <c r="H556" s="912">
        <v>227724</v>
      </c>
      <c r="I556" s="13"/>
    </row>
    <row r="557" spans="1:9" x14ac:dyDescent="0.35">
      <c r="A557" s="278" t="s">
        <v>608</v>
      </c>
      <c r="B557" s="267" t="s">
        <v>696</v>
      </c>
      <c r="C557" s="267" t="s">
        <v>403</v>
      </c>
      <c r="D557" s="514"/>
      <c r="E557" s="279"/>
      <c r="F557" s="945">
        <v>1049.65743</v>
      </c>
      <c r="G557" s="926">
        <v>4553737</v>
      </c>
      <c r="H557" s="912">
        <v>227726</v>
      </c>
      <c r="I557" s="13"/>
    </row>
    <row r="558" spans="1:9" x14ac:dyDescent="0.35">
      <c r="A558" s="485" t="s">
        <v>609</v>
      </c>
      <c r="B558" s="487" t="s">
        <v>696</v>
      </c>
      <c r="C558" s="487" t="s">
        <v>404</v>
      </c>
      <c r="D558" s="520"/>
      <c r="E558" s="280"/>
      <c r="F558" s="945">
        <v>1049.65743</v>
      </c>
      <c r="G558" s="928">
        <v>8281653</v>
      </c>
      <c r="H558" s="912">
        <v>227725</v>
      </c>
      <c r="I558" s="13"/>
    </row>
    <row r="559" spans="1:9" x14ac:dyDescent="0.35">
      <c r="A559" s="276" t="s">
        <v>610</v>
      </c>
      <c r="B559" s="264" t="s">
        <v>697</v>
      </c>
      <c r="C559" s="264" t="s">
        <v>402</v>
      </c>
      <c r="D559" s="513"/>
      <c r="E559" s="277"/>
      <c r="F559" s="945">
        <v>1068.89501</v>
      </c>
      <c r="G559" s="925">
        <v>9907579</v>
      </c>
      <c r="H559" s="912">
        <v>227727</v>
      </c>
      <c r="I559" s="13"/>
    </row>
    <row r="560" spans="1:9" x14ac:dyDescent="0.35">
      <c r="A560" s="278" t="s">
        <v>611</v>
      </c>
      <c r="B560" s="267" t="s">
        <v>697</v>
      </c>
      <c r="C560" s="267" t="s">
        <v>403</v>
      </c>
      <c r="D560" s="514"/>
      <c r="E560" s="279"/>
      <c r="F560" s="945">
        <v>1068.89501</v>
      </c>
      <c r="G560" s="926">
        <v>3004403</v>
      </c>
      <c r="H560" s="912">
        <v>227729</v>
      </c>
      <c r="I560" s="13"/>
    </row>
    <row r="561" spans="1:9" x14ac:dyDescent="0.35">
      <c r="A561" s="485" t="s">
        <v>612</v>
      </c>
      <c r="B561" s="487" t="s">
        <v>697</v>
      </c>
      <c r="C561" s="487" t="s">
        <v>404</v>
      </c>
      <c r="D561" s="520"/>
      <c r="E561" s="280"/>
      <c r="F561" s="945">
        <v>1068.89501</v>
      </c>
      <c r="G561" s="928">
        <v>6416965</v>
      </c>
      <c r="H561" s="912">
        <v>227728</v>
      </c>
      <c r="I561" s="13"/>
    </row>
    <row r="562" spans="1:9" x14ac:dyDescent="0.35">
      <c r="A562" s="276" t="s">
        <v>960</v>
      </c>
      <c r="B562" s="264" t="s">
        <v>963</v>
      </c>
      <c r="C562" s="264" t="s">
        <v>402</v>
      </c>
      <c r="D562" s="513"/>
      <c r="E562" s="277"/>
      <c r="F562" s="945">
        <v>1088.1265900000001</v>
      </c>
      <c r="G562" s="925">
        <v>8716506</v>
      </c>
      <c r="H562" s="912">
        <v>279420</v>
      </c>
      <c r="I562" s="13"/>
    </row>
    <row r="563" spans="1:9" x14ac:dyDescent="0.35">
      <c r="A563" s="278" t="s">
        <v>961</v>
      </c>
      <c r="B563" s="267" t="s">
        <v>963</v>
      </c>
      <c r="C563" s="267" t="s">
        <v>403</v>
      </c>
      <c r="D563" s="514"/>
      <c r="E563" s="279"/>
      <c r="F563" s="945">
        <v>1088.1265900000001</v>
      </c>
      <c r="G563" s="926">
        <v>7689785</v>
      </c>
      <c r="H563" s="912">
        <v>279421</v>
      </c>
      <c r="I563" s="13"/>
    </row>
    <row r="564" spans="1:9" x14ac:dyDescent="0.35">
      <c r="A564" s="485" t="s">
        <v>962</v>
      </c>
      <c r="B564" s="487" t="s">
        <v>963</v>
      </c>
      <c r="C564" s="487" t="s">
        <v>404</v>
      </c>
      <c r="D564" s="520"/>
      <c r="E564" s="280"/>
      <c r="F564" s="945">
        <v>1088.1265900000001</v>
      </c>
      <c r="G564" s="928">
        <v>7050334</v>
      </c>
      <c r="H564" s="912">
        <v>279422</v>
      </c>
      <c r="I564" s="13"/>
    </row>
    <row r="565" spans="1:9" x14ac:dyDescent="0.35">
      <c r="A565" s="564" t="s">
        <v>486</v>
      </c>
      <c r="B565" s="565" t="s">
        <v>489</v>
      </c>
      <c r="C565" s="565" t="s">
        <v>402</v>
      </c>
      <c r="D565" s="566" t="s">
        <v>756</v>
      </c>
      <c r="E565" s="567"/>
      <c r="F565" s="945">
        <v>178.60650000000001</v>
      </c>
      <c r="G565" s="933">
        <v>1619090</v>
      </c>
      <c r="H565" s="912">
        <v>227730</v>
      </c>
      <c r="I565" s="13"/>
    </row>
    <row r="566" spans="1:9" x14ac:dyDescent="0.35">
      <c r="A566" s="568" t="s">
        <v>487</v>
      </c>
      <c r="B566" s="569" t="s">
        <v>489</v>
      </c>
      <c r="C566" s="569" t="s">
        <v>403</v>
      </c>
      <c r="D566" s="570" t="s">
        <v>756</v>
      </c>
      <c r="E566" s="571"/>
      <c r="F566" s="945">
        <v>178.60650000000001</v>
      </c>
      <c r="G566" s="934">
        <v>2644645</v>
      </c>
      <c r="H566" s="912">
        <v>227732</v>
      </c>
      <c r="I566" s="13"/>
    </row>
    <row r="567" spans="1:9" x14ac:dyDescent="0.35">
      <c r="A567" s="572" t="s">
        <v>488</v>
      </c>
      <c r="B567" s="573" t="s">
        <v>489</v>
      </c>
      <c r="C567" s="573" t="s">
        <v>404</v>
      </c>
      <c r="D567" s="574" t="s">
        <v>756</v>
      </c>
      <c r="E567" s="575"/>
      <c r="F567" s="945">
        <v>178.60650000000001</v>
      </c>
      <c r="G567" s="935">
        <v>5151663</v>
      </c>
      <c r="H567" s="912">
        <v>227731</v>
      </c>
      <c r="I567" s="13"/>
    </row>
    <row r="568" spans="1:9" x14ac:dyDescent="0.35">
      <c r="A568" s="37"/>
      <c r="B568" s="31"/>
      <c r="C568" s="31"/>
      <c r="D568" s="516"/>
      <c r="E568" s="42"/>
      <c r="F568" s="945"/>
      <c r="G568" s="929"/>
      <c r="H568" s="913"/>
      <c r="I568" s="13"/>
    </row>
    <row r="569" spans="1:9" x14ac:dyDescent="0.35">
      <c r="A569" s="276" t="s">
        <v>613</v>
      </c>
      <c r="B569" s="264" t="s">
        <v>598</v>
      </c>
      <c r="C569" s="264" t="s">
        <v>402</v>
      </c>
      <c r="D569" s="513"/>
      <c r="E569" s="277"/>
      <c r="F569" s="945">
        <v>1154.75999</v>
      </c>
      <c r="G569" s="925">
        <v>8122008</v>
      </c>
      <c r="H569" s="912">
        <v>227733</v>
      </c>
      <c r="I569" s="13"/>
    </row>
    <row r="570" spans="1:9" x14ac:dyDescent="0.35">
      <c r="A570" s="278" t="s">
        <v>614</v>
      </c>
      <c r="B570" s="267" t="s">
        <v>598</v>
      </c>
      <c r="C570" s="267" t="s">
        <v>403</v>
      </c>
      <c r="D570" s="514"/>
      <c r="E570" s="279"/>
      <c r="F570" s="945">
        <v>1154.75999</v>
      </c>
      <c r="G570" s="926">
        <v>1803301</v>
      </c>
      <c r="H570" s="912">
        <v>227735</v>
      </c>
      <c r="I570" s="13"/>
    </row>
    <row r="571" spans="1:9" x14ac:dyDescent="0.35">
      <c r="A571" s="485" t="s">
        <v>615</v>
      </c>
      <c r="B571" s="487" t="s">
        <v>598</v>
      </c>
      <c r="C571" s="487" t="s">
        <v>404</v>
      </c>
      <c r="D571" s="520"/>
      <c r="E571" s="280"/>
      <c r="F571" s="945">
        <v>1154.75999</v>
      </c>
      <c r="G571" s="928">
        <v>4837273</v>
      </c>
      <c r="H571" s="912">
        <v>227734</v>
      </c>
      <c r="I571" s="13"/>
    </row>
    <row r="572" spans="1:9" x14ac:dyDescent="0.35">
      <c r="A572" s="276" t="s">
        <v>616</v>
      </c>
      <c r="B572" s="264" t="s">
        <v>474</v>
      </c>
      <c r="C572" s="264" t="s">
        <v>402</v>
      </c>
      <c r="D572" s="513"/>
      <c r="E572" s="277"/>
      <c r="F572" s="945">
        <v>1167.81376</v>
      </c>
      <c r="G572" s="925">
        <v>7540872</v>
      </c>
      <c r="H572" s="912">
        <v>227736</v>
      </c>
      <c r="I572" s="13"/>
    </row>
    <row r="573" spans="1:9" x14ac:dyDescent="0.35">
      <c r="A573" s="278" t="s">
        <v>617</v>
      </c>
      <c r="B573" s="267" t="s">
        <v>474</v>
      </c>
      <c r="C573" s="267" t="s">
        <v>403</v>
      </c>
      <c r="D573" s="514"/>
      <c r="E573" s="279"/>
      <c r="F573" s="945">
        <v>1167.81376</v>
      </c>
      <c r="G573" s="926">
        <v>3134316</v>
      </c>
      <c r="H573" s="912">
        <v>227738</v>
      </c>
      <c r="I573" s="13"/>
    </row>
    <row r="574" spans="1:9" x14ac:dyDescent="0.35">
      <c r="A574" s="485" t="s">
        <v>618</v>
      </c>
      <c r="B574" s="487" t="s">
        <v>474</v>
      </c>
      <c r="C574" s="487" t="s">
        <v>404</v>
      </c>
      <c r="D574" s="520"/>
      <c r="E574" s="280"/>
      <c r="F574" s="945">
        <v>1167.81376</v>
      </c>
      <c r="G574" s="928">
        <v>3427726</v>
      </c>
      <c r="H574" s="912">
        <v>227737</v>
      </c>
      <c r="I574" s="13"/>
    </row>
    <row r="575" spans="1:9" x14ac:dyDescent="0.35">
      <c r="A575" s="276" t="s">
        <v>619</v>
      </c>
      <c r="B575" s="264" t="s">
        <v>599</v>
      </c>
      <c r="C575" s="264" t="s">
        <v>402</v>
      </c>
      <c r="D575" s="513"/>
      <c r="E575" s="277"/>
      <c r="F575" s="945">
        <v>1187.04594</v>
      </c>
      <c r="G575" s="925">
        <v>5762924</v>
      </c>
      <c r="H575" s="912">
        <v>227739</v>
      </c>
      <c r="I575" s="13"/>
    </row>
    <row r="576" spans="1:9" x14ac:dyDescent="0.35">
      <c r="A576" s="278" t="s">
        <v>620</v>
      </c>
      <c r="B576" s="267" t="s">
        <v>599</v>
      </c>
      <c r="C576" s="267" t="s">
        <v>403</v>
      </c>
      <c r="D576" s="514"/>
      <c r="E576" s="279"/>
      <c r="F576" s="945">
        <v>1187.04594</v>
      </c>
      <c r="G576" s="926">
        <v>1039043</v>
      </c>
      <c r="H576" s="912">
        <v>227741</v>
      </c>
      <c r="I576" s="13"/>
    </row>
    <row r="577" spans="1:9" x14ac:dyDescent="0.35">
      <c r="A577" s="485" t="s">
        <v>621</v>
      </c>
      <c r="B577" s="487" t="s">
        <v>599</v>
      </c>
      <c r="C577" s="487" t="s">
        <v>404</v>
      </c>
      <c r="D577" s="520"/>
      <c r="E577" s="280"/>
      <c r="F577" s="945">
        <v>1187.04594</v>
      </c>
      <c r="G577" s="928">
        <v>7957654</v>
      </c>
      <c r="H577" s="912">
        <v>227740</v>
      </c>
      <c r="I577" s="13"/>
    </row>
    <row r="578" spans="1:9" x14ac:dyDescent="0.35">
      <c r="A578" s="276" t="s">
        <v>622</v>
      </c>
      <c r="B578" s="264" t="s">
        <v>600</v>
      </c>
      <c r="C578" s="264" t="s">
        <v>402</v>
      </c>
      <c r="D578" s="513"/>
      <c r="E578" s="277"/>
      <c r="F578" s="945">
        <v>1206.28352</v>
      </c>
      <c r="G578" s="925">
        <v>8044308</v>
      </c>
      <c r="H578" s="912">
        <v>227742</v>
      </c>
      <c r="I578" s="13"/>
    </row>
    <row r="579" spans="1:9" x14ac:dyDescent="0.35">
      <c r="A579" s="278" t="s">
        <v>623</v>
      </c>
      <c r="B579" s="267" t="s">
        <v>600</v>
      </c>
      <c r="C579" s="267" t="s">
        <v>403</v>
      </c>
      <c r="D579" s="514"/>
      <c r="E579" s="279"/>
      <c r="F579" s="945">
        <v>1206.28352</v>
      </c>
      <c r="G579" s="926">
        <v>3812565</v>
      </c>
      <c r="H579" s="912">
        <v>227744</v>
      </c>
      <c r="I579" s="13"/>
    </row>
    <row r="580" spans="1:9" x14ac:dyDescent="0.35">
      <c r="A580" s="485" t="s">
        <v>624</v>
      </c>
      <c r="B580" s="487" t="s">
        <v>600</v>
      </c>
      <c r="C580" s="487" t="s">
        <v>404</v>
      </c>
      <c r="D580" s="520"/>
      <c r="E580" s="280"/>
      <c r="F580" s="945">
        <v>1206.28352</v>
      </c>
      <c r="G580" s="928">
        <v>4599953</v>
      </c>
      <c r="H580" s="912">
        <v>227743</v>
      </c>
      <c r="I580" s="13"/>
    </row>
    <row r="581" spans="1:9" x14ac:dyDescent="0.35">
      <c r="A581" s="276" t="s">
        <v>964</v>
      </c>
      <c r="B581" s="264" t="s">
        <v>967</v>
      </c>
      <c r="C581" s="264" t="s">
        <v>402</v>
      </c>
      <c r="D581" s="513"/>
      <c r="E581" s="277"/>
      <c r="F581" s="945">
        <v>1225.51511</v>
      </c>
      <c r="G581" s="925">
        <v>2686598</v>
      </c>
      <c r="H581" s="912">
        <v>279423</v>
      </c>
      <c r="I581" s="13"/>
    </row>
    <row r="582" spans="1:9" x14ac:dyDescent="0.35">
      <c r="A582" s="278" t="s">
        <v>965</v>
      </c>
      <c r="B582" s="267" t="s">
        <v>967</v>
      </c>
      <c r="C582" s="267" t="s">
        <v>403</v>
      </c>
      <c r="D582" s="514"/>
      <c r="E582" s="279"/>
      <c r="F582" s="945">
        <v>1225.51511</v>
      </c>
      <c r="G582" s="926">
        <v>2559066</v>
      </c>
      <c r="H582" s="912">
        <v>279424</v>
      </c>
      <c r="I582" s="13"/>
    </row>
    <row r="583" spans="1:9" x14ac:dyDescent="0.35">
      <c r="A583" s="485" t="s">
        <v>966</v>
      </c>
      <c r="B583" s="487" t="s">
        <v>967</v>
      </c>
      <c r="C583" s="487" t="s">
        <v>404</v>
      </c>
      <c r="D583" s="520"/>
      <c r="E583" s="280"/>
      <c r="F583" s="945">
        <v>1225.51511</v>
      </c>
      <c r="G583" s="928">
        <v>2886048</v>
      </c>
      <c r="H583" s="912">
        <v>279425</v>
      </c>
      <c r="I583" s="13"/>
    </row>
    <row r="584" spans="1:9" x14ac:dyDescent="0.35">
      <c r="A584" s="564" t="s">
        <v>639</v>
      </c>
      <c r="B584" s="565" t="s">
        <v>490</v>
      </c>
      <c r="C584" s="565" t="s">
        <v>402</v>
      </c>
      <c r="D584" s="566" t="s">
        <v>756</v>
      </c>
      <c r="E584" s="567"/>
      <c r="F584" s="945">
        <v>199.21817999999999</v>
      </c>
      <c r="G584" s="933">
        <v>1408697</v>
      </c>
      <c r="H584" s="912">
        <v>227745</v>
      </c>
      <c r="I584" s="13"/>
    </row>
    <row r="585" spans="1:9" x14ac:dyDescent="0.35">
      <c r="A585" s="568" t="s">
        <v>640</v>
      </c>
      <c r="B585" s="569" t="s">
        <v>490</v>
      </c>
      <c r="C585" s="569" t="s">
        <v>403</v>
      </c>
      <c r="D585" s="570" t="s">
        <v>756</v>
      </c>
      <c r="E585" s="571"/>
      <c r="F585" s="945">
        <v>199.21817999999999</v>
      </c>
      <c r="G585" s="934">
        <v>2073881</v>
      </c>
      <c r="H585" s="912">
        <v>227747</v>
      </c>
      <c r="I585" s="13"/>
    </row>
    <row r="586" spans="1:9" x14ac:dyDescent="0.35">
      <c r="A586" s="572" t="s">
        <v>641</v>
      </c>
      <c r="B586" s="573" t="s">
        <v>490</v>
      </c>
      <c r="C586" s="573" t="s">
        <v>404</v>
      </c>
      <c r="D586" s="574" t="s">
        <v>756</v>
      </c>
      <c r="E586" s="575"/>
      <c r="F586" s="945">
        <v>199.21817999999999</v>
      </c>
      <c r="G586" s="935">
        <v>1552689</v>
      </c>
      <c r="H586" s="912">
        <v>227746</v>
      </c>
      <c r="I586" s="13"/>
    </row>
    <row r="587" spans="1:9" x14ac:dyDescent="0.35">
      <c r="A587" s="37"/>
      <c r="B587" s="31"/>
      <c r="C587" s="31"/>
      <c r="D587" s="516"/>
      <c r="E587" s="42"/>
      <c r="F587" s="945"/>
      <c r="G587" s="929"/>
      <c r="H587" s="913"/>
      <c r="I587" s="13"/>
    </row>
    <row r="588" spans="1:9" x14ac:dyDescent="0.35">
      <c r="A588" s="276" t="s">
        <v>492</v>
      </c>
      <c r="B588" s="264" t="s">
        <v>491</v>
      </c>
      <c r="C588" s="264" t="s">
        <v>402</v>
      </c>
      <c r="D588" s="513"/>
      <c r="E588" s="277"/>
      <c r="F588" s="945">
        <v>1305.20226</v>
      </c>
      <c r="G588" s="925">
        <v>3149094</v>
      </c>
      <c r="H588" s="912">
        <v>227711</v>
      </c>
      <c r="I588" s="13"/>
    </row>
    <row r="589" spans="1:9" x14ac:dyDescent="0.35">
      <c r="A589" s="278" t="s">
        <v>493</v>
      </c>
      <c r="B589" s="267" t="s">
        <v>491</v>
      </c>
      <c r="C589" s="267" t="s">
        <v>403</v>
      </c>
      <c r="D589" s="514"/>
      <c r="E589" s="279"/>
      <c r="F589" s="945">
        <v>1305.20226</v>
      </c>
      <c r="G589" s="926">
        <v>9116345</v>
      </c>
      <c r="H589" s="912">
        <v>227713</v>
      </c>
      <c r="I589" s="13"/>
    </row>
    <row r="590" spans="1:9" x14ac:dyDescent="0.35">
      <c r="A590" s="485" t="s">
        <v>494</v>
      </c>
      <c r="B590" s="487" t="s">
        <v>491</v>
      </c>
      <c r="C590" s="487" t="s">
        <v>404</v>
      </c>
      <c r="D590" s="520"/>
      <c r="E590" s="280"/>
      <c r="F590" s="945">
        <v>1305.20226</v>
      </c>
      <c r="G590" s="928">
        <v>7375058</v>
      </c>
      <c r="H590" s="912">
        <v>227712</v>
      </c>
      <c r="I590" s="13"/>
    </row>
    <row r="591" spans="1:9" x14ac:dyDescent="0.35">
      <c r="A591" s="564" t="s">
        <v>495</v>
      </c>
      <c r="B591" s="565" t="s">
        <v>498</v>
      </c>
      <c r="C591" s="565" t="s">
        <v>402</v>
      </c>
      <c r="D591" s="566" t="s">
        <v>756</v>
      </c>
      <c r="E591" s="567"/>
      <c r="F591" s="945">
        <v>209.51836</v>
      </c>
      <c r="G591" s="933">
        <v>5670971</v>
      </c>
      <c r="H591" s="912">
        <v>227716</v>
      </c>
      <c r="I591" s="13"/>
    </row>
    <row r="592" spans="1:9" x14ac:dyDescent="0.35">
      <c r="A592" s="568" t="s">
        <v>496</v>
      </c>
      <c r="B592" s="569" t="s">
        <v>498</v>
      </c>
      <c r="C592" s="569" t="s">
        <v>403</v>
      </c>
      <c r="D592" s="570" t="s">
        <v>756</v>
      </c>
      <c r="E592" s="571"/>
      <c r="F592" s="945">
        <v>209.51836</v>
      </c>
      <c r="G592" s="934">
        <v>3458747</v>
      </c>
      <c r="H592" s="912">
        <v>227714</v>
      </c>
      <c r="I592" s="13"/>
    </row>
    <row r="593" spans="1:9" x14ac:dyDescent="0.35">
      <c r="A593" s="572" t="s">
        <v>497</v>
      </c>
      <c r="B593" s="573" t="s">
        <v>498</v>
      </c>
      <c r="C593" s="573" t="s">
        <v>404</v>
      </c>
      <c r="D593" s="574" t="s">
        <v>756</v>
      </c>
      <c r="E593" s="575"/>
      <c r="F593" s="945">
        <v>209.51836</v>
      </c>
      <c r="G593" s="935">
        <v>8042885</v>
      </c>
      <c r="H593" s="912">
        <v>227715</v>
      </c>
      <c r="I593" s="13"/>
    </row>
    <row r="594" spans="1:9" x14ac:dyDescent="0.35">
      <c r="A594" s="37"/>
      <c r="B594" s="31"/>
      <c r="C594" s="31"/>
      <c r="D594" s="516"/>
      <c r="E594" s="42"/>
      <c r="F594" s="945"/>
      <c r="G594" s="921"/>
      <c r="H594" s="913"/>
      <c r="I594" s="13"/>
    </row>
    <row r="595" spans="1:9" x14ac:dyDescent="0.35">
      <c r="A595" s="33"/>
      <c r="B595" s="34"/>
      <c r="C595" s="34"/>
      <c r="D595" s="517"/>
      <c r="E595" s="32"/>
      <c r="F595" s="945"/>
      <c r="G595" s="35"/>
      <c r="H595" s="913"/>
      <c r="I595" s="13"/>
    </row>
    <row r="596" spans="1:9" x14ac:dyDescent="0.35">
      <c r="A596" s="38" t="s">
        <v>502</v>
      </c>
      <c r="B596" s="31"/>
      <c r="C596" s="31"/>
      <c r="D596" s="516"/>
      <c r="E596" s="42"/>
      <c r="F596" s="945"/>
      <c r="G596" s="914"/>
      <c r="H596" s="913"/>
      <c r="I596" s="13"/>
    </row>
    <row r="597" spans="1:9" x14ac:dyDescent="0.35">
      <c r="A597" s="564" t="s">
        <v>499</v>
      </c>
      <c r="B597" s="565" t="s">
        <v>509</v>
      </c>
      <c r="C597" s="565" t="s">
        <v>402</v>
      </c>
      <c r="D597" s="566" t="s">
        <v>756</v>
      </c>
      <c r="E597" s="567"/>
      <c r="F597" s="945">
        <v>1373.89653</v>
      </c>
      <c r="G597" s="933">
        <v>9613823</v>
      </c>
      <c r="H597" s="912">
        <v>227748</v>
      </c>
      <c r="I597" s="13"/>
    </row>
    <row r="598" spans="1:9" x14ac:dyDescent="0.35">
      <c r="A598" s="568" t="s">
        <v>500</v>
      </c>
      <c r="B598" s="569" t="s">
        <v>509</v>
      </c>
      <c r="C598" s="569" t="s">
        <v>403</v>
      </c>
      <c r="D598" s="570" t="s">
        <v>756</v>
      </c>
      <c r="E598" s="571"/>
      <c r="F598" s="945">
        <v>1373.89653</v>
      </c>
      <c r="G598" s="934">
        <v>3670050</v>
      </c>
      <c r="H598" s="912">
        <v>227750</v>
      </c>
      <c r="I598" s="13"/>
    </row>
    <row r="599" spans="1:9" x14ac:dyDescent="0.35">
      <c r="A599" s="572" t="s">
        <v>501</v>
      </c>
      <c r="B599" s="573" t="s">
        <v>509</v>
      </c>
      <c r="C599" s="573" t="s">
        <v>404</v>
      </c>
      <c r="D599" s="574" t="s">
        <v>756</v>
      </c>
      <c r="E599" s="575"/>
      <c r="F599" s="945">
        <v>1373.89653</v>
      </c>
      <c r="G599" s="935">
        <v>3493503</v>
      </c>
      <c r="H599" s="912">
        <v>227749</v>
      </c>
      <c r="I599" s="13"/>
    </row>
    <row r="600" spans="1:9" x14ac:dyDescent="0.35">
      <c r="A600" s="564" t="s">
        <v>503</v>
      </c>
      <c r="B600" s="565" t="s">
        <v>510</v>
      </c>
      <c r="C600" s="565" t="s">
        <v>402</v>
      </c>
      <c r="D600" s="566" t="s">
        <v>756</v>
      </c>
      <c r="E600" s="567"/>
      <c r="F600" s="945">
        <v>226.69444999999999</v>
      </c>
      <c r="G600" s="933">
        <v>7307581</v>
      </c>
      <c r="H600" s="912">
        <v>227753</v>
      </c>
      <c r="I600" s="13"/>
    </row>
    <row r="601" spans="1:9" x14ac:dyDescent="0.35">
      <c r="A601" s="568" t="s">
        <v>504</v>
      </c>
      <c r="B601" s="569" t="s">
        <v>510</v>
      </c>
      <c r="C601" s="569" t="s">
        <v>403</v>
      </c>
      <c r="D601" s="570" t="s">
        <v>756</v>
      </c>
      <c r="E601" s="571"/>
      <c r="F601" s="945">
        <v>226.69444999999999</v>
      </c>
      <c r="G601" s="934">
        <v>2802560</v>
      </c>
      <c r="H601" s="912">
        <v>227751</v>
      </c>
      <c r="I601" s="13"/>
    </row>
    <row r="602" spans="1:9" x14ac:dyDescent="0.35">
      <c r="A602" s="572" t="s">
        <v>505</v>
      </c>
      <c r="B602" s="573" t="s">
        <v>510</v>
      </c>
      <c r="C602" s="573" t="s">
        <v>404</v>
      </c>
      <c r="D602" s="574" t="s">
        <v>756</v>
      </c>
      <c r="E602" s="575"/>
      <c r="F602" s="945">
        <v>226.69444999999999</v>
      </c>
      <c r="G602" s="935">
        <v>4283034</v>
      </c>
      <c r="H602" s="912">
        <v>227752</v>
      </c>
      <c r="I602" s="13"/>
    </row>
    <row r="603" spans="1:9" x14ac:dyDescent="0.35">
      <c r="A603" s="579"/>
      <c r="B603" s="580"/>
      <c r="C603" s="580"/>
      <c r="D603" s="581"/>
      <c r="E603" s="582"/>
      <c r="F603" s="945"/>
      <c r="G603" s="939"/>
      <c r="H603" s="913"/>
      <c r="I603" s="13"/>
    </row>
    <row r="604" spans="1:9" x14ac:dyDescent="0.35">
      <c r="A604" s="564" t="s">
        <v>506</v>
      </c>
      <c r="B604" s="565" t="s">
        <v>694</v>
      </c>
      <c r="C604" s="565" t="s">
        <v>402</v>
      </c>
      <c r="D604" s="566" t="s">
        <v>756</v>
      </c>
      <c r="E604" s="567"/>
      <c r="F604" s="945">
        <v>1373.89653</v>
      </c>
      <c r="G604" s="933">
        <v>7794799</v>
      </c>
      <c r="H604" s="912">
        <v>227756</v>
      </c>
      <c r="I604" s="13"/>
    </row>
    <row r="605" spans="1:9" x14ac:dyDescent="0.35">
      <c r="A605" s="568" t="s">
        <v>507</v>
      </c>
      <c r="B605" s="569" t="s">
        <v>695</v>
      </c>
      <c r="C605" s="569" t="s">
        <v>403</v>
      </c>
      <c r="D605" s="570" t="s">
        <v>756</v>
      </c>
      <c r="E605" s="571"/>
      <c r="F605" s="945">
        <v>1373.89653</v>
      </c>
      <c r="G605" s="934">
        <v>7502048</v>
      </c>
      <c r="H605" s="912">
        <v>227754</v>
      </c>
      <c r="I605" s="13"/>
    </row>
    <row r="606" spans="1:9" x14ac:dyDescent="0.35">
      <c r="A606" s="572" t="s">
        <v>508</v>
      </c>
      <c r="B606" s="573" t="s">
        <v>695</v>
      </c>
      <c r="C606" s="573" t="s">
        <v>404</v>
      </c>
      <c r="D606" s="574" t="s">
        <v>756</v>
      </c>
      <c r="E606" s="575"/>
      <c r="F606" s="945">
        <v>1373.89653</v>
      </c>
      <c r="G606" s="935">
        <v>7842844</v>
      </c>
      <c r="H606" s="912">
        <v>227755</v>
      </c>
      <c r="I606" s="13"/>
    </row>
    <row r="607" spans="1:9" x14ac:dyDescent="0.35">
      <c r="A607" s="564" t="s">
        <v>512</v>
      </c>
      <c r="B607" s="565" t="s">
        <v>511</v>
      </c>
      <c r="C607" s="565" t="s">
        <v>402</v>
      </c>
      <c r="D607" s="566" t="s">
        <v>756</v>
      </c>
      <c r="E607" s="567"/>
      <c r="F607" s="945">
        <v>226.69444999999999</v>
      </c>
      <c r="G607" s="933">
        <v>2503742</v>
      </c>
      <c r="H607" s="912">
        <v>227759</v>
      </c>
      <c r="I607" s="13"/>
    </row>
    <row r="608" spans="1:9" x14ac:dyDescent="0.35">
      <c r="A608" s="568" t="s">
        <v>513</v>
      </c>
      <c r="B608" s="569" t="s">
        <v>511</v>
      </c>
      <c r="C608" s="569" t="s">
        <v>403</v>
      </c>
      <c r="D608" s="570" t="s">
        <v>756</v>
      </c>
      <c r="E608" s="571"/>
      <c r="F608" s="945">
        <v>226.69444999999999</v>
      </c>
      <c r="G608" s="934">
        <v>5495239</v>
      </c>
      <c r="H608" s="912">
        <v>227757</v>
      </c>
      <c r="I608" s="13"/>
    </row>
    <row r="609" spans="1:9" x14ac:dyDescent="0.35">
      <c r="A609" s="572" t="s">
        <v>514</v>
      </c>
      <c r="B609" s="573" t="s">
        <v>511</v>
      </c>
      <c r="C609" s="573" t="s">
        <v>404</v>
      </c>
      <c r="D609" s="574" t="s">
        <v>756</v>
      </c>
      <c r="E609" s="575"/>
      <c r="F609" s="945">
        <v>226.69444999999999</v>
      </c>
      <c r="G609" s="935">
        <v>7506076</v>
      </c>
      <c r="H609" s="912">
        <v>227758</v>
      </c>
      <c r="I609" s="13"/>
    </row>
    <row r="610" spans="1:9" x14ac:dyDescent="0.35">
      <c r="A610" s="37"/>
      <c r="B610" s="31"/>
      <c r="C610" s="31"/>
      <c r="D610" s="516"/>
      <c r="E610" s="42"/>
      <c r="F610" s="945"/>
      <c r="G610" s="921"/>
      <c r="H610" s="913"/>
      <c r="I610" s="13"/>
    </row>
    <row r="611" spans="1:9" x14ac:dyDescent="0.35">
      <c r="A611" s="37"/>
      <c r="B611" s="31"/>
      <c r="C611" s="31"/>
      <c r="D611" s="516"/>
      <c r="E611" s="42"/>
      <c r="F611" s="945"/>
      <c r="G611" s="921"/>
      <c r="H611" s="913"/>
      <c r="I611" s="13"/>
    </row>
    <row r="612" spans="1:9" x14ac:dyDescent="0.35">
      <c r="A612" s="38" t="s">
        <v>996</v>
      </c>
      <c r="B612" s="31"/>
      <c r="C612" s="31"/>
      <c r="D612" s="516"/>
      <c r="E612" s="42"/>
      <c r="F612" s="945"/>
      <c r="G612" s="914"/>
      <c r="H612" s="913"/>
      <c r="I612" s="13"/>
    </row>
    <row r="613" spans="1:9" x14ac:dyDescent="0.35">
      <c r="A613" s="564" t="s">
        <v>997</v>
      </c>
      <c r="B613" s="565" t="s">
        <v>998</v>
      </c>
      <c r="C613" s="565" t="s">
        <v>321</v>
      </c>
      <c r="D613" s="566" t="s">
        <v>756</v>
      </c>
      <c r="E613" s="567"/>
      <c r="F613" s="945">
        <v>554.96564999999998</v>
      </c>
      <c r="G613" s="933">
        <v>5541312</v>
      </c>
      <c r="H613" s="912">
        <v>352481</v>
      </c>
      <c r="I613" s="13"/>
    </row>
    <row r="614" spans="1:9" x14ac:dyDescent="0.35">
      <c r="A614" s="568" t="s">
        <v>999</v>
      </c>
      <c r="B614" s="569" t="s">
        <v>998</v>
      </c>
      <c r="C614" s="569" t="s">
        <v>322</v>
      </c>
      <c r="D614" s="570" t="s">
        <v>756</v>
      </c>
      <c r="E614" s="571"/>
      <c r="F614" s="945">
        <v>554.96564999999998</v>
      </c>
      <c r="G614" s="934">
        <v>9358958</v>
      </c>
      <c r="H614" s="912">
        <v>352480</v>
      </c>
      <c r="I614" s="13"/>
    </row>
    <row r="615" spans="1:9" x14ac:dyDescent="0.35">
      <c r="A615" s="572" t="s">
        <v>1000</v>
      </c>
      <c r="B615" s="573" t="s">
        <v>998</v>
      </c>
      <c r="C615" s="573" t="s">
        <v>377</v>
      </c>
      <c r="D615" s="574" t="s">
        <v>756</v>
      </c>
      <c r="E615" s="575"/>
      <c r="F615" s="945">
        <v>554.96564999999998</v>
      </c>
      <c r="G615" s="935">
        <v>5536400</v>
      </c>
      <c r="H615" s="912">
        <v>352482</v>
      </c>
      <c r="I615" s="13"/>
    </row>
    <row r="616" spans="1:9" x14ac:dyDescent="0.35">
      <c r="A616" s="276" t="s">
        <v>1001</v>
      </c>
      <c r="B616" s="264" t="s">
        <v>1002</v>
      </c>
      <c r="C616" s="264" t="s">
        <v>321</v>
      </c>
      <c r="D616" s="513"/>
      <c r="E616" s="277"/>
      <c r="F616" s="945">
        <v>710.47880999999995</v>
      </c>
      <c r="G616" s="925">
        <v>4250192</v>
      </c>
      <c r="H616" s="912">
        <v>279426</v>
      </c>
      <c r="I616" s="13"/>
    </row>
    <row r="617" spans="1:9" x14ac:dyDescent="0.35">
      <c r="A617" s="278" t="s">
        <v>1003</v>
      </c>
      <c r="B617" s="267" t="s">
        <v>1002</v>
      </c>
      <c r="C617" s="267" t="s">
        <v>322</v>
      </c>
      <c r="D617" s="514"/>
      <c r="E617" s="279"/>
      <c r="F617" s="945">
        <v>710.47880999999995</v>
      </c>
      <c r="G617" s="926">
        <v>4478837</v>
      </c>
      <c r="H617" s="912">
        <v>279427</v>
      </c>
      <c r="I617" s="13"/>
    </row>
    <row r="618" spans="1:9" x14ac:dyDescent="0.35">
      <c r="A618" s="572" t="s">
        <v>1004</v>
      </c>
      <c r="B618" s="573" t="s">
        <v>1002</v>
      </c>
      <c r="C618" s="576" t="s">
        <v>377</v>
      </c>
      <c r="D618" s="574" t="s">
        <v>756</v>
      </c>
      <c r="E618" s="575"/>
      <c r="F618" s="945">
        <v>710.48</v>
      </c>
      <c r="G618" s="935">
        <v>7762103</v>
      </c>
      <c r="H618" s="912">
        <v>382090</v>
      </c>
      <c r="I618" s="13"/>
    </row>
    <row r="619" spans="1:9" x14ac:dyDescent="0.35">
      <c r="A619" s="37"/>
      <c r="B619" s="31"/>
      <c r="C619" s="31"/>
      <c r="D619" s="516"/>
      <c r="E619" s="42"/>
      <c r="F619" s="945"/>
      <c r="G619" s="929"/>
      <c r="H619" s="913"/>
      <c r="I619" s="13"/>
    </row>
    <row r="620" spans="1:9" x14ac:dyDescent="0.35">
      <c r="A620" s="38"/>
      <c r="B620" s="31"/>
      <c r="C620" s="31"/>
      <c r="D620" s="516"/>
      <c r="E620" s="42"/>
      <c r="F620" s="945"/>
      <c r="G620" s="929"/>
      <c r="H620" s="913"/>
      <c r="I620" s="13"/>
    </row>
    <row r="621" spans="1:9" x14ac:dyDescent="0.35">
      <c r="A621" s="37"/>
      <c r="B621" s="31"/>
      <c r="C621" s="31"/>
      <c r="D621" s="516"/>
      <c r="E621" s="42"/>
      <c r="F621" s="945"/>
      <c r="G621" s="929"/>
      <c r="H621" s="913"/>
      <c r="I621" s="13"/>
    </row>
    <row r="622" spans="1:9" x14ac:dyDescent="0.35">
      <c r="A622" s="37"/>
      <c r="B622" s="31"/>
      <c r="C622" s="31"/>
      <c r="D622" s="516"/>
      <c r="E622" s="42"/>
      <c r="F622" s="945"/>
      <c r="G622" s="929"/>
      <c r="H622" s="913"/>
      <c r="I622" s="13"/>
    </row>
    <row r="623" spans="1:9" x14ac:dyDescent="0.35">
      <c r="A623" s="44"/>
      <c r="B623" s="31"/>
      <c r="C623" s="31"/>
      <c r="D623" s="516"/>
      <c r="E623" s="42"/>
      <c r="F623" s="945"/>
      <c r="G623" s="929"/>
      <c r="H623" s="913"/>
      <c r="I623" s="13"/>
    </row>
    <row r="624" spans="1:9" x14ac:dyDescent="0.35">
      <c r="A624" s="38" t="s">
        <v>638</v>
      </c>
      <c r="B624" s="31"/>
      <c r="C624" s="31"/>
      <c r="D624" s="516"/>
      <c r="E624" s="42"/>
      <c r="F624" s="945"/>
      <c r="G624" s="929"/>
      <c r="H624" s="913"/>
    </row>
    <row r="625" spans="1:9" x14ac:dyDescent="0.35">
      <c r="A625" s="37" t="s">
        <v>30</v>
      </c>
      <c r="B625" s="31" t="s">
        <v>515</v>
      </c>
      <c r="C625" s="31" t="s">
        <v>321</v>
      </c>
      <c r="D625" s="516"/>
      <c r="E625" s="42"/>
      <c r="F625" s="945">
        <v>779.68948</v>
      </c>
      <c r="G625" s="911">
        <v>9809820</v>
      </c>
      <c r="H625" s="912">
        <v>227688</v>
      </c>
      <c r="I625" s="13"/>
    </row>
    <row r="626" spans="1:9" x14ac:dyDescent="0.35">
      <c r="A626" s="37" t="s">
        <v>518</v>
      </c>
      <c r="B626" s="31" t="s">
        <v>519</v>
      </c>
      <c r="C626" s="31" t="s">
        <v>321</v>
      </c>
      <c r="D626" s="516"/>
      <c r="E626" s="42"/>
      <c r="F626" s="945">
        <v>1916.58602</v>
      </c>
      <c r="G626" s="911">
        <v>5952958</v>
      </c>
      <c r="H626" s="912">
        <v>227689</v>
      </c>
      <c r="I626" s="13"/>
    </row>
    <row r="627" spans="1:9" x14ac:dyDescent="0.35">
      <c r="A627" s="460" t="s">
        <v>637</v>
      </c>
      <c r="B627" s="34" t="s">
        <v>520</v>
      </c>
      <c r="C627" s="34" t="s">
        <v>321</v>
      </c>
      <c r="D627" s="517" t="s">
        <v>756</v>
      </c>
      <c r="E627" s="461"/>
      <c r="F627" s="945">
        <v>1916.58602</v>
      </c>
      <c r="G627" s="927">
        <v>5241444</v>
      </c>
      <c r="H627" s="912">
        <v>227690</v>
      </c>
      <c r="I627" s="13"/>
    </row>
    <row r="628" spans="1:9" x14ac:dyDescent="0.35">
      <c r="A628" s="37" t="s">
        <v>516</v>
      </c>
      <c r="B628" s="31" t="s">
        <v>517</v>
      </c>
      <c r="C628" s="31" t="s">
        <v>28</v>
      </c>
      <c r="D628" s="516"/>
      <c r="E628" s="42"/>
      <c r="F628" s="945">
        <v>1191.8663899999999</v>
      </c>
      <c r="G628" s="911">
        <v>8058240</v>
      </c>
      <c r="H628" s="912">
        <v>227691</v>
      </c>
      <c r="I628" s="13"/>
    </row>
    <row r="629" spans="1:9" x14ac:dyDescent="0.35">
      <c r="A629" s="37" t="s">
        <v>244</v>
      </c>
      <c r="B629" s="31" t="s">
        <v>521</v>
      </c>
      <c r="C629" s="31" t="s">
        <v>321</v>
      </c>
      <c r="D629" s="516"/>
      <c r="E629" s="42"/>
      <c r="F629" s="945">
        <v>1160.9431999999999</v>
      </c>
      <c r="G629" s="911">
        <v>1366848</v>
      </c>
      <c r="H629" s="912">
        <v>227693</v>
      </c>
      <c r="I629" s="13"/>
    </row>
    <row r="630" spans="1:9" x14ac:dyDescent="0.35">
      <c r="A630" s="43"/>
      <c r="B630" s="31"/>
      <c r="C630" s="31"/>
      <c r="D630" s="516"/>
      <c r="E630" s="42"/>
      <c r="F630" s="945"/>
      <c r="G630" s="940"/>
      <c r="H630" s="913"/>
      <c r="I630" s="13"/>
    </row>
    <row r="631" spans="1:9" x14ac:dyDescent="0.35">
      <c r="A631" s="43"/>
      <c r="B631" s="31"/>
      <c r="C631" s="31"/>
      <c r="D631" s="516"/>
      <c r="E631" s="42"/>
      <c r="F631" s="945"/>
      <c r="G631" s="940"/>
      <c r="H631" s="913"/>
      <c r="I631" s="13"/>
    </row>
    <row r="632" spans="1:9" x14ac:dyDescent="0.35">
      <c r="A632" s="38" t="s">
        <v>677</v>
      </c>
      <c r="B632" s="31"/>
      <c r="C632" s="31"/>
      <c r="D632" s="516"/>
      <c r="E632" s="42"/>
      <c r="F632" s="945"/>
      <c r="G632" s="921"/>
      <c r="H632" s="913"/>
      <c r="I632" s="13"/>
    </row>
    <row r="633" spans="1:9" x14ac:dyDescent="0.35">
      <c r="A633" s="37" t="s">
        <v>678</v>
      </c>
      <c r="B633" s="31" t="s">
        <v>679</v>
      </c>
      <c r="C633" s="31" t="s">
        <v>227</v>
      </c>
      <c r="D633" s="516"/>
      <c r="E633" s="42"/>
      <c r="F633" s="945">
        <v>1.8800600000000001</v>
      </c>
      <c r="G633" s="911">
        <v>9508739</v>
      </c>
      <c r="H633" s="912">
        <v>237597</v>
      </c>
      <c r="I633" s="13"/>
    </row>
    <row r="634" spans="1:9" x14ac:dyDescent="0.35">
      <c r="A634" s="37" t="s">
        <v>63</v>
      </c>
      <c r="B634" s="31" t="s">
        <v>287</v>
      </c>
      <c r="C634" s="31" t="s">
        <v>241</v>
      </c>
      <c r="D634" s="516"/>
      <c r="E634" s="42"/>
      <c r="F634" s="945">
        <v>35.153820000000003</v>
      </c>
      <c r="G634" s="911">
        <v>6448980</v>
      </c>
      <c r="H634" s="912">
        <v>12839</v>
      </c>
      <c r="I634" s="13"/>
    </row>
    <row r="635" spans="1:9" x14ac:dyDescent="0.35">
      <c r="A635" s="37" t="s">
        <v>288</v>
      </c>
      <c r="B635" s="31" t="s">
        <v>289</v>
      </c>
      <c r="C635" s="31" t="s">
        <v>290</v>
      </c>
      <c r="D635" s="516"/>
      <c r="E635" s="42"/>
      <c r="F635" s="945">
        <v>4.1288499999999999</v>
      </c>
      <c r="G635" s="911">
        <v>3283090</v>
      </c>
      <c r="H635" s="912">
        <v>12388</v>
      </c>
      <c r="I635" s="13"/>
    </row>
    <row r="636" spans="1:9" x14ac:dyDescent="0.35">
      <c r="A636" s="37" t="s">
        <v>734</v>
      </c>
      <c r="B636" s="31" t="s">
        <v>735</v>
      </c>
      <c r="C636" s="31" t="s">
        <v>4</v>
      </c>
      <c r="D636" s="516"/>
      <c r="E636" s="42"/>
      <c r="F636" s="945">
        <v>165</v>
      </c>
      <c r="G636" s="911">
        <v>2090937</v>
      </c>
      <c r="H636" s="912">
        <v>236550</v>
      </c>
      <c r="I636" s="13"/>
    </row>
    <row r="637" spans="1:9" x14ac:dyDescent="0.35">
      <c r="A637" s="37" t="s">
        <v>809</v>
      </c>
      <c r="B637" s="31" t="s">
        <v>810</v>
      </c>
      <c r="C637" s="31" t="s">
        <v>856</v>
      </c>
      <c r="D637" s="516"/>
      <c r="E637" s="42"/>
      <c r="F637" s="945">
        <v>33.796340000000001</v>
      </c>
      <c r="G637" s="911">
        <v>1290697</v>
      </c>
      <c r="H637" s="912">
        <v>267764</v>
      </c>
      <c r="I637" s="13"/>
    </row>
    <row r="638" spans="1:9" x14ac:dyDescent="0.35">
      <c r="A638" s="37" t="s">
        <v>976</v>
      </c>
      <c r="B638" s="31" t="s">
        <v>939</v>
      </c>
      <c r="C638" s="31" t="s">
        <v>4</v>
      </c>
      <c r="D638" s="516"/>
      <c r="E638" s="42"/>
      <c r="F638" s="945">
        <v>161.81934999999999</v>
      </c>
      <c r="G638" s="921">
        <v>8946234</v>
      </c>
      <c r="H638" s="912">
        <v>275419</v>
      </c>
      <c r="I638" s="13"/>
    </row>
    <row r="639" spans="1:9" x14ac:dyDescent="0.35">
      <c r="A639" s="37" t="s">
        <v>1406</v>
      </c>
      <c r="B639" s="794" t="s">
        <v>1407</v>
      </c>
      <c r="C639" s="31" t="s">
        <v>241</v>
      </c>
      <c r="D639" s="516"/>
      <c r="E639" s="42"/>
      <c r="F639" s="945">
        <v>90.96396</v>
      </c>
      <c r="G639" s="941">
        <v>7654487</v>
      </c>
      <c r="H639" s="912">
        <v>347998</v>
      </c>
      <c r="I639" s="13"/>
    </row>
    <row r="640" spans="1:9" x14ac:dyDescent="0.35">
      <c r="A640" s="37" t="s">
        <v>1408</v>
      </c>
      <c r="B640" s="794" t="s">
        <v>1409</v>
      </c>
      <c r="C640" s="31" t="s">
        <v>1410</v>
      </c>
      <c r="D640" s="516"/>
      <c r="E640" s="42"/>
      <c r="F640" s="945">
        <v>58.394089999999998</v>
      </c>
      <c r="G640" s="941">
        <v>4958478</v>
      </c>
      <c r="H640" s="912">
        <v>347999</v>
      </c>
      <c r="I640" s="13"/>
    </row>
    <row r="641" spans="1:9" x14ac:dyDescent="0.35">
      <c r="A641" s="37"/>
      <c r="B641" s="31"/>
      <c r="C641" s="31"/>
      <c r="D641" s="516"/>
      <c r="E641" s="42"/>
      <c r="F641" s="945"/>
      <c r="G641" s="914"/>
      <c r="H641" s="913"/>
      <c r="I641" s="13"/>
    </row>
    <row r="642" spans="1:9" x14ac:dyDescent="0.35">
      <c r="A642" s="37"/>
      <c r="B642" s="31"/>
      <c r="C642" s="31"/>
      <c r="D642" s="516"/>
      <c r="E642" s="42"/>
      <c r="F642" s="945"/>
      <c r="G642" s="914"/>
      <c r="H642" s="913"/>
      <c r="I642" s="13"/>
    </row>
    <row r="643" spans="1:9" x14ac:dyDescent="0.35">
      <c r="A643" s="45"/>
      <c r="B643" s="31"/>
      <c r="C643" s="31"/>
      <c r="D643" s="516"/>
      <c r="E643" s="42"/>
      <c r="F643" s="945"/>
      <c r="G643" s="914"/>
      <c r="H643" s="913"/>
      <c r="I643" s="13"/>
    </row>
    <row r="644" spans="1:9" x14ac:dyDescent="0.35">
      <c r="A644" s="37"/>
      <c r="B644" s="31"/>
      <c r="C644" s="31"/>
      <c r="D644" s="516"/>
      <c r="E644" s="42"/>
      <c r="F644" s="945"/>
      <c r="G644" s="914"/>
      <c r="H644" s="913"/>
      <c r="I644" s="13"/>
    </row>
    <row r="645" spans="1:9" x14ac:dyDescent="0.35">
      <c r="A645" s="37"/>
      <c r="B645" s="31"/>
      <c r="C645" s="31"/>
      <c r="D645" s="516"/>
      <c r="E645" s="42"/>
      <c r="F645" s="945"/>
      <c r="G645" s="914"/>
      <c r="H645" s="913"/>
      <c r="I645" s="13"/>
    </row>
    <row r="646" spans="1:9" x14ac:dyDescent="0.35">
      <c r="A646" s="37"/>
      <c r="B646" s="31"/>
      <c r="C646" s="31"/>
      <c r="D646" s="516"/>
      <c r="E646" s="42"/>
      <c r="F646" s="945"/>
      <c r="G646" s="914"/>
      <c r="H646" s="913"/>
      <c r="I646" s="13"/>
    </row>
    <row r="647" spans="1:9" x14ac:dyDescent="0.35">
      <c r="A647" s="37"/>
      <c r="B647" s="31"/>
      <c r="C647" s="31"/>
      <c r="D647" s="516"/>
      <c r="E647" s="42"/>
      <c r="F647" s="945"/>
      <c r="G647" s="914"/>
      <c r="H647" s="913"/>
      <c r="I647" s="13"/>
    </row>
    <row r="648" spans="1:9" x14ac:dyDescent="0.35">
      <c r="A648" s="37"/>
      <c r="B648" s="31"/>
      <c r="C648" s="31"/>
      <c r="D648" s="516"/>
      <c r="E648" s="42"/>
      <c r="F648" s="945"/>
      <c r="G648" s="914"/>
      <c r="H648" s="913"/>
      <c r="I648" s="13"/>
    </row>
    <row r="649" spans="1:9" x14ac:dyDescent="0.35">
      <c r="A649" s="37"/>
      <c r="B649" s="31"/>
      <c r="C649" s="31"/>
      <c r="D649" s="516"/>
      <c r="E649" s="42"/>
      <c r="F649" s="945"/>
      <c r="G649" s="914"/>
      <c r="H649" s="913"/>
      <c r="I649" s="13"/>
    </row>
    <row r="650" spans="1:9" x14ac:dyDescent="0.35">
      <c r="A650" s="38" t="s">
        <v>81</v>
      </c>
      <c r="B650" s="31"/>
      <c r="C650" s="31"/>
      <c r="D650" s="516"/>
      <c r="E650" s="42"/>
      <c r="F650" s="945"/>
      <c r="G650" s="914"/>
      <c r="H650" s="913"/>
      <c r="I650" s="13"/>
    </row>
    <row r="651" spans="1:9" x14ac:dyDescent="0.35">
      <c r="A651" s="41" t="s">
        <v>245</v>
      </c>
      <c r="B651" s="31" t="s">
        <v>246</v>
      </c>
      <c r="C651" s="31" t="s">
        <v>241</v>
      </c>
      <c r="D651" s="516"/>
      <c r="E651" s="40"/>
      <c r="F651" s="945">
        <v>20.736229999999999</v>
      </c>
      <c r="G651" s="942">
        <v>7834990</v>
      </c>
      <c r="H651" s="912">
        <v>99131</v>
      </c>
      <c r="I651" s="13"/>
    </row>
    <row r="652" spans="1:9" x14ac:dyDescent="0.35">
      <c r="A652" s="41" t="s">
        <v>247</v>
      </c>
      <c r="B652" s="31" t="s">
        <v>248</v>
      </c>
      <c r="C652" s="31" t="s">
        <v>241</v>
      </c>
      <c r="D652" s="516"/>
      <c r="E652" s="40"/>
      <c r="F652" s="945">
        <v>18.628139999999998</v>
      </c>
      <c r="G652" s="942">
        <v>7402930</v>
      </c>
      <c r="H652" s="912">
        <v>99120</v>
      </c>
      <c r="I652" s="13"/>
    </row>
    <row r="653" spans="1:9" x14ac:dyDescent="0.35">
      <c r="A653" s="41" t="s">
        <v>249</v>
      </c>
      <c r="B653" s="31" t="s">
        <v>1328</v>
      </c>
      <c r="C653" s="31" t="s">
        <v>241</v>
      </c>
      <c r="D653" s="516"/>
      <c r="E653" s="40"/>
      <c r="F653" s="945">
        <v>2017.38859</v>
      </c>
      <c r="G653" s="942">
        <v>6970029</v>
      </c>
      <c r="H653" s="912">
        <v>99100</v>
      </c>
      <c r="I653" s="13"/>
    </row>
    <row r="654" spans="1:9" x14ac:dyDescent="0.35">
      <c r="A654" s="41" t="s">
        <v>250</v>
      </c>
      <c r="B654" s="31" t="s">
        <v>35</v>
      </c>
      <c r="C654" s="31" t="s">
        <v>241</v>
      </c>
      <c r="D654" s="516"/>
      <c r="E654" s="40"/>
      <c r="F654" s="945">
        <v>98.899799999999999</v>
      </c>
      <c r="G654" s="942">
        <v>3061821</v>
      </c>
      <c r="H654" s="912">
        <v>99101</v>
      </c>
      <c r="I654" s="13"/>
    </row>
    <row r="655" spans="1:9" x14ac:dyDescent="0.35">
      <c r="A655" s="41" t="s">
        <v>251</v>
      </c>
      <c r="B655" s="31" t="s">
        <v>36</v>
      </c>
      <c r="C655" s="31" t="s">
        <v>241</v>
      </c>
      <c r="D655" s="516"/>
      <c r="E655" s="40"/>
      <c r="F655" s="945">
        <v>123.32662000000001</v>
      </c>
      <c r="G655" s="942">
        <v>9879558</v>
      </c>
      <c r="H655" s="912">
        <v>99102</v>
      </c>
      <c r="I655" s="13"/>
    </row>
    <row r="656" spans="1:9" x14ac:dyDescent="0.35">
      <c r="A656" s="41" t="s">
        <v>252</v>
      </c>
      <c r="B656" s="31" t="s">
        <v>37</v>
      </c>
      <c r="C656" s="31" t="s">
        <v>241</v>
      </c>
      <c r="D656" s="516"/>
      <c r="E656" s="40"/>
      <c r="F656" s="945">
        <v>201.70495</v>
      </c>
      <c r="G656" s="942">
        <v>4805174</v>
      </c>
      <c r="H656" s="912">
        <v>99103</v>
      </c>
      <c r="I656" s="13"/>
    </row>
    <row r="657" spans="1:9" x14ac:dyDescent="0.35">
      <c r="A657" s="41" t="s">
        <v>253</v>
      </c>
      <c r="B657" s="31" t="s">
        <v>38</v>
      </c>
      <c r="C657" s="31" t="s">
        <v>241</v>
      </c>
      <c r="D657" s="516"/>
      <c r="E657" s="40"/>
      <c r="F657" s="945">
        <v>402.35302000000001</v>
      </c>
      <c r="G657" s="942">
        <v>1640683</v>
      </c>
      <c r="H657" s="912">
        <v>99104</v>
      </c>
      <c r="I657" s="13"/>
    </row>
    <row r="658" spans="1:9" x14ac:dyDescent="0.35">
      <c r="A658" s="41" t="s">
        <v>285</v>
      </c>
      <c r="B658" s="31" t="s">
        <v>286</v>
      </c>
      <c r="C658" s="31" t="s">
        <v>241</v>
      </c>
      <c r="D658" s="516"/>
      <c r="E658" s="42"/>
      <c r="F658" s="945">
        <v>567.60990000000004</v>
      </c>
      <c r="G658" s="942">
        <v>8010962</v>
      </c>
      <c r="H658" s="912">
        <v>99127</v>
      </c>
      <c r="I658" s="13"/>
    </row>
    <row r="659" spans="1:9" x14ac:dyDescent="0.35">
      <c r="A659" s="41" t="s">
        <v>254</v>
      </c>
      <c r="B659" s="31" t="s">
        <v>255</v>
      </c>
      <c r="C659" s="31" t="s">
        <v>256</v>
      </c>
      <c r="D659" s="516"/>
      <c r="E659" s="40"/>
      <c r="F659" s="945">
        <v>22.708690000000001</v>
      </c>
      <c r="G659" s="942">
        <v>7283231</v>
      </c>
      <c r="H659" s="912">
        <v>99105</v>
      </c>
      <c r="I659" s="13"/>
    </row>
    <row r="660" spans="1:9" x14ac:dyDescent="0.35">
      <c r="A660" s="41" t="s">
        <v>257</v>
      </c>
      <c r="B660" s="31" t="s">
        <v>258</v>
      </c>
      <c r="C660" s="31" t="s">
        <v>259</v>
      </c>
      <c r="D660" s="516"/>
      <c r="E660" s="40"/>
      <c r="F660" s="945">
        <v>126.53116</v>
      </c>
      <c r="G660" s="942">
        <v>7288466</v>
      </c>
      <c r="H660" s="912">
        <v>99106</v>
      </c>
      <c r="I660" s="13"/>
    </row>
    <row r="661" spans="1:9" x14ac:dyDescent="0.35">
      <c r="A661" s="41" t="s">
        <v>41</v>
      </c>
      <c r="B661" s="31" t="s">
        <v>42</v>
      </c>
      <c r="C661" s="31" t="s">
        <v>259</v>
      </c>
      <c r="D661" s="516"/>
      <c r="E661" s="40"/>
      <c r="F661" s="945">
        <v>175.72389999999999</v>
      </c>
      <c r="G661" s="942">
        <v>8013626</v>
      </c>
      <c r="H661" s="912">
        <v>246077</v>
      </c>
      <c r="I661" s="13"/>
    </row>
    <row r="662" spans="1:9" x14ac:dyDescent="0.35">
      <c r="A662" s="41" t="s">
        <v>260</v>
      </c>
      <c r="B662" s="31" t="s">
        <v>261</v>
      </c>
      <c r="C662" s="31" t="s">
        <v>259</v>
      </c>
      <c r="D662" s="516"/>
      <c r="E662" s="40"/>
      <c r="F662" s="945">
        <v>272.02954999999997</v>
      </c>
      <c r="G662" s="942">
        <v>7288546</v>
      </c>
      <c r="H662" s="912">
        <v>99128</v>
      </c>
      <c r="I662" s="13"/>
    </row>
    <row r="663" spans="1:9" x14ac:dyDescent="0.35">
      <c r="A663" s="41" t="s">
        <v>262</v>
      </c>
      <c r="B663" s="31" t="s">
        <v>263</v>
      </c>
      <c r="C663" s="31" t="s">
        <v>259</v>
      </c>
      <c r="D663" s="516"/>
      <c r="E663" s="40"/>
      <c r="F663" s="945">
        <v>307.17772000000002</v>
      </c>
      <c r="G663" s="942">
        <v>7361306</v>
      </c>
      <c r="H663" s="912">
        <v>99118</v>
      </c>
      <c r="I663" s="13"/>
    </row>
    <row r="664" spans="1:9" x14ac:dyDescent="0.35">
      <c r="A664" s="41" t="s">
        <v>264</v>
      </c>
      <c r="B664" s="31" t="s">
        <v>265</v>
      </c>
      <c r="C664" s="31" t="s">
        <v>243</v>
      </c>
      <c r="D664" s="516"/>
      <c r="E664" s="40"/>
      <c r="F664" s="945">
        <v>788.36121000000003</v>
      </c>
      <c r="G664" s="942">
        <v>7550294</v>
      </c>
      <c r="H664" s="912">
        <v>99107</v>
      </c>
      <c r="I664" s="13"/>
    </row>
    <row r="665" spans="1:9" x14ac:dyDescent="0.35">
      <c r="A665" s="41" t="s">
        <v>266</v>
      </c>
      <c r="B665" s="31" t="s">
        <v>267</v>
      </c>
      <c r="C665" s="31" t="s">
        <v>243</v>
      </c>
      <c r="D665" s="516"/>
      <c r="E665" s="40"/>
      <c r="F665" s="945">
        <v>191.19836000000001</v>
      </c>
      <c r="G665" s="942">
        <v>7205784</v>
      </c>
      <c r="H665" s="912">
        <v>99108</v>
      </c>
      <c r="I665" s="13"/>
    </row>
    <row r="666" spans="1:9" x14ac:dyDescent="0.35">
      <c r="A666" s="41" t="s">
        <v>1028</v>
      </c>
      <c r="B666" s="31" t="s">
        <v>1029</v>
      </c>
      <c r="C666" s="31" t="s">
        <v>243</v>
      </c>
      <c r="D666" s="516"/>
      <c r="E666" s="40"/>
      <c r="F666" s="945">
        <v>2910.1035299999999</v>
      </c>
      <c r="G666" s="942">
        <v>5082891</v>
      </c>
      <c r="H666" s="912">
        <v>129576</v>
      </c>
      <c r="I666" s="13"/>
    </row>
    <row r="667" spans="1:9" x14ac:dyDescent="0.35">
      <c r="A667" s="41" t="s">
        <v>39</v>
      </c>
      <c r="B667" s="31" t="s">
        <v>268</v>
      </c>
      <c r="C667" s="31" t="s">
        <v>241</v>
      </c>
      <c r="D667" s="516"/>
      <c r="E667" s="40"/>
      <c r="F667" s="945">
        <v>196.81619000000001</v>
      </c>
      <c r="G667" s="942">
        <v>7282180</v>
      </c>
      <c r="H667" s="912">
        <v>991110</v>
      </c>
      <c r="I667" s="13"/>
    </row>
    <row r="668" spans="1:9" x14ac:dyDescent="0.35">
      <c r="A668" s="41" t="s">
        <v>40</v>
      </c>
      <c r="B668" s="31" t="s">
        <v>269</v>
      </c>
      <c r="C668" s="31" t="s">
        <v>270</v>
      </c>
      <c r="D668" s="516"/>
      <c r="E668" s="40"/>
      <c r="F668" s="945">
        <v>106.14533</v>
      </c>
      <c r="G668" s="942">
        <v>9327076</v>
      </c>
      <c r="H668" s="912">
        <v>131344</v>
      </c>
      <c r="I668" s="13"/>
    </row>
    <row r="669" spans="1:9" x14ac:dyDescent="0.35">
      <c r="A669" s="41" t="s">
        <v>271</v>
      </c>
      <c r="B669" s="31" t="s">
        <v>272</v>
      </c>
      <c r="C669" s="31" t="s">
        <v>243</v>
      </c>
      <c r="D669" s="516"/>
      <c r="E669" s="40"/>
      <c r="F669" s="945">
        <v>187.78470999999999</v>
      </c>
      <c r="G669" s="942">
        <v>8820285</v>
      </c>
      <c r="H669" s="912">
        <v>132954</v>
      </c>
      <c r="I669" s="13"/>
    </row>
    <row r="670" spans="1:9" x14ac:dyDescent="0.35">
      <c r="A670" s="41" t="s">
        <v>299</v>
      </c>
      <c r="B670" s="31" t="s">
        <v>274</v>
      </c>
      <c r="C670" s="31" t="s">
        <v>273</v>
      </c>
      <c r="D670" s="516"/>
      <c r="E670" s="40"/>
      <c r="F670" s="945">
        <v>1030.4817499999999</v>
      </c>
      <c r="G670" s="942">
        <v>7716441</v>
      </c>
      <c r="H670" s="912">
        <v>99125</v>
      </c>
      <c r="I670" s="13"/>
    </row>
    <row r="671" spans="1:9" x14ac:dyDescent="0.35">
      <c r="A671" s="41" t="s">
        <v>300</v>
      </c>
      <c r="B671" s="31" t="s">
        <v>275</v>
      </c>
      <c r="C671" s="31" t="s">
        <v>273</v>
      </c>
      <c r="D671" s="516"/>
      <c r="E671" s="40"/>
      <c r="F671" s="945">
        <v>1128.9011499999999</v>
      </c>
      <c r="G671" s="942">
        <v>7466401</v>
      </c>
      <c r="H671" s="912">
        <v>99115</v>
      </c>
      <c r="I671" s="13"/>
    </row>
    <row r="672" spans="1:9" x14ac:dyDescent="0.35">
      <c r="A672" s="41" t="s">
        <v>276</v>
      </c>
      <c r="B672" s="31" t="s">
        <v>277</v>
      </c>
      <c r="C672" s="31" t="s">
        <v>273</v>
      </c>
      <c r="D672" s="516"/>
      <c r="E672" s="40"/>
      <c r="F672" s="945">
        <v>1202.0177100000001</v>
      </c>
      <c r="G672" s="942">
        <v>7287731</v>
      </c>
      <c r="H672" s="912">
        <v>99116</v>
      </c>
      <c r="I672" s="13"/>
    </row>
    <row r="673" spans="1:9" x14ac:dyDescent="0.35">
      <c r="A673" s="41" t="s">
        <v>278</v>
      </c>
      <c r="B673" s="636" t="s">
        <v>279</v>
      </c>
      <c r="C673" s="636" t="s">
        <v>241</v>
      </c>
      <c r="D673" s="637"/>
      <c r="E673" s="40"/>
      <c r="F673" s="945">
        <v>84.34657</v>
      </c>
      <c r="G673" s="942">
        <v>7472980</v>
      </c>
      <c r="H673" s="912">
        <v>99126</v>
      </c>
      <c r="I673" s="13"/>
    </row>
    <row r="674" spans="1:9" x14ac:dyDescent="0.35">
      <c r="A674" s="43" t="s">
        <v>280</v>
      </c>
      <c r="B674" s="31" t="s">
        <v>281</v>
      </c>
      <c r="C674" s="31" t="s">
        <v>273</v>
      </c>
      <c r="D674" s="516"/>
      <c r="E674" s="40"/>
      <c r="F674" s="945">
        <v>496.95749999999998</v>
      </c>
      <c r="G674" s="942">
        <v>7922191</v>
      </c>
      <c r="H674" s="912">
        <v>99124</v>
      </c>
      <c r="I674" s="13"/>
    </row>
    <row r="675" spans="1:9" x14ac:dyDescent="0.35">
      <c r="A675" s="43" t="s">
        <v>282</v>
      </c>
      <c r="B675" s="31" t="s">
        <v>283</v>
      </c>
      <c r="C675" s="31" t="s">
        <v>241</v>
      </c>
      <c r="D675" s="516"/>
      <c r="E675" s="40"/>
      <c r="F675" s="945">
        <v>156.04454000000001</v>
      </c>
      <c r="G675" s="942">
        <v>7867370</v>
      </c>
      <c r="H675" s="912">
        <v>99123</v>
      </c>
      <c r="I675" s="13"/>
    </row>
    <row r="676" spans="1:9" x14ac:dyDescent="0.35">
      <c r="A676" s="43" t="s">
        <v>43</v>
      </c>
      <c r="B676" s="31" t="s">
        <v>44</v>
      </c>
      <c r="C676" s="31" t="s">
        <v>243</v>
      </c>
      <c r="D676" s="516"/>
      <c r="E676" s="40"/>
      <c r="F676" s="945">
        <v>3438.92031</v>
      </c>
      <c r="G676" s="942">
        <v>5202593</v>
      </c>
      <c r="H676" s="912">
        <v>159530</v>
      </c>
      <c r="I676" s="13"/>
    </row>
    <row r="677" spans="1:9" x14ac:dyDescent="0.35">
      <c r="A677" s="41" t="s">
        <v>284</v>
      </c>
      <c r="B677" s="31" t="s">
        <v>1030</v>
      </c>
      <c r="C677" s="31" t="s">
        <v>241</v>
      </c>
      <c r="D677" s="516"/>
      <c r="E677" s="40"/>
      <c r="F677" s="945">
        <v>3967.578</v>
      </c>
      <c r="G677" s="911">
        <v>8284875</v>
      </c>
      <c r="H677" s="912">
        <v>130787</v>
      </c>
      <c r="I677" s="13"/>
    </row>
    <row r="678" spans="1:9" x14ac:dyDescent="0.35">
      <c r="A678" s="37" t="s">
        <v>881</v>
      </c>
      <c r="B678" s="31" t="s">
        <v>882</v>
      </c>
      <c r="C678" s="31" t="s">
        <v>883</v>
      </c>
      <c r="D678" s="516"/>
      <c r="E678" s="635"/>
      <c r="F678" s="945">
        <v>4810.0468899999996</v>
      </c>
      <c r="G678" s="911">
        <v>4784397</v>
      </c>
      <c r="H678" s="912">
        <v>265145</v>
      </c>
      <c r="I678" s="13"/>
    </row>
    <row r="679" spans="1:9" x14ac:dyDescent="0.35">
      <c r="A679" s="37" t="s">
        <v>885</v>
      </c>
      <c r="B679" s="31" t="s">
        <v>884</v>
      </c>
      <c r="C679" s="31" t="s">
        <v>883</v>
      </c>
      <c r="D679" s="516"/>
      <c r="E679" s="40"/>
      <c r="F679" s="945">
        <v>1884.95928</v>
      </c>
      <c r="G679" s="911">
        <v>1120793</v>
      </c>
      <c r="H679" s="912">
        <v>265355</v>
      </c>
      <c r="I679" s="13"/>
    </row>
    <row r="680" spans="1:9" x14ac:dyDescent="0.35">
      <c r="A680" s="561" t="s">
        <v>1241</v>
      </c>
      <c r="B680" s="31" t="s">
        <v>886</v>
      </c>
      <c r="C680" s="31" t="s">
        <v>888</v>
      </c>
      <c r="D680" s="516"/>
      <c r="E680" s="40"/>
      <c r="F680" s="945">
        <v>841.70610999999997</v>
      </c>
      <c r="G680" s="911">
        <v>8978398</v>
      </c>
      <c r="H680" s="912">
        <v>123015</v>
      </c>
      <c r="I680" s="13"/>
    </row>
    <row r="681" spans="1:9" x14ac:dyDescent="0.35">
      <c r="A681" s="561" t="s">
        <v>1258</v>
      </c>
      <c r="B681" s="31" t="s">
        <v>886</v>
      </c>
      <c r="C681" s="31" t="s">
        <v>887</v>
      </c>
      <c r="D681" s="516"/>
      <c r="E681" s="40"/>
      <c r="F681" s="945">
        <v>875.38149999999996</v>
      </c>
      <c r="G681" s="943">
        <v>8978392</v>
      </c>
      <c r="H681" s="912">
        <v>123016</v>
      </c>
      <c r="I681" s="13"/>
    </row>
    <row r="682" spans="1:9" x14ac:dyDescent="0.35">
      <c r="A682" s="561" t="s">
        <v>1414</v>
      </c>
      <c r="B682" s="31" t="s">
        <v>1415</v>
      </c>
      <c r="C682" s="794" t="s">
        <v>920</v>
      </c>
      <c r="D682" s="516"/>
      <c r="E682" s="40"/>
      <c r="F682" s="945">
        <v>16.96725</v>
      </c>
      <c r="G682" s="923">
        <v>1157179</v>
      </c>
      <c r="H682" s="912">
        <v>265356</v>
      </c>
      <c r="I682" s="13"/>
    </row>
    <row r="683" spans="1:9" x14ac:dyDescent="0.35">
      <c r="A683" s="638" t="s">
        <v>1242</v>
      </c>
      <c r="B683" s="639" t="s">
        <v>921</v>
      </c>
      <c r="C683" s="639" t="s">
        <v>920</v>
      </c>
      <c r="D683" s="640" t="s">
        <v>756</v>
      </c>
      <c r="E683" s="641"/>
      <c r="F683" s="945">
        <v>249.88544999999999</v>
      </c>
      <c r="G683" s="944">
        <v>4340633</v>
      </c>
      <c r="H683" s="912">
        <v>304165</v>
      </c>
      <c r="I683" s="13"/>
    </row>
    <row r="684" spans="1:9" x14ac:dyDescent="0.35">
      <c r="A684" s="33"/>
      <c r="B684" s="34"/>
      <c r="C684" s="34"/>
      <c r="D684" s="517"/>
      <c r="E684" s="40"/>
      <c r="F684" s="945"/>
      <c r="G684" s="914"/>
      <c r="H684" s="913"/>
      <c r="I684" s="13"/>
    </row>
    <row r="685" spans="1:9" x14ac:dyDescent="0.35">
      <c r="A685" s="37"/>
      <c r="B685" s="31"/>
      <c r="C685" s="31"/>
      <c r="D685" s="516"/>
      <c r="E685" s="42"/>
      <c r="F685" s="945"/>
      <c r="G685" s="914"/>
      <c r="H685" s="913"/>
      <c r="I685" s="13"/>
    </row>
    <row r="686" spans="1:9" x14ac:dyDescent="0.35">
      <c r="A686" s="46"/>
      <c r="B686" s="31"/>
      <c r="C686" s="31"/>
      <c r="D686" s="516"/>
      <c r="E686" s="42"/>
      <c r="F686" s="945"/>
      <c r="G686" s="914"/>
      <c r="H686" s="913"/>
      <c r="I686" s="13"/>
    </row>
    <row r="687" spans="1:9" x14ac:dyDescent="0.35">
      <c r="A687" s="38" t="s">
        <v>82</v>
      </c>
      <c r="B687" s="31"/>
      <c r="C687" s="31"/>
      <c r="D687" s="516"/>
      <c r="E687" s="42"/>
      <c r="F687" s="945"/>
      <c r="G687" s="914"/>
      <c r="H687" s="913"/>
      <c r="I687" s="13"/>
    </row>
    <row r="688" spans="1:9" x14ac:dyDescent="0.35">
      <c r="A688" s="37"/>
      <c r="B688" s="31"/>
      <c r="C688" s="31"/>
      <c r="D688" s="516"/>
      <c r="E688" s="42"/>
      <c r="F688" s="945"/>
      <c r="G688" s="921"/>
      <c r="H688" s="913"/>
      <c r="I688" s="13"/>
    </row>
    <row r="689" spans="1:9" x14ac:dyDescent="0.35">
      <c r="A689" s="37"/>
      <c r="B689" s="31"/>
      <c r="C689" s="31"/>
      <c r="D689" s="516"/>
      <c r="E689" s="42"/>
      <c r="F689" s="945"/>
      <c r="G689" s="921"/>
      <c r="H689" s="913"/>
      <c r="I689" s="13"/>
    </row>
    <row r="690" spans="1:9" x14ac:dyDescent="0.35">
      <c r="A690" s="37"/>
      <c r="B690" s="31"/>
      <c r="C690" s="31"/>
      <c r="D690" s="516"/>
      <c r="E690" s="42"/>
      <c r="F690" s="945"/>
      <c r="G690" s="914"/>
      <c r="H690" s="913"/>
      <c r="I690" s="13"/>
    </row>
    <row r="691" spans="1:9" x14ac:dyDescent="0.35">
      <c r="A691" s="37"/>
      <c r="B691" s="31"/>
      <c r="C691" s="31"/>
      <c r="D691" s="516"/>
      <c r="E691" s="42"/>
      <c r="F691" s="945"/>
      <c r="G691" s="914"/>
      <c r="H691" s="913"/>
      <c r="I691" s="13"/>
    </row>
    <row r="692" spans="1:9" x14ac:dyDescent="0.35">
      <c r="A692" s="37"/>
      <c r="B692" s="31"/>
      <c r="C692" s="31"/>
      <c r="D692" s="516"/>
      <c r="E692" s="42"/>
      <c r="F692" s="945"/>
      <c r="G692" s="914"/>
      <c r="H692" s="913"/>
      <c r="I692" s="13"/>
    </row>
    <row r="693" spans="1:9" x14ac:dyDescent="0.35">
      <c r="A693" s="37"/>
      <c r="B693" s="31"/>
      <c r="C693" s="31"/>
      <c r="D693" s="516"/>
      <c r="E693" s="42"/>
      <c r="F693" s="945"/>
      <c r="G693" s="914"/>
      <c r="H693" s="913"/>
      <c r="I693" s="13"/>
    </row>
    <row r="694" spans="1:9" x14ac:dyDescent="0.35">
      <c r="A694" s="37"/>
      <c r="B694" s="31"/>
      <c r="C694" s="31"/>
      <c r="D694" s="516"/>
      <c r="E694" s="42"/>
      <c r="F694" s="945"/>
      <c r="G694" s="914"/>
      <c r="H694" s="913"/>
      <c r="I694" s="13"/>
    </row>
    <row r="695" spans="1:9" x14ac:dyDescent="0.35">
      <c r="A695" s="37"/>
      <c r="B695" s="31"/>
      <c r="C695" s="31"/>
      <c r="D695" s="516"/>
      <c r="E695" s="42"/>
      <c r="F695" s="945"/>
      <c r="G695" s="914"/>
      <c r="H695" s="913"/>
      <c r="I695" s="13"/>
    </row>
    <row r="696" spans="1:9" x14ac:dyDescent="0.35">
      <c r="A696" s="37"/>
      <c r="B696" s="31"/>
      <c r="C696" s="31"/>
      <c r="D696" s="516"/>
      <c r="E696" s="42"/>
      <c r="F696" s="945"/>
      <c r="G696" s="914"/>
      <c r="H696" s="913"/>
      <c r="I696" s="13"/>
    </row>
    <row r="697" spans="1:9" x14ac:dyDescent="0.35">
      <c r="A697" s="37"/>
      <c r="B697" s="31"/>
      <c r="C697" s="31"/>
      <c r="D697" s="516"/>
      <c r="E697" s="42"/>
      <c r="F697" s="945"/>
      <c r="G697" s="914"/>
      <c r="H697" s="913"/>
      <c r="I697" s="13"/>
    </row>
    <row r="698" spans="1:9" x14ac:dyDescent="0.35">
      <c r="A698" s="43"/>
      <c r="B698" s="31"/>
      <c r="C698" s="31"/>
      <c r="D698" s="516"/>
      <c r="E698" s="42"/>
      <c r="F698" s="945"/>
      <c r="G698" s="914"/>
      <c r="H698" s="913"/>
      <c r="I698" s="13"/>
    </row>
    <row r="699" spans="1:9" x14ac:dyDescent="0.35">
      <c r="A699" s="43"/>
      <c r="B699" s="31"/>
      <c r="C699" s="31"/>
      <c r="D699" s="516"/>
      <c r="E699" s="42"/>
      <c r="F699" s="945"/>
      <c r="G699" s="914"/>
      <c r="H699" s="913"/>
      <c r="I699" s="13"/>
    </row>
    <row r="700" spans="1:9" x14ac:dyDescent="0.35">
      <c r="A700" s="43"/>
      <c r="B700" s="31"/>
      <c r="C700" s="31"/>
      <c r="D700" s="516"/>
      <c r="E700" s="42"/>
      <c r="F700" s="945"/>
      <c r="G700" s="914"/>
      <c r="H700" s="913"/>
      <c r="I700" s="13"/>
    </row>
    <row r="701" spans="1:9" x14ac:dyDescent="0.35">
      <c r="A701" s="47"/>
      <c r="B701" s="31"/>
      <c r="C701" s="31"/>
      <c r="D701" s="516"/>
      <c r="E701" s="42"/>
      <c r="F701" s="945"/>
      <c r="G701" s="914"/>
      <c r="H701" s="913"/>
      <c r="I701" s="13"/>
    </row>
    <row r="702" spans="1:9" x14ac:dyDescent="0.35">
      <c r="A702" s="48"/>
      <c r="B702" s="31"/>
      <c r="C702" s="31"/>
      <c r="D702" s="516"/>
      <c r="E702" s="42"/>
      <c r="F702" s="945"/>
      <c r="G702" s="914"/>
      <c r="H702" s="913"/>
      <c r="I702" s="13"/>
    </row>
    <row r="703" spans="1:9" x14ac:dyDescent="0.35">
      <c r="A703" s="38" t="s">
        <v>83</v>
      </c>
      <c r="B703" s="31"/>
      <c r="C703" s="31"/>
      <c r="D703" s="516"/>
      <c r="E703" s="42"/>
      <c r="F703" s="945"/>
      <c r="G703" s="914"/>
      <c r="H703" s="913"/>
      <c r="I703" s="13"/>
    </row>
    <row r="704" spans="1:9" x14ac:dyDescent="0.35">
      <c r="A704" s="37" t="s">
        <v>1381</v>
      </c>
      <c r="B704" s="31" t="s">
        <v>1384</v>
      </c>
      <c r="C704" s="31" t="s">
        <v>242</v>
      </c>
      <c r="D704" s="516"/>
      <c r="E704" s="42"/>
      <c r="F704" s="945">
        <v>165.76643000000001</v>
      </c>
      <c r="G704" s="941">
        <v>1181769</v>
      </c>
      <c r="H704" s="912">
        <v>347923</v>
      </c>
      <c r="I704" s="13"/>
    </row>
    <row r="705" spans="1:10" x14ac:dyDescent="0.35">
      <c r="A705" s="37" t="s">
        <v>1382</v>
      </c>
      <c r="B705" s="31" t="s">
        <v>1385</v>
      </c>
      <c r="C705" s="31" t="s">
        <v>242</v>
      </c>
      <c r="D705" s="516"/>
      <c r="E705" s="42"/>
      <c r="F705" s="945">
        <v>0</v>
      </c>
      <c r="G705" s="941">
        <v>4606320</v>
      </c>
      <c r="H705" s="912" t="s">
        <v>1429</v>
      </c>
      <c r="I705" s="13"/>
    </row>
    <row r="706" spans="1:10" x14ac:dyDescent="0.35">
      <c r="A706" s="37" t="s">
        <v>1426</v>
      </c>
      <c r="B706" s="31" t="s">
        <v>1386</v>
      </c>
      <c r="C706" s="31" t="s">
        <v>242</v>
      </c>
      <c r="D706" s="516"/>
      <c r="E706" s="42"/>
      <c r="F706" s="945">
        <v>125.78175</v>
      </c>
      <c r="G706" s="941">
        <v>7523966</v>
      </c>
      <c r="H706" s="912">
        <v>347929</v>
      </c>
      <c r="I706" s="13"/>
    </row>
    <row r="707" spans="1:10" x14ac:dyDescent="0.35">
      <c r="A707" s="37" t="s">
        <v>1383</v>
      </c>
      <c r="B707" s="31" t="s">
        <v>1387</v>
      </c>
      <c r="C707" s="31" t="s">
        <v>242</v>
      </c>
      <c r="D707" s="516"/>
      <c r="E707" s="42"/>
      <c r="F707" s="945">
        <v>165.76643000000001</v>
      </c>
      <c r="G707" s="941">
        <v>7422203</v>
      </c>
      <c r="H707" s="912">
        <v>347947</v>
      </c>
      <c r="I707" s="13"/>
    </row>
    <row r="708" spans="1:10" s="762" customFormat="1" x14ac:dyDescent="0.35">
      <c r="A708" s="37" t="s">
        <v>1388</v>
      </c>
      <c r="B708" s="794" t="s">
        <v>1389</v>
      </c>
      <c r="C708" s="31" t="s">
        <v>242</v>
      </c>
      <c r="D708" s="516"/>
      <c r="E708" s="42"/>
      <c r="F708" s="945">
        <v>330.55977000000001</v>
      </c>
      <c r="G708" s="941">
        <v>7021363</v>
      </c>
      <c r="H708" s="912">
        <v>347988</v>
      </c>
      <c r="I708" s="13"/>
      <c r="J708" s="642"/>
    </row>
    <row r="709" spans="1:10" s="762" customFormat="1" x14ac:dyDescent="0.35">
      <c r="A709" s="37" t="s">
        <v>1427</v>
      </c>
      <c r="B709" s="794" t="s">
        <v>1390</v>
      </c>
      <c r="C709" s="31" t="s">
        <v>242</v>
      </c>
      <c r="D709" s="516"/>
      <c r="E709" s="42"/>
      <c r="F709" s="945">
        <v>283.51188000000002</v>
      </c>
      <c r="G709" s="941">
        <v>1524002</v>
      </c>
      <c r="H709" s="912">
        <v>347989</v>
      </c>
      <c r="I709" s="13"/>
      <c r="J709" s="642"/>
    </row>
    <row r="710" spans="1:10" x14ac:dyDescent="0.35">
      <c r="A710" s="460"/>
      <c r="B710" s="34"/>
      <c r="C710" s="34"/>
      <c r="D710" s="517"/>
      <c r="E710" s="461"/>
      <c r="F710" s="945"/>
      <c r="G710" s="924"/>
      <c r="H710" s="913"/>
      <c r="I710" s="13"/>
    </row>
    <row r="711" spans="1:10" x14ac:dyDescent="0.35">
      <c r="A711" s="37" t="s">
        <v>64</v>
      </c>
      <c r="B711" s="31" t="s">
        <v>291</v>
      </c>
      <c r="C711" s="31" t="s">
        <v>242</v>
      </c>
      <c r="D711" s="516"/>
      <c r="E711" s="42"/>
      <c r="F711" s="945">
        <v>5.3514999999999997</v>
      </c>
      <c r="G711" s="911">
        <v>1925383</v>
      </c>
      <c r="H711" s="912">
        <v>296379</v>
      </c>
      <c r="I711" s="13"/>
    </row>
    <row r="712" spans="1:10" x14ac:dyDescent="0.35">
      <c r="A712" s="37" t="s">
        <v>65</v>
      </c>
      <c r="B712" s="49" t="s">
        <v>72</v>
      </c>
      <c r="C712" s="31" t="s">
        <v>242</v>
      </c>
      <c r="D712" s="516"/>
      <c r="E712" s="42"/>
      <c r="F712" s="945">
        <v>8.2889099999999996</v>
      </c>
      <c r="G712" s="911">
        <v>1863003</v>
      </c>
      <c r="H712" s="912">
        <v>12302</v>
      </c>
      <c r="I712" s="13"/>
    </row>
    <row r="713" spans="1:10" x14ac:dyDescent="0.35">
      <c r="A713" s="37" t="s">
        <v>66</v>
      </c>
      <c r="B713" s="31" t="s">
        <v>292</v>
      </c>
      <c r="C713" s="31" t="s">
        <v>242</v>
      </c>
      <c r="D713" s="516"/>
      <c r="E713" s="42"/>
      <c r="F713" s="945">
        <v>13.941179999999999</v>
      </c>
      <c r="G713" s="911">
        <v>2364043</v>
      </c>
      <c r="H713" s="912">
        <v>12340</v>
      </c>
      <c r="I713" s="13"/>
    </row>
    <row r="714" spans="1:10" x14ac:dyDescent="0.35">
      <c r="A714" s="37" t="s">
        <v>67</v>
      </c>
      <c r="B714" s="31" t="s">
        <v>293</v>
      </c>
      <c r="C714" s="31" t="s">
        <v>242</v>
      </c>
      <c r="D714" s="516"/>
      <c r="E714" s="42"/>
      <c r="F714" s="945">
        <v>17.038019999999999</v>
      </c>
      <c r="G714" s="911">
        <v>2364983</v>
      </c>
      <c r="H714" s="912">
        <v>12312</v>
      </c>
      <c r="I714" s="13"/>
    </row>
    <row r="715" spans="1:10" x14ac:dyDescent="0.35">
      <c r="A715" s="37" t="s">
        <v>68</v>
      </c>
      <c r="B715" s="31" t="s">
        <v>294</v>
      </c>
      <c r="C715" s="31" t="s">
        <v>242</v>
      </c>
      <c r="D715" s="516"/>
      <c r="E715" s="42"/>
      <c r="F715" s="945">
        <v>20.467960000000001</v>
      </c>
      <c r="G715" s="911">
        <v>8002803</v>
      </c>
      <c r="H715" s="912">
        <v>12323</v>
      </c>
      <c r="I715" s="13"/>
    </row>
    <row r="716" spans="1:10" x14ac:dyDescent="0.35">
      <c r="A716" s="37" t="s">
        <v>69</v>
      </c>
      <c r="B716" s="31" t="s">
        <v>295</v>
      </c>
      <c r="C716" s="31" t="s">
        <v>242</v>
      </c>
      <c r="D716" s="516"/>
      <c r="E716" s="42"/>
      <c r="F716" s="945">
        <v>23.60594</v>
      </c>
      <c r="G716" s="911">
        <v>8003033</v>
      </c>
      <c r="H716" s="912">
        <v>12326</v>
      </c>
      <c r="I716" s="13"/>
    </row>
    <row r="717" spans="1:10" x14ac:dyDescent="0.35">
      <c r="A717" s="37" t="s">
        <v>680</v>
      </c>
      <c r="B717" s="31" t="s">
        <v>71</v>
      </c>
      <c r="C717" s="31" t="s">
        <v>242</v>
      </c>
      <c r="D717" s="516"/>
      <c r="E717" s="42"/>
      <c r="F717" s="945">
        <v>13.26984</v>
      </c>
      <c r="G717" s="911">
        <v>1037431</v>
      </c>
      <c r="H717" s="912">
        <v>203387</v>
      </c>
      <c r="I717" s="13"/>
    </row>
    <row r="718" spans="1:10" x14ac:dyDescent="0.35">
      <c r="A718" s="37" t="s">
        <v>681</v>
      </c>
      <c r="B718" s="31" t="s">
        <v>73</v>
      </c>
      <c r="C718" s="31" t="s">
        <v>242</v>
      </c>
      <c r="D718" s="516"/>
      <c r="E718" s="42"/>
      <c r="F718" s="945">
        <v>15.00775</v>
      </c>
      <c r="G718" s="911">
        <v>3120329</v>
      </c>
      <c r="H718" s="912">
        <v>211476</v>
      </c>
      <c r="I718" s="13"/>
    </row>
    <row r="719" spans="1:10" x14ac:dyDescent="0.35">
      <c r="A719" s="37" t="s">
        <v>913</v>
      </c>
      <c r="B719" s="31" t="s">
        <v>296</v>
      </c>
      <c r="C719" s="31" t="s">
        <v>242</v>
      </c>
      <c r="D719" s="516"/>
      <c r="E719" s="42"/>
      <c r="F719" s="945">
        <v>44.194180000000003</v>
      </c>
      <c r="G719" s="911">
        <v>8975943</v>
      </c>
      <c r="H719" s="912">
        <v>12223</v>
      </c>
      <c r="I719" s="13"/>
    </row>
    <row r="720" spans="1:10" x14ac:dyDescent="0.35">
      <c r="A720" s="43" t="s">
        <v>70</v>
      </c>
      <c r="B720" s="31" t="s">
        <v>297</v>
      </c>
      <c r="C720" s="31" t="s">
        <v>242</v>
      </c>
      <c r="D720" s="516"/>
      <c r="E720" s="42"/>
      <c r="F720" s="945">
        <v>79.750699999999995</v>
      </c>
      <c r="G720" s="911">
        <v>6823663</v>
      </c>
      <c r="H720" s="912">
        <v>12392</v>
      </c>
      <c r="I720" s="13"/>
    </row>
    <row r="721" spans="1:9" x14ac:dyDescent="0.35">
      <c r="A721" s="43" t="s">
        <v>1243</v>
      </c>
      <c r="B721" s="31" t="s">
        <v>857</v>
      </c>
      <c r="C721" s="31" t="s">
        <v>860</v>
      </c>
      <c r="D721" s="516"/>
      <c r="E721" s="42"/>
      <c r="F721" s="945">
        <v>129.02763999999999</v>
      </c>
      <c r="G721" s="911">
        <v>6484096</v>
      </c>
      <c r="H721" s="912">
        <v>250833</v>
      </c>
      <c r="I721" s="13"/>
    </row>
    <row r="722" spans="1:9" x14ac:dyDescent="0.35">
      <c r="A722" s="43" t="s">
        <v>1259</v>
      </c>
      <c r="B722" s="31" t="s">
        <v>857</v>
      </c>
      <c r="C722" s="31" t="s">
        <v>858</v>
      </c>
      <c r="D722" s="516"/>
      <c r="E722" s="42"/>
      <c r="F722" s="945">
        <v>129.02763999999999</v>
      </c>
      <c r="G722" s="911">
        <v>6856758</v>
      </c>
      <c r="H722" s="912">
        <v>250831</v>
      </c>
      <c r="I722" s="13"/>
    </row>
    <row r="723" spans="1:9" x14ac:dyDescent="0.35">
      <c r="A723" s="278" t="s">
        <v>1261</v>
      </c>
      <c r="B723" s="267" t="s">
        <v>857</v>
      </c>
      <c r="C723" s="267" t="s">
        <v>859</v>
      </c>
      <c r="D723" s="514"/>
      <c r="E723" s="279"/>
      <c r="F723" s="945">
        <v>130.28645</v>
      </c>
      <c r="G723" s="911">
        <v>2019241</v>
      </c>
      <c r="H723" s="912">
        <v>250834</v>
      </c>
      <c r="I723" s="13"/>
    </row>
    <row r="724" spans="1:9" x14ac:dyDescent="0.35">
      <c r="A724" s="43" t="s">
        <v>1244</v>
      </c>
      <c r="B724" s="31" t="s">
        <v>861</v>
      </c>
      <c r="C724" s="31" t="s">
        <v>860</v>
      </c>
      <c r="D724" s="516"/>
      <c r="E724" s="42"/>
      <c r="F724" s="945">
        <v>25.413550000000001</v>
      </c>
      <c r="G724" s="911">
        <v>8849808</v>
      </c>
      <c r="H724" s="912">
        <v>250842</v>
      </c>
      <c r="I724" s="13"/>
    </row>
    <row r="725" spans="1:9" x14ac:dyDescent="0.35">
      <c r="A725" s="43" t="s">
        <v>1260</v>
      </c>
      <c r="B725" s="31" t="s">
        <v>861</v>
      </c>
      <c r="C725" s="31" t="s">
        <v>858</v>
      </c>
      <c r="D725" s="516"/>
      <c r="E725" s="42"/>
      <c r="F725" s="945">
        <v>25.413550000000001</v>
      </c>
      <c r="G725" s="911">
        <v>4619688</v>
      </c>
      <c r="H725" s="912">
        <v>250841</v>
      </c>
      <c r="I725" s="13"/>
    </row>
    <row r="726" spans="1:9" x14ac:dyDescent="0.35">
      <c r="A726" s="278" t="s">
        <v>1262</v>
      </c>
      <c r="B726" s="267" t="s">
        <v>861</v>
      </c>
      <c r="C726" s="267" t="s">
        <v>859</v>
      </c>
      <c r="D726" s="514"/>
      <c r="E726" s="279"/>
      <c r="F726" s="945">
        <v>25.661490000000001</v>
      </c>
      <c r="G726" s="911">
        <v>5730134</v>
      </c>
      <c r="H726" s="912">
        <v>250843</v>
      </c>
      <c r="I726" s="13"/>
    </row>
    <row r="727" spans="1:9" x14ac:dyDescent="0.35">
      <c r="A727" s="43" t="s">
        <v>1245</v>
      </c>
      <c r="B727" s="31" t="s">
        <v>862</v>
      </c>
      <c r="C727" s="31" t="s">
        <v>860</v>
      </c>
      <c r="D727" s="516"/>
      <c r="E727" s="42"/>
      <c r="F727" s="945">
        <v>19.052040000000002</v>
      </c>
      <c r="G727" s="911">
        <v>2583646</v>
      </c>
      <c r="H727" s="912">
        <v>250844</v>
      </c>
      <c r="I727" s="13"/>
    </row>
    <row r="728" spans="1:9" x14ac:dyDescent="0.35">
      <c r="A728" s="43"/>
      <c r="B728" s="31"/>
      <c r="C728" s="31"/>
      <c r="D728" s="516"/>
      <c r="E728" s="42"/>
      <c r="F728" s="645"/>
      <c r="G728" s="245"/>
      <c r="H728" s="245"/>
      <c r="I728" s="13"/>
    </row>
    <row r="729" spans="1:9" x14ac:dyDescent="0.35">
      <c r="A729" s="43"/>
      <c r="B729" s="31"/>
      <c r="C729" s="31"/>
      <c r="D729" s="516"/>
      <c r="E729" s="42"/>
      <c r="F729" s="647"/>
      <c r="G729" s="29"/>
      <c r="H729" s="245"/>
      <c r="I729" s="13"/>
    </row>
    <row r="730" spans="1:9" x14ac:dyDescent="0.35">
      <c r="A730" s="37"/>
      <c r="B730" s="31"/>
      <c r="C730" s="31"/>
      <c r="D730" s="516"/>
      <c r="E730" s="42"/>
      <c r="F730" s="647"/>
      <c r="G730" s="29"/>
      <c r="H730" s="245"/>
      <c r="I730" s="13"/>
    </row>
    <row r="731" spans="1:9" x14ac:dyDescent="0.35">
      <c r="A731" s="37"/>
      <c r="B731" s="31"/>
      <c r="C731" s="31"/>
      <c r="D731" s="516"/>
      <c r="E731" s="42"/>
      <c r="F731" s="647"/>
      <c r="G731" s="29"/>
      <c r="H731" s="245"/>
      <c r="I731" s="13"/>
    </row>
    <row r="732" spans="1:9" x14ac:dyDescent="0.35">
      <c r="A732" s="33"/>
      <c r="B732" s="34"/>
      <c r="C732" s="34"/>
      <c r="D732" s="517"/>
      <c r="E732" s="32"/>
      <c r="F732" s="646"/>
      <c r="G732" s="35"/>
      <c r="H732" s="246"/>
      <c r="I732" s="13"/>
    </row>
    <row r="733" spans="1:9" x14ac:dyDescent="0.35">
      <c r="A733" s="37"/>
      <c r="B733" s="31"/>
      <c r="C733" s="31"/>
      <c r="D733" s="516"/>
      <c r="E733" s="42"/>
      <c r="F733" s="647"/>
      <c r="G733" s="29"/>
      <c r="H733" s="245"/>
      <c r="I733" s="13"/>
    </row>
    <row r="734" spans="1:9" x14ac:dyDescent="0.35">
      <c r="A734" s="37"/>
      <c r="B734" s="31"/>
      <c r="C734" s="31"/>
      <c r="D734" s="516"/>
      <c r="E734" s="42"/>
      <c r="F734" s="647"/>
      <c r="G734" s="29"/>
      <c r="H734" s="245"/>
      <c r="I734" s="13"/>
    </row>
    <row r="735" spans="1:9" x14ac:dyDescent="0.35">
      <c r="A735" s="33"/>
      <c r="B735" s="34"/>
      <c r="C735" s="34"/>
      <c r="D735" s="517"/>
      <c r="E735" s="32"/>
      <c r="F735" s="646"/>
      <c r="G735" s="35"/>
      <c r="H735" s="246"/>
      <c r="I735" s="13"/>
    </row>
    <row r="736" spans="1:9" x14ac:dyDescent="0.35">
      <c r="A736" s="43"/>
      <c r="B736" s="31"/>
      <c r="C736" s="31"/>
      <c r="D736" s="516"/>
      <c r="E736" s="42"/>
      <c r="F736" s="647"/>
      <c r="G736" s="29"/>
      <c r="H736" s="245"/>
      <c r="I736" s="13"/>
    </row>
    <row r="737" spans="1:9" x14ac:dyDescent="0.35">
      <c r="A737" s="43"/>
      <c r="B737" s="31"/>
      <c r="C737" s="31"/>
      <c r="D737" s="516"/>
      <c r="E737" s="42"/>
      <c r="F737" s="647"/>
      <c r="G737" s="29"/>
      <c r="H737" s="245"/>
      <c r="I737" s="13"/>
    </row>
    <row r="738" spans="1:9" x14ac:dyDescent="0.35">
      <c r="A738" s="43"/>
      <c r="B738" s="31"/>
      <c r="C738" s="31"/>
      <c r="D738" s="516"/>
      <c r="E738" s="42"/>
      <c r="F738" s="647"/>
      <c r="G738" s="29"/>
      <c r="H738" s="245"/>
      <c r="I738" s="13"/>
    </row>
    <row r="739" spans="1:9" x14ac:dyDescent="0.35">
      <c r="A739" s="43"/>
      <c r="B739" s="31"/>
      <c r="C739" s="31"/>
      <c r="D739" s="516"/>
      <c r="E739" s="42"/>
      <c r="F739" s="647"/>
      <c r="G739" s="29"/>
      <c r="H739" s="245"/>
      <c r="I739" s="13"/>
    </row>
    <row r="740" spans="1:9" x14ac:dyDescent="0.35">
      <c r="A740" s="43"/>
      <c r="B740" s="31"/>
      <c r="C740" s="31"/>
      <c r="D740" s="516"/>
      <c r="E740" s="42"/>
      <c r="F740" s="647"/>
      <c r="G740" s="29"/>
      <c r="H740" s="245"/>
      <c r="I740" s="13"/>
    </row>
    <row r="741" spans="1:9" x14ac:dyDescent="0.35">
      <c r="A741" s="43"/>
      <c r="B741" s="31"/>
      <c r="C741" s="31"/>
      <c r="D741" s="516"/>
      <c r="E741" s="42"/>
      <c r="F741" s="647"/>
      <c r="G741" s="29"/>
      <c r="H741" s="245"/>
      <c r="I741" s="13"/>
    </row>
    <row r="742" spans="1:9" x14ac:dyDescent="0.35">
      <c r="A742" s="43" t="str">
        <f>List!$B$264</f>
        <v>Zde můžete vložit vlastní položky (následujících 10 řádků, zobrazí se v objednávce)</v>
      </c>
      <c r="B742" s="31"/>
      <c r="C742" s="31"/>
      <c r="D742" s="516"/>
      <c r="E742" s="42"/>
      <c r="F742" s="647"/>
      <c r="G742" s="36"/>
      <c r="H742" s="245"/>
      <c r="I742" s="13"/>
    </row>
    <row r="743" spans="1:9" x14ac:dyDescent="0.35">
      <c r="A743" s="43"/>
      <c r="B743" s="31"/>
      <c r="C743" s="31"/>
      <c r="D743" s="516"/>
      <c r="E743" s="42"/>
      <c r="F743" s="645"/>
      <c r="G743" s="29"/>
      <c r="H743" s="245"/>
      <c r="I743" s="13"/>
    </row>
    <row r="744" spans="1:9" x14ac:dyDescent="0.35">
      <c r="A744" s="43"/>
      <c r="B744" s="31"/>
      <c r="C744" s="31"/>
      <c r="D744" s="516"/>
      <c r="E744" s="42"/>
      <c r="F744" s="645"/>
      <c r="G744" s="29"/>
      <c r="H744" s="245"/>
      <c r="I744" s="13"/>
    </row>
    <row r="745" spans="1:9" x14ac:dyDescent="0.35">
      <c r="A745" s="43"/>
      <c r="B745" s="31"/>
      <c r="C745" s="31"/>
      <c r="D745" s="516"/>
      <c r="E745" s="42"/>
      <c r="F745" s="645"/>
      <c r="G745" s="29"/>
      <c r="H745" s="245"/>
      <c r="I745" s="13"/>
    </row>
    <row r="746" spans="1:9" x14ac:dyDescent="0.35">
      <c r="A746" s="43"/>
      <c r="B746" s="31"/>
      <c r="C746" s="31"/>
      <c r="D746" s="516"/>
      <c r="E746" s="42"/>
      <c r="F746" s="645"/>
      <c r="G746" s="29"/>
      <c r="H746" s="245"/>
      <c r="I746" s="13"/>
    </row>
    <row r="747" spans="1:9" x14ac:dyDescent="0.35">
      <c r="A747" s="43"/>
      <c r="B747" s="31"/>
      <c r="C747" s="31"/>
      <c r="D747" s="516"/>
      <c r="E747" s="42"/>
      <c r="F747" s="645"/>
      <c r="G747" s="29"/>
      <c r="H747" s="245"/>
      <c r="I747" s="13"/>
    </row>
    <row r="748" spans="1:9" x14ac:dyDescent="0.35">
      <c r="A748" s="43"/>
      <c r="B748" s="31"/>
      <c r="C748" s="31"/>
      <c r="D748" s="516"/>
      <c r="E748" s="42"/>
      <c r="F748" s="645"/>
      <c r="G748" s="29"/>
      <c r="H748" s="245"/>
      <c r="I748" s="13"/>
    </row>
    <row r="749" spans="1:9" x14ac:dyDescent="0.35">
      <c r="A749" s="43"/>
      <c r="B749" s="31"/>
      <c r="C749" s="31"/>
      <c r="D749" s="516"/>
      <c r="E749" s="42"/>
      <c r="F749" s="645"/>
      <c r="G749" s="29"/>
      <c r="H749" s="245"/>
      <c r="I749" s="13"/>
    </row>
    <row r="750" spans="1:9" x14ac:dyDescent="0.35">
      <c r="A750" s="43"/>
      <c r="B750" s="31"/>
      <c r="C750" s="31"/>
      <c r="D750" s="516"/>
      <c r="E750" s="42"/>
      <c r="F750" s="645"/>
      <c r="G750" s="29"/>
      <c r="H750" s="245"/>
      <c r="I750" s="13"/>
    </row>
    <row r="751" spans="1:9" x14ac:dyDescent="0.35">
      <c r="A751" s="43"/>
      <c r="B751" s="31"/>
      <c r="C751" s="31"/>
      <c r="D751" s="516"/>
      <c r="E751" s="42"/>
      <c r="F751" s="645"/>
      <c r="G751" s="29"/>
      <c r="H751" s="245"/>
      <c r="I751" s="13"/>
    </row>
    <row r="752" spans="1:9" x14ac:dyDescent="0.35">
      <c r="A752" s="43"/>
      <c r="B752" s="31"/>
      <c r="C752" s="31"/>
      <c r="D752" s="516"/>
      <c r="E752" s="42"/>
      <c r="F752" s="645"/>
      <c r="G752" s="50"/>
      <c r="H752" s="247"/>
      <c r="I752" s="13"/>
    </row>
  </sheetData>
  <phoneticPr fontId="52" type="noConversion"/>
  <hyperlinks>
    <hyperlink ref="H2" location="Form!A1" tooltip=" " display="Zpět na úvod" xr:uid="{00000000-0004-0000-2D00-000000000000}"/>
    <hyperlink ref="A7" r:id="rId1" xr:uid="{9405E450-F30B-450E-A82E-56FCF217FFCD}"/>
  </hyperlinks>
  <pageMargins left="0.23622047244094491" right="0.23622047244094491" top="0.74803149606299213" bottom="0.74803149606299213" header="0.31496062992125984" footer="0.31496062992125984"/>
  <pageSetup paperSize="9" orientation="portrait" verticalDpi="599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tabColor indexed="22"/>
  </sheetPr>
  <dimension ref="A1:Y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0" style="2" hidden="1" customWidth="1"/>
    <col min="16" max="16" width="41" style="2" hidden="1" customWidth="1"/>
    <col min="17" max="17" width="11.54296875" style="2" hidden="1" customWidth="1"/>
    <col min="18" max="20" width="9.1796875" style="2" hidden="1" customWidth="1"/>
    <col min="21" max="21" width="10.81640625" style="2" hidden="1" customWidth="1"/>
    <col min="22" max="22" width="9.1796875" style="2" hidden="1" customWidth="1"/>
    <col min="23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806" t="s">
        <v>1417</v>
      </c>
    </row>
    <row r="2" spans="1:25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List!$B$51&amp;" M"</f>
        <v>Vnitřní zásuvka M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Cen!$A31</f>
        <v>Bočnice M 270mm, Orion šedá</v>
      </c>
      <c r="Q3" s="125" t="str">
        <f>Cen!$B31</f>
        <v>770M2702S</v>
      </c>
      <c r="R3" s="125" t="str">
        <f>Cen!$C31</f>
        <v>OG-M</v>
      </c>
      <c r="S3" s="257">
        <f>SUM(D20,D25,D30)</f>
        <v>0</v>
      </c>
      <c r="T3" s="261">
        <f>Cen!$F31</f>
        <v>588.26232000000005</v>
      </c>
      <c r="U3" s="258">
        <f t="shared" ref="U3:U8" si="0">S3*T3</f>
        <v>0</v>
      </c>
      <c r="W3" s="798">
        <f>Form!$R$14</f>
        <v>1</v>
      </c>
      <c r="Y3" s="796"/>
    </row>
    <row r="4" spans="1:25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171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Cen!$A36</f>
        <v>Bočnice M 300mm, Orion šedá</v>
      </c>
      <c r="Q4" s="125" t="str">
        <f>Cen!$B36</f>
        <v>770M3002S</v>
      </c>
      <c r="R4" s="125" t="str">
        <f>Cen!$C36</f>
        <v>OG-M</v>
      </c>
      <c r="S4" s="257">
        <f>SUM(E20,E25,E30)</f>
        <v>0</v>
      </c>
      <c r="T4" s="261">
        <f>Cen!$F36</f>
        <v>588.26232000000005</v>
      </c>
      <c r="U4" s="258">
        <f t="shared" si="0"/>
        <v>0</v>
      </c>
      <c r="W4" s="2" t="s">
        <v>1399</v>
      </c>
    </row>
    <row r="5" spans="1:25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Cen!$A41</f>
        <v>Bočnice M 350mm, Orion šedá</v>
      </c>
      <c r="Q5" s="125" t="str">
        <f>Cen!$B41</f>
        <v>770M3502S</v>
      </c>
      <c r="R5" s="125" t="str">
        <f>Cen!$C41</f>
        <v>OG-M</v>
      </c>
      <c r="S5" s="257">
        <f>SUM(F20,F25,F30)</f>
        <v>0</v>
      </c>
      <c r="T5" s="261">
        <f>Cen!$F41</f>
        <v>588.26232000000005</v>
      </c>
      <c r="U5" s="258">
        <f t="shared" si="0"/>
        <v>0</v>
      </c>
    </row>
    <row r="6" spans="1:25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125" t="str">
        <f>Cen!$A46</f>
        <v>Bočnice M 400mm, Orion šedá</v>
      </c>
      <c r="Q6" s="125" t="str">
        <f>Cen!$B46</f>
        <v>770M4002S</v>
      </c>
      <c r="R6" s="125" t="str">
        <f>Cen!$C46</f>
        <v>OG-M</v>
      </c>
      <c r="S6" s="257">
        <f>SUM(G20,G25,G30)</f>
        <v>0</v>
      </c>
      <c r="T6" s="261">
        <f>Cen!$F46</f>
        <v>595.32592999999997</v>
      </c>
      <c r="U6" s="258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17"/>
      <c r="H7" s="120"/>
      <c r="I7" s="120"/>
      <c r="J7" s="119"/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Cen!$A51</f>
        <v>Bočnice M 450mm, Orion šedá</v>
      </c>
      <c r="Q7" s="125" t="str">
        <f>Cen!$B51</f>
        <v>770M4502S</v>
      </c>
      <c r="R7" s="125" t="str">
        <f>Cen!$C51</f>
        <v>OG-M</v>
      </c>
      <c r="S7" s="257">
        <f>SUM(H20:H21,H25:H26,H30:H31)</f>
        <v>0</v>
      </c>
      <c r="T7" s="261">
        <f>Cen!$F51</f>
        <v>588.37465999999995</v>
      </c>
      <c r="U7" s="258">
        <f t="shared" si="0"/>
        <v>0</v>
      </c>
    </row>
    <row r="8" spans="1:25" ht="13.5" thickBot="1" x14ac:dyDescent="0.35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17"/>
      <c r="M8" s="117"/>
      <c r="N8" s="149" t="str">
        <f>" "&amp;List!$B$6</f>
        <v xml:space="preserve"> Výběr SERVO-DRIVE</v>
      </c>
      <c r="O8" s="117"/>
      <c r="P8" s="333" t="str">
        <f>Cen!$A56</f>
        <v>Bočnice M 500mm, Orion šedá</v>
      </c>
      <c r="Q8" s="333" t="str">
        <f>Cen!$B56</f>
        <v>770M5002S</v>
      </c>
      <c r="R8" s="333" t="str">
        <f>Cen!$C56</f>
        <v>OG-M</v>
      </c>
      <c r="S8" s="257">
        <f>SUM(I20:I21,I25:I26,I30:I31)</f>
        <v>0</v>
      </c>
      <c r="T8" s="334">
        <f>Cen!$F56</f>
        <v>595.274</v>
      </c>
      <c r="U8" s="335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440">
        <f>U69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Cen!$A61</f>
        <v>Bočnice M 550mm, Orion šedá</v>
      </c>
      <c r="Q9" s="125" t="str">
        <f>Cen!$B61</f>
        <v>770M5502S</v>
      </c>
      <c r="R9" s="125" t="str">
        <f>Cen!$C61</f>
        <v>OG-M</v>
      </c>
      <c r="S9" s="257">
        <f>SUM(J20:J21,J25:J26,J30:J31)</f>
        <v>0</v>
      </c>
      <c r="T9" s="261">
        <f>Cen!$F61</f>
        <v>665.94478000000004</v>
      </c>
      <c r="U9" s="258">
        <f t="shared" ref="U9:U65" si="1">S9*T9</f>
        <v>0</v>
      </c>
    </row>
    <row r="10" spans="1:25" ht="13.5" thickBot="1" x14ac:dyDescent="0.3">
      <c r="A10" s="117"/>
      <c r="B10" s="117"/>
      <c r="C10" s="117"/>
      <c r="D10" s="117"/>
      <c r="E10" s="117"/>
      <c r="F10" s="117"/>
      <c r="G10" s="117"/>
      <c r="I10" s="8"/>
      <c r="J10" s="117"/>
      <c r="K10" s="117"/>
      <c r="L10" s="117"/>
      <c r="M10" s="117"/>
      <c r="N10" s="150" t="str">
        <f>" "&amp;List!$B$18</f>
        <v xml:space="preserve"> Souhrn</v>
      </c>
      <c r="O10" s="117"/>
      <c r="P10" s="125" t="str">
        <f>Cen!$A66</f>
        <v>Bočnice M 600mm, Orion šedá</v>
      </c>
      <c r="Q10" s="125" t="str">
        <f>Cen!$B66</f>
        <v>770M6002S</v>
      </c>
      <c r="R10" s="125" t="str">
        <f>Cen!$C66</f>
        <v>OG-M</v>
      </c>
      <c r="S10" s="257">
        <f>SUM(K20:K21,K25:K26,K30:K31)</f>
        <v>0</v>
      </c>
      <c r="T10" s="261">
        <f>Cen!$F66</f>
        <v>754.21731</v>
      </c>
      <c r="U10" s="258">
        <f t="shared" si="1"/>
        <v>0</v>
      </c>
    </row>
    <row r="11" spans="1:25" x14ac:dyDescent="0.25">
      <c r="A11" s="117"/>
      <c r="B11" s="117"/>
      <c r="C11" s="117"/>
      <c r="D11" s="117"/>
      <c r="E11" s="117"/>
      <c r="F11" s="117"/>
      <c r="G11" s="117"/>
      <c r="H11" s="331"/>
      <c r="I11" s="331"/>
      <c r="J11" s="332"/>
      <c r="K11" s="332"/>
      <c r="L11" s="332"/>
      <c r="M11" s="117"/>
      <c r="N11" s="150" t="str">
        <f>" "&amp;List!$B$20</f>
        <v xml:space="preserve"> Objednávka</v>
      </c>
      <c r="O11" s="117"/>
      <c r="P11" s="125" t="str">
        <f>Cen!$A71</f>
        <v>Bočnice M 650mm, Orion šedá</v>
      </c>
      <c r="Q11" s="125" t="str">
        <f>Cen!$B71</f>
        <v>770M6502S</v>
      </c>
      <c r="R11" s="125" t="str">
        <f>Cen!$C71</f>
        <v>OG-M</v>
      </c>
      <c r="S11" s="257">
        <f>SUM(L21,L26,L31)</f>
        <v>0</v>
      </c>
      <c r="T11" s="261">
        <f>Cen!$F71</f>
        <v>787.42313999999999</v>
      </c>
      <c r="U11" s="258">
        <f>S11*T11</f>
        <v>0</v>
      </c>
    </row>
    <row r="12" spans="1:25" ht="13" x14ac:dyDescent="0.25">
      <c r="A12" s="117"/>
      <c r="B12" s="117"/>
      <c r="C12" s="117"/>
      <c r="D12" s="117"/>
      <c r="E12" s="117"/>
      <c r="F12" s="117"/>
      <c r="G12" s="117"/>
      <c r="H12" s="226"/>
      <c r="I12" s="226"/>
      <c r="J12" s="226"/>
      <c r="K12" s="226"/>
      <c r="L12" s="22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5" x14ac:dyDescent="0.25">
      <c r="A13" s="117"/>
      <c r="B13" s="117"/>
      <c r="C13" s="117"/>
      <c r="D13" s="117"/>
      <c r="E13" s="117"/>
      <c r="F13" s="117"/>
      <c r="G13" s="117"/>
      <c r="H13" s="117" t="str">
        <f>"  "&amp;List!$B$149&amp;":"</f>
        <v xml:space="preserve">  Přířezy prvků:</v>
      </c>
      <c r="I13" s="285"/>
      <c r="J13" s="285"/>
      <c r="K13" s="285"/>
      <c r="L13" s="285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D$30)</f>
        <v>0</v>
      </c>
      <c r="T13" s="256">
        <f>Cen!F241</f>
        <v>695.93676999999991</v>
      </c>
      <c r="U13" s="256">
        <f t="shared" si="1"/>
        <v>0</v>
      </c>
    </row>
    <row r="14" spans="1:25" ht="13" x14ac:dyDescent="0.3">
      <c r="A14" s="117"/>
      <c r="B14" s="117"/>
      <c r="C14" s="117"/>
      <c r="D14" s="117"/>
      <c r="E14" s="117"/>
      <c r="F14" s="117"/>
      <c r="G14" s="117"/>
      <c r="H14" s="117" t="str">
        <f>List!$C$153&amp;":   LW - 126"</f>
        <v>Přední díl:   LW - 126</v>
      </c>
      <c r="I14" s="283"/>
      <c r="J14" s="283"/>
      <c r="K14" s="283"/>
      <c r="L14" s="283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E$30)</f>
        <v>0</v>
      </c>
      <c r="T14" s="256">
        <f>Cen!F242</f>
        <v>695.93676999999991</v>
      </c>
      <c r="U14" s="256">
        <f t="shared" si="1"/>
        <v>0</v>
      </c>
    </row>
    <row r="15" spans="1:25" x14ac:dyDescent="0.25">
      <c r="A15" s="117"/>
      <c r="B15" s="117"/>
      <c r="C15" s="117"/>
      <c r="D15" s="117"/>
      <c r="E15" s="117"/>
      <c r="F15" s="117"/>
      <c r="G15" s="117"/>
      <c r="H15" s="330"/>
      <c r="I15" s="330"/>
      <c r="J15" s="330"/>
      <c r="K15" s="330"/>
      <c r="L15" s="330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F$30)</f>
        <v>0</v>
      </c>
      <c r="T15" s="256">
        <f>Cen!F243</f>
        <v>695.93676999999991</v>
      </c>
      <c r="U15" s="256">
        <f t="shared" si="1"/>
        <v>0</v>
      </c>
    </row>
    <row r="16" spans="1:25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G$30)</f>
        <v>0</v>
      </c>
      <c r="T16" s="256">
        <f>Cen!F244</f>
        <v>704.8</v>
      </c>
      <c r="U16" s="256">
        <f t="shared" si="1"/>
        <v>0</v>
      </c>
    </row>
    <row r="17" spans="1:21" x14ac:dyDescent="0.25">
      <c r="A17" s="117"/>
      <c r="B17" s="117"/>
      <c r="C17" s="117"/>
      <c r="D17" s="117"/>
      <c r="E17" s="117"/>
      <c r="F17" s="117"/>
      <c r="G17" s="117"/>
      <c r="H17" s="175"/>
      <c r="I17" s="175"/>
      <c r="J17" s="175"/>
      <c r="K17" s="175"/>
      <c r="L17" s="175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H$30)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H$31)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336" t="str">
        <f>Cen!A247</f>
        <v>Korpusové lišty BLUMOTION S, 500mm, 40kg</v>
      </c>
      <c r="Q19" s="336" t="str">
        <f>Cen!B247</f>
        <v>750.5001S</v>
      </c>
      <c r="R19" s="336" t="str">
        <f>Cen!C247</f>
        <v>ZN</v>
      </c>
      <c r="S19" s="337">
        <f>SUM(I$20, I$30)</f>
        <v>0</v>
      </c>
      <c r="T19" s="338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441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75"/>
      <c r="N20" s="117"/>
      <c r="O20" s="117"/>
      <c r="P20" s="336" t="str">
        <f>Cen!A248</f>
        <v>Korpusové lišty BLUMOTION S, 500mm, 70kg</v>
      </c>
      <c r="Q20" s="336" t="str">
        <f>Cen!B248</f>
        <v>753.5001S</v>
      </c>
      <c r="R20" s="336" t="str">
        <f>Cen!C248</f>
        <v>ZN</v>
      </c>
      <c r="S20" s="337">
        <f>SUM(I$21, I$31)</f>
        <v>0</v>
      </c>
      <c r="T20" s="338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442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75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J$30)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75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J$31)</f>
        <v>0</v>
      </c>
      <c r="T22" s="256">
        <f>Cen!F250</f>
        <v>937.94550000000004</v>
      </c>
      <c r="U22" s="256">
        <f t="shared" si="1"/>
        <v>0</v>
      </c>
    </row>
    <row r="23" spans="1:21" ht="15.5" x14ac:dyDescent="0.35">
      <c r="A23" s="117"/>
      <c r="B23" s="308" t="s">
        <v>228</v>
      </c>
      <c r="C23" s="304"/>
      <c r="H23" s="283"/>
      <c r="I23" s="283"/>
      <c r="J23" s="283"/>
      <c r="K23" s="283"/>
      <c r="L23" s="283"/>
      <c r="M23" s="175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K$30)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/>
      <c r="C24" s="315" t="str">
        <f>List!$B$118&amp;":"</f>
        <v>Jmenovitá délka:</v>
      </c>
      <c r="D24" s="303" t="s">
        <v>522</v>
      </c>
      <c r="E24" s="300" t="s">
        <v>56</v>
      </c>
      <c r="F24" s="300" t="s">
        <v>523</v>
      </c>
      <c r="G24" s="300" t="s">
        <v>524</v>
      </c>
      <c r="H24" s="300" t="s">
        <v>111</v>
      </c>
      <c r="I24" s="301" t="s">
        <v>525</v>
      </c>
      <c r="J24" s="300" t="s">
        <v>526</v>
      </c>
      <c r="K24" s="302" t="s">
        <v>112</v>
      </c>
      <c r="L24" s="302" t="s">
        <v>770</v>
      </c>
      <c r="M24" s="175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K$31)</f>
        <v>0</v>
      </c>
      <c r="T24" s="256">
        <f>Cen!F252</f>
        <v>1033.34979</v>
      </c>
      <c r="U24" s="256">
        <f t="shared" si="1"/>
        <v>0</v>
      </c>
    </row>
    <row r="25" spans="1:21" ht="14.5" thickBot="1" x14ac:dyDescent="0.35">
      <c r="A25" s="117"/>
      <c r="B25" s="292" t="s">
        <v>443</v>
      </c>
      <c r="C25" s="293" t="s">
        <v>432</v>
      </c>
      <c r="D25" s="294"/>
      <c r="E25" s="294"/>
      <c r="F25" s="294"/>
      <c r="G25" s="294"/>
      <c r="H25" s="294"/>
      <c r="I25" s="294"/>
      <c r="J25" s="294"/>
      <c r="K25" s="295"/>
      <c r="L25" s="559"/>
      <c r="M25" s="175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L$31)</f>
        <v>0</v>
      </c>
      <c r="T25" s="256">
        <f>Cen!F253</f>
        <v>1080.66551</v>
      </c>
      <c r="U25" s="256">
        <f>S25*T25</f>
        <v>0</v>
      </c>
    </row>
    <row r="26" spans="1:21" ht="14" x14ac:dyDescent="0.3">
      <c r="A26" s="117"/>
      <c r="B26" s="291" t="s">
        <v>444</v>
      </c>
      <c r="C26" s="305" t="s">
        <v>433</v>
      </c>
      <c r="D26" s="407"/>
      <c r="E26" s="407"/>
      <c r="F26" s="407"/>
      <c r="G26" s="407"/>
      <c r="H26" s="298"/>
      <c r="I26" s="298"/>
      <c r="J26" s="298"/>
      <c r="K26" s="299"/>
      <c r="L26" s="299"/>
      <c r="M26" s="175"/>
      <c r="N26" s="117"/>
      <c r="O26" s="117"/>
      <c r="P26" s="205"/>
      <c r="Q26" s="205"/>
      <c r="R26" s="205"/>
      <c r="S26" s="255"/>
      <c r="T26" s="256"/>
      <c r="U26" s="256"/>
    </row>
    <row r="27" spans="1:21" ht="13" x14ac:dyDescent="0.3">
      <c r="A27" s="117"/>
      <c r="B27" s="282"/>
      <c r="C27" s="282"/>
      <c r="D27" s="117"/>
      <c r="E27" s="117"/>
      <c r="F27" s="117"/>
      <c r="G27" s="117"/>
      <c r="H27" s="142"/>
      <c r="I27" s="142"/>
      <c r="J27" s="117"/>
      <c r="K27" s="117"/>
      <c r="L27" s="117"/>
      <c r="M27" s="175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D25</f>
        <v>0</v>
      </c>
      <c r="T27" s="256">
        <f>Cen!F257</f>
        <v>963.84325999999999</v>
      </c>
      <c r="U27" s="256">
        <f t="shared" si="1"/>
        <v>0</v>
      </c>
    </row>
    <row r="28" spans="1:21" ht="16" thickBot="1" x14ac:dyDescent="0.4">
      <c r="A28" s="117"/>
      <c r="B28" s="308" t="s">
        <v>940</v>
      </c>
      <c r="C28" s="304"/>
      <c r="H28" s="283"/>
      <c r="I28" s="283"/>
      <c r="J28" s="283"/>
      <c r="K28" s="283"/>
      <c r="L28" s="283"/>
      <c r="M28" s="175"/>
      <c r="N28" s="253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E25</f>
        <v>0</v>
      </c>
      <c r="T28" s="256">
        <f>Cen!F258</f>
        <v>963.84325999999999</v>
      </c>
      <c r="U28" s="256">
        <f t="shared" si="1"/>
        <v>0</v>
      </c>
    </row>
    <row r="29" spans="1:21" ht="15.5" x14ac:dyDescent="0.35">
      <c r="A29" s="117"/>
      <c r="B29" s="308"/>
      <c r="C29" s="315" t="str">
        <f>List!$B$118&amp;":"</f>
        <v>Jmenovitá délka:</v>
      </c>
      <c r="D29" s="303" t="s">
        <v>522</v>
      </c>
      <c r="E29" s="300" t="s">
        <v>56</v>
      </c>
      <c r="F29" s="300" t="s">
        <v>523</v>
      </c>
      <c r="G29" s="300" t="s">
        <v>524</v>
      </c>
      <c r="H29" s="300" t="s">
        <v>111</v>
      </c>
      <c r="I29" s="301" t="s">
        <v>525</v>
      </c>
      <c r="J29" s="300" t="s">
        <v>526</v>
      </c>
      <c r="K29" s="302" t="s">
        <v>112</v>
      </c>
      <c r="L29" s="302" t="s">
        <v>770</v>
      </c>
      <c r="M29" s="175"/>
      <c r="N29" s="150" t="str">
        <f>" "&amp;List!$B$303</f>
        <v xml:space="preserve"> Výběr sady jednotek</v>
      </c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F25</f>
        <v>0</v>
      </c>
      <c r="T29" s="256">
        <f>Cen!F259</f>
        <v>963.84325999999999</v>
      </c>
      <c r="U29" s="256">
        <f t="shared" si="1"/>
        <v>0</v>
      </c>
    </row>
    <row r="30" spans="1:21" ht="14.5" thickBot="1" x14ac:dyDescent="0.35">
      <c r="A30" s="117"/>
      <c r="B30" s="292" t="s">
        <v>941</v>
      </c>
      <c r="C30" s="293" t="s">
        <v>432</v>
      </c>
      <c r="D30" s="294"/>
      <c r="E30" s="294"/>
      <c r="F30" s="294"/>
      <c r="G30" s="294"/>
      <c r="H30" s="294"/>
      <c r="I30" s="294"/>
      <c r="J30" s="294"/>
      <c r="K30" s="295"/>
      <c r="L30" s="559"/>
      <c r="M30" s="117"/>
      <c r="N30" s="117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G25</f>
        <v>0</v>
      </c>
      <c r="T30" s="256">
        <f>Cen!F260</f>
        <v>972.70714999999996</v>
      </c>
      <c r="U30" s="256">
        <f t="shared" si="1"/>
        <v>0</v>
      </c>
    </row>
    <row r="31" spans="1:21" ht="15.75" customHeight="1" x14ac:dyDescent="0.3">
      <c r="A31" s="117"/>
      <c r="B31" s="291" t="s">
        <v>942</v>
      </c>
      <c r="C31" s="305" t="s">
        <v>433</v>
      </c>
      <c r="D31" s="407"/>
      <c r="E31" s="407"/>
      <c r="F31" s="407"/>
      <c r="G31" s="407"/>
      <c r="H31" s="298"/>
      <c r="I31" s="298"/>
      <c r="J31" s="298"/>
      <c r="K31" s="299"/>
      <c r="L31" s="299"/>
      <c r="M31" s="117"/>
      <c r="N31" s="117"/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H25</f>
        <v>0</v>
      </c>
      <c r="T31" s="256">
        <f>Cen!F261</f>
        <v>958.74321999999995</v>
      </c>
      <c r="U31" s="256">
        <f t="shared" si="1"/>
        <v>0</v>
      </c>
    </row>
    <row r="32" spans="1:21" ht="15.75" customHeight="1" x14ac:dyDescent="0.3">
      <c r="A32" s="117"/>
      <c r="B32" s="339"/>
      <c r="C32" s="286"/>
      <c r="D32" s="340"/>
      <c r="E32" s="341"/>
      <c r="F32" s="342"/>
      <c r="G32" s="341"/>
      <c r="H32" s="341"/>
      <c r="I32" s="286"/>
      <c r="J32" s="286"/>
      <c r="K32" s="286"/>
      <c r="L32" s="286"/>
      <c r="M32" s="117"/>
      <c r="N32" s="117"/>
      <c r="O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H26</f>
        <v>0</v>
      </c>
      <c r="T32" s="256">
        <f>Cen!F262</f>
        <v>1142.8525999999999</v>
      </c>
      <c r="U32" s="256">
        <f t="shared" si="1"/>
        <v>0</v>
      </c>
    </row>
    <row r="33" spans="1:21" ht="12.75" customHeight="1" x14ac:dyDescent="0.3">
      <c r="A33" s="117"/>
      <c r="C33" s="175"/>
      <c r="D33" s="649" t="str">
        <f>List!B312</f>
        <v>Sada jednotek TIP-ON BLUMOTION</v>
      </c>
      <c r="E33" s="175"/>
      <c r="F33" s="175"/>
      <c r="G33" s="175"/>
      <c r="H33" s="175"/>
      <c r="I33" s="723"/>
      <c r="J33" s="723"/>
      <c r="K33" s="723"/>
      <c r="L33" s="723"/>
      <c r="M33" s="117"/>
      <c r="N33" s="117"/>
      <c r="O33" s="117"/>
      <c r="P33" s="336" t="str">
        <f>Cen!A263</f>
        <v>Korpusové lišty TIP-ON, 500mm, 40kg</v>
      </c>
      <c r="Q33" s="336" t="str">
        <f>Cen!B263</f>
        <v>750.5001T</v>
      </c>
      <c r="R33" s="336" t="str">
        <f>Cen!C263</f>
        <v>ZN</v>
      </c>
      <c r="S33" s="337">
        <f>I25</f>
        <v>0</v>
      </c>
      <c r="T33" s="338">
        <f>Cen!F263</f>
        <v>967.39513999999997</v>
      </c>
      <c r="U33" s="256">
        <f t="shared" si="1"/>
        <v>0</v>
      </c>
    </row>
    <row r="34" spans="1:21" ht="14" x14ac:dyDescent="0.3">
      <c r="A34" s="117"/>
      <c r="B34" s="286"/>
      <c r="C34" s="286"/>
      <c r="D34" s="303" t="s">
        <v>1017</v>
      </c>
      <c r="E34" s="303" t="s">
        <v>946</v>
      </c>
      <c r="F34" s="300" t="s">
        <v>1421</v>
      </c>
      <c r="G34" s="300" t="s">
        <v>948</v>
      </c>
      <c r="H34" s="302" t="s">
        <v>1423</v>
      </c>
      <c r="I34" s="286"/>
      <c r="J34" s="723"/>
      <c r="K34" s="723"/>
      <c r="L34" s="723"/>
      <c r="M34" s="117"/>
      <c r="O34" s="117"/>
      <c r="P34" s="336" t="str">
        <f>Cen!A264</f>
        <v>Korpusové lišty TIP-ON, 500mm, 70kg</v>
      </c>
      <c r="Q34" s="336" t="str">
        <f>Cen!B264</f>
        <v>753.5001T</v>
      </c>
      <c r="R34" s="336" t="str">
        <f>Cen!C264</f>
        <v>ZN</v>
      </c>
      <c r="S34" s="337">
        <f>I26</f>
        <v>0</v>
      </c>
      <c r="T34" s="338">
        <f>Cen!F264</f>
        <v>1151.7105200000001</v>
      </c>
      <c r="U34" s="256">
        <f t="shared" si="1"/>
        <v>0</v>
      </c>
    </row>
    <row r="35" spans="1:21" ht="14.5" thickBot="1" x14ac:dyDescent="0.35">
      <c r="A35" s="117"/>
      <c r="B35" s="175"/>
      <c r="C35" s="286"/>
      <c r="D35" s="294"/>
      <c r="E35" s="294"/>
      <c r="F35" s="294"/>
      <c r="G35" s="294"/>
      <c r="H35" s="295"/>
      <c r="I35" s="652" t="str">
        <f>IF(SUM(F30:K30,H31:L31)=SUM(F35:H35)," ",P86)</f>
        <v xml:space="preserve"> </v>
      </c>
      <c r="M35" s="117"/>
      <c r="O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J25</f>
        <v>0</v>
      </c>
      <c r="T35" s="256">
        <f>Cen!F265</f>
        <v>1037.74467</v>
      </c>
      <c r="U35" s="256">
        <f t="shared" si="1"/>
        <v>0</v>
      </c>
    </row>
    <row r="36" spans="1:21" x14ac:dyDescent="0.25">
      <c r="A36" s="117"/>
      <c r="C36" s="724" t="str">
        <f>IF(AND(SUM($D$30,$E$30)&gt;0,SUM($D$35,$E$35)=0),$P$85, IF(AND(SUM($D$30,$E$30)=0,SUM($D$35,$E$35)&gt;0),$P$84, " "))&amp;IF(SUM($D$30,$E$30)&lt;&gt;SUM($D$35,$E$35)," "&amp;$P$87," ")</f>
        <v xml:space="preserve">  </v>
      </c>
      <c r="D36" s="650"/>
      <c r="E36" s="286"/>
      <c r="F36" s="286"/>
      <c r="G36" s="286"/>
      <c r="H36" s="286"/>
      <c r="I36" s="286"/>
      <c r="M36" s="117"/>
      <c r="O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J26</f>
        <v>0</v>
      </c>
      <c r="T36" s="256">
        <f>Cen!F266</f>
        <v>1199.02684</v>
      </c>
      <c r="U36" s="256">
        <f t="shared" si="1"/>
        <v>0</v>
      </c>
    </row>
    <row r="37" spans="1:21" ht="20" customHeight="1" x14ac:dyDescent="0.25">
      <c r="D37" s="725" t="str">
        <f>"        ** "&amp;List!$B$325&amp;"!"</f>
        <v xml:space="preserve">        ** Jednotky L1 nelze kombinovat s lištami se zvýšenou nosností (70 kg)!</v>
      </c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K25</f>
        <v>0</v>
      </c>
      <c r="T37" s="116">
        <f>Cen!F267</f>
        <v>1133.14894</v>
      </c>
      <c r="U37" s="256">
        <f t="shared" si="1"/>
        <v>0</v>
      </c>
    </row>
    <row r="38" spans="1:21" ht="15.75" customHeight="1" x14ac:dyDescent="0.25">
      <c r="D38" s="725" t="str">
        <f>"       *** "&amp;List!$B$326&amp;"!"</f>
        <v xml:space="preserve">       *** Jednotky L5 nelze kombinovat s lištami se základní nosností (40 kg)!</v>
      </c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K26</f>
        <v>0</v>
      </c>
      <c r="T38" s="116">
        <f>Cen!F268</f>
        <v>1294.4311299999999</v>
      </c>
      <c r="U38" s="116">
        <f t="shared" si="1"/>
        <v>0</v>
      </c>
    </row>
    <row r="39" spans="1:21" x14ac:dyDescent="0.25">
      <c r="B39" s="651"/>
      <c r="C39" s="651"/>
      <c r="D39" s="650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L26</f>
        <v>0</v>
      </c>
      <c r="T39" s="116">
        <f>Cen!F269</f>
        <v>1341.74685</v>
      </c>
      <c r="U39" s="116">
        <f>S39*T39</f>
        <v>0</v>
      </c>
    </row>
    <row r="40" spans="1:21" ht="12.5" customHeight="1" x14ac:dyDescent="0.25">
      <c r="D40" s="725" t="str">
        <f>"     "&amp;List!$B$313</f>
        <v xml:space="preserve">     Synchronizace bude přidána automaticky. </v>
      </c>
      <c r="P40" s="142"/>
      <c r="Q40" s="142"/>
      <c r="R40" s="142"/>
      <c r="S40" s="148"/>
      <c r="T40" s="152"/>
      <c r="U40" s="152"/>
    </row>
    <row r="41" spans="1:21" x14ac:dyDescent="0.25">
      <c r="D41" s="725" t="str">
        <f>"     "&amp;List!$B$314</f>
        <v xml:space="preserve">     Pozor! Pro každý výsuv je započítána jedna hřídel. Počet hřídelí upravte v objednávce!</v>
      </c>
      <c r="P41" s="120"/>
      <c r="Q41" s="120"/>
      <c r="R41" s="120"/>
      <c r="S41" s="121"/>
      <c r="T41" s="116"/>
      <c r="U41" s="116"/>
    </row>
    <row r="42" spans="1:21" x14ac:dyDescent="0.25">
      <c r="P42" s="120"/>
      <c r="Q42" s="120"/>
      <c r="R42" s="120"/>
      <c r="S42" s="121"/>
      <c r="T42" s="116"/>
      <c r="U42" s="116"/>
    </row>
    <row r="43" spans="1:21" x14ac:dyDescent="0.25">
      <c r="P43" s="120"/>
      <c r="Q43" s="120"/>
      <c r="R43" s="120"/>
      <c r="S43" s="121"/>
      <c r="T43" s="116"/>
      <c r="U43" s="116"/>
    </row>
    <row r="44" spans="1:21" x14ac:dyDescent="0.25">
      <c r="P44" s="120"/>
      <c r="Q44" s="120"/>
      <c r="R44" s="120"/>
      <c r="S44" s="121"/>
      <c r="T44" s="116"/>
      <c r="U44" s="116"/>
    </row>
    <row r="45" spans="1:21" ht="13" x14ac:dyDescent="0.3">
      <c r="D45" s="117" t="str">
        <f>"   * "&amp;List!$B$161&amp;". "&amp;List!B163</f>
        <v xml:space="preserve">   * Pro každý výsuv je započítán jeden přední díl. Potřebný počet předních dílů upravte v objednávce</v>
      </c>
      <c r="P45" s="684"/>
      <c r="Q45" s="684"/>
      <c r="R45" s="684"/>
      <c r="S45" s="685"/>
      <c r="T45" s="686"/>
      <c r="U45" s="686"/>
    </row>
    <row r="46" spans="1:21" ht="13" x14ac:dyDescent="0.3">
      <c r="P46" s="684"/>
      <c r="Q46" s="684"/>
      <c r="R46" s="684"/>
      <c r="S46" s="685"/>
      <c r="T46" s="686"/>
      <c r="U46" s="686"/>
    </row>
    <row r="47" spans="1:21" ht="13" x14ac:dyDescent="0.3">
      <c r="P47" s="684"/>
      <c r="Q47" s="684"/>
      <c r="R47" s="684"/>
      <c r="S47" s="685"/>
      <c r="T47" s="686"/>
      <c r="U47" s="686"/>
    </row>
    <row r="48" spans="1:21" ht="13" x14ac:dyDescent="0.3">
      <c r="P48" s="684"/>
      <c r="Q48" s="684"/>
      <c r="R48" s="684"/>
      <c r="S48" s="685"/>
      <c r="T48" s="686"/>
      <c r="U48" s="686"/>
    </row>
    <row r="49" spans="16:21" x14ac:dyDescent="0.25">
      <c r="P49" s="120"/>
      <c r="Q49" s="120"/>
      <c r="R49" s="120"/>
      <c r="S49" s="121"/>
      <c r="T49" s="116"/>
      <c r="U49" s="116"/>
    </row>
    <row r="50" spans="16:21" x14ac:dyDescent="0.25">
      <c r="P50" s="120"/>
      <c r="Q50" s="120"/>
      <c r="R50" s="120"/>
      <c r="S50" s="121"/>
      <c r="T50" s="116"/>
      <c r="U50" s="116"/>
    </row>
    <row r="51" spans="16:21" x14ac:dyDescent="0.25">
      <c r="P51" s="120"/>
      <c r="Q51" s="120"/>
      <c r="R51" s="120"/>
      <c r="S51" s="121"/>
      <c r="T51" s="116"/>
      <c r="U51" s="116"/>
    </row>
    <row r="52" spans="16:21" x14ac:dyDescent="0.25">
      <c r="P52" s="120"/>
      <c r="Q52" s="120"/>
      <c r="R52" s="120"/>
      <c r="S52" s="121"/>
      <c r="T52" s="116"/>
      <c r="U52" s="116"/>
    </row>
    <row r="53" spans="16:21" x14ac:dyDescent="0.25">
      <c r="P53" s="120"/>
      <c r="Q53" s="120"/>
      <c r="R53" s="120"/>
      <c r="S53" s="121"/>
      <c r="T53" s="116"/>
      <c r="U53" s="116"/>
    </row>
    <row r="54" spans="16:21" x14ac:dyDescent="0.25">
      <c r="P54" s="120"/>
      <c r="Q54" s="120"/>
      <c r="R54" s="120"/>
      <c r="S54" s="121"/>
      <c r="T54" s="116"/>
      <c r="U54" s="116"/>
    </row>
    <row r="55" spans="16:21" x14ac:dyDescent="0.25"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D35</f>
        <v>0</v>
      </c>
      <c r="T55" s="116">
        <f>Cen!F287</f>
        <v>478.94060000000007</v>
      </c>
      <c r="U55" s="116">
        <f t="shared" ref="U55" si="2">S55*T55</f>
        <v>0</v>
      </c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E35</f>
        <v>0</v>
      </c>
      <c r="T56" s="116">
        <f>Cen!F288</f>
        <v>478.94060000000007</v>
      </c>
      <c r="U56" s="116">
        <f t="shared" ref="U56" si="3">S56*T56</f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F35</f>
        <v>0</v>
      </c>
      <c r="T57" s="116">
        <f>Cen!F289</f>
        <v>467.80245000000002</v>
      </c>
      <c r="U57" s="116">
        <f>S57*T57</f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G35</f>
        <v>0</v>
      </c>
      <c r="T58" s="116">
        <f>Cen!F290</f>
        <v>467.80245000000002</v>
      </c>
      <c r="U58" s="116">
        <f>S58*T58</f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H35</f>
        <v>0</v>
      </c>
      <c r="T59" s="116">
        <f>Cen!F291</f>
        <v>467.80245000000002</v>
      </c>
      <c r="U59" s="116">
        <f>S59*T59</f>
        <v>0</v>
      </c>
    </row>
    <row r="60" spans="16:21" x14ac:dyDescent="0.25">
      <c r="P60" s="120"/>
      <c r="Q60" s="120"/>
      <c r="R60" s="120"/>
      <c r="S60" s="121"/>
      <c r="T60" s="116"/>
      <c r="U60" s="116"/>
    </row>
    <row r="61" spans="16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256">
        <f t="shared" ref="U61" si="4">S61*T61</f>
        <v>0</v>
      </c>
    </row>
    <row r="62" spans="16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256">
        <f t="shared" ref="U62" si="5">S62*T62</f>
        <v>0</v>
      </c>
    </row>
    <row r="63" spans="16:21" x14ac:dyDescent="0.25">
      <c r="P63" s="120"/>
      <c r="Q63" s="120"/>
      <c r="R63" s="120"/>
      <c r="S63" s="121"/>
      <c r="T63" s="116"/>
      <c r="U63" s="116"/>
    </row>
    <row r="64" spans="16:21" x14ac:dyDescent="0.25">
      <c r="P64" s="120" t="str">
        <f>Cen!A319</f>
        <v>Držáky zadní stěny M, Orion šedá</v>
      </c>
      <c r="Q64" s="120" t="str">
        <f>Cen!B319</f>
        <v>ZB7M000S</v>
      </c>
      <c r="R64" s="120" t="str">
        <f>Cen!C319</f>
        <v>OG-M</v>
      </c>
      <c r="S64" s="121">
        <f>SUM($S$3:$S$11)</f>
        <v>0</v>
      </c>
      <c r="T64" s="116">
        <f>Cen!$F319</f>
        <v>35.345579999999998</v>
      </c>
      <c r="U64" s="256">
        <f t="shared" si="1"/>
        <v>0</v>
      </c>
    </row>
    <row r="65" spans="16:21" x14ac:dyDescent="0.25">
      <c r="P65" s="120" t="str">
        <f>Cen!A360</f>
        <v>Sada kování vnitřní zásuvky M, Orion šedá</v>
      </c>
      <c r="Q65" s="120" t="str">
        <f>Cen!B360</f>
        <v>ZI7.0MS0</v>
      </c>
      <c r="R65" s="120" t="str">
        <f>Cen!C360</f>
        <v>OG-M</v>
      </c>
      <c r="S65" s="121">
        <f>SUM(S3:S11)</f>
        <v>0</v>
      </c>
      <c r="T65" s="116">
        <f>Cen!F360</f>
        <v>413.54563999999999</v>
      </c>
      <c r="U65" s="256">
        <f t="shared" si="1"/>
        <v>0</v>
      </c>
    </row>
    <row r="66" spans="16:21" x14ac:dyDescent="0.25">
      <c r="P66" s="120"/>
      <c r="Q66" s="120"/>
      <c r="R66" s="120"/>
      <c r="S66" s="121"/>
      <c r="T66" s="116"/>
      <c r="U66" s="116"/>
    </row>
    <row r="67" spans="16:21" x14ac:dyDescent="0.25">
      <c r="P67" s="120" t="str">
        <f>Cen!A389</f>
        <v>Přední díl vnitřní zásuvky, bez drážky, Orion šedá</v>
      </c>
      <c r="Q67" s="120" t="str">
        <f>Cen!B389</f>
        <v>ZV7.1043C01</v>
      </c>
      <c r="R67" s="120" t="str">
        <f>Cen!C389</f>
        <v>OG-M</v>
      </c>
      <c r="S67" s="546">
        <f>SUM($S$3:$S$11)</f>
        <v>0</v>
      </c>
      <c r="T67" s="116">
        <f>Cen!F389</f>
        <v>467.12466999999998</v>
      </c>
      <c r="U67" s="116">
        <f>S67*T67</f>
        <v>0</v>
      </c>
    </row>
    <row r="68" spans="16:21" x14ac:dyDescent="0.25">
      <c r="P68" s="117"/>
      <c r="Q68" s="117"/>
    </row>
    <row r="69" spans="16:21" x14ac:dyDescent="0.25">
      <c r="P69" s="117"/>
      <c r="Q69" s="117"/>
      <c r="S69" s="74" t="str">
        <f>List!$B$97</f>
        <v>cena kování</v>
      </c>
      <c r="U69" s="346">
        <f>SUM(U3:U68)</f>
        <v>0</v>
      </c>
    </row>
    <row r="70" spans="16:21" x14ac:dyDescent="0.25">
      <c r="P70" s="117"/>
      <c r="Q70" s="117"/>
    </row>
    <row r="71" spans="16:21" x14ac:dyDescent="0.25">
      <c r="P71" s="117"/>
      <c r="Q71" s="117"/>
    </row>
    <row r="84" spans="16:16" x14ac:dyDescent="0.25">
      <c r="P84" s="117" t="str">
        <f>List!$B$316&amp;"!"</f>
        <v>S0 a S1 pouze pro jmenovitou délku 270 a 300 mm!</v>
      </c>
    </row>
    <row r="85" spans="16:16" x14ac:dyDescent="0.25">
      <c r="P85" s="117" t="str">
        <f>List!$B$317&amp;"!"</f>
        <v>Pro výsuvy délky 270 a 300 mm vyberte jednotky S0 nebo S1!</v>
      </c>
    </row>
    <row r="86" spans="16:16" x14ac:dyDescent="0.25">
      <c r="P86" s="117" t="str">
        <f>List!$B$318&amp;"!"</f>
        <v>Počet jednotek L neodpovídá počtu korpusových lišt!</v>
      </c>
    </row>
    <row r="87" spans="16:16" x14ac:dyDescent="0.25">
      <c r="P87" s="117" t="str">
        <f>List!$B$319&amp;"!"</f>
        <v>Počet jednotek S neodpovídá počtu korpusových lišt!</v>
      </c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5.25" customHeight="1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 t="s">
        <v>978</v>
      </c>
      <c r="E106" s="838"/>
      <c r="F106" s="839"/>
      <c r="G106" s="721" t="s">
        <v>1017</v>
      </c>
      <c r="H106" s="865" t="s">
        <v>1016</v>
      </c>
      <c r="I106" s="866"/>
      <c r="J106" s="729" t="s">
        <v>1019</v>
      </c>
      <c r="K106" s="730"/>
      <c r="L106" s="73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721" t="s">
        <v>946</v>
      </c>
      <c r="H107" s="865" t="s">
        <v>949</v>
      </c>
      <c r="I107" s="866"/>
      <c r="J107" s="729" t="s">
        <v>1020</v>
      </c>
      <c r="K107" s="731"/>
      <c r="L107" s="731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721" t="s">
        <v>1421</v>
      </c>
      <c r="H108" s="865" t="s">
        <v>950</v>
      </c>
      <c r="I108" s="866"/>
      <c r="J108" s="729" t="s">
        <v>984</v>
      </c>
      <c r="K108" s="731"/>
      <c r="L108" s="731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721" t="s">
        <v>948</v>
      </c>
      <c r="H109" s="865" t="s">
        <v>951</v>
      </c>
      <c r="I109" s="866"/>
      <c r="J109" s="846" t="s">
        <v>1023</v>
      </c>
      <c r="K109" s="847"/>
      <c r="L109" s="731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721" t="s">
        <v>1423</v>
      </c>
      <c r="H110" s="865" t="s">
        <v>952</v>
      </c>
      <c r="I110" s="866"/>
      <c r="J110" s="732"/>
      <c r="K110" s="847" t="s">
        <v>1024</v>
      </c>
      <c r="L110" s="847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/kF7vlhFKLgDVrzNZ1LH/A+o7td+rFw2c0IIePYkIFxzBH7mzhWLgI+lqplfutozuwLQea0ifv7H+DH6vHulMg==" saltValue="vc1ejsNd1KM6tjkdZHvNwA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phoneticPr fontId="52" type="noConversion"/>
  <hyperlinks>
    <hyperlink ref="N3" location="Form!A1" tooltip=" " display="Form!A1" xr:uid="{00000000-0004-0000-0400-000000000000}"/>
    <hyperlink ref="N4" location="Menu!A1" tooltip=" " display="Menu!A1" xr:uid="{00000000-0004-0000-0400-000001000000}"/>
    <hyperlink ref="N7" location="Acs!A1" tooltip=" " display="Acs!A1" xr:uid="{00000000-0004-0000-0400-000002000000}"/>
    <hyperlink ref="N8" location="SD!A1" tooltip=" " display="SD!A1" xr:uid="{00000000-0004-0000-0400-000003000000}"/>
    <hyperlink ref="N10" location="Sum!A1" tooltip=" " display="Sum!A1" xr:uid="{00000000-0004-0000-0400-000004000000}"/>
    <hyperlink ref="N11" location="Ord!A1" tooltip=" " display="Ord!A1" xr:uid="{00000000-0004-0000-0400-000005000000}"/>
    <hyperlink ref="N9" location="AL!A1" tooltip=" " display="AL!A1" xr:uid="{00000000-0004-0000-0400-000006000000}"/>
    <hyperlink ref="N29" location="'7M40VP'!A100" tooltip=" " display="'7M40VP'!A100" xr:uid="{00000000-0004-0000-0400-000007000000}"/>
    <hyperlink ref="N111" location="'7M40VP'!A1" tooltip=" " display="'7M40VP'!A1" xr:uid="{00000000-0004-0000-04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indexed="22"/>
  </sheetPr>
  <dimension ref="A1:Y140"/>
  <sheetViews>
    <sheetView showGridLines="0" showRowColHeaders="0" zoomScaleNormal="10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7.453125" style="2" hidden="1" customWidth="1"/>
    <col min="16" max="16" width="42.81640625" style="2" hidden="1" customWidth="1"/>
    <col min="17" max="17" width="11.54296875" style="2" hidden="1" customWidth="1"/>
    <col min="18" max="20" width="9.1796875" style="2" hidden="1" customWidth="1"/>
    <col min="21" max="21" width="11.36328125" style="2" hidden="1" customWidth="1"/>
    <col min="22" max="26" width="0" style="2" hidden="1" customWidth="1"/>
    <col min="27" max="16384" width="9.1796875" style="2"/>
  </cols>
  <sheetData>
    <row r="1" spans="1:25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64" t="s">
        <v>1266</v>
      </c>
      <c r="Q1" s="757">
        <f>Form!O2</f>
        <v>1</v>
      </c>
      <c r="U1" s="806" t="s">
        <v>1417</v>
      </c>
    </row>
    <row r="2" spans="1:25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List!$B$50&amp;" K"</f>
        <v>Zásuvka K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5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  <c r="Y3" s="796"/>
    </row>
    <row r="4" spans="1:25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179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Cen!A76</f>
        <v>Bočnice K 300mm, Orion šedá</v>
      </c>
      <c r="Q4" s="125" t="str">
        <f>Cen!B76</f>
        <v>770K3002S</v>
      </c>
      <c r="R4" s="125" t="str">
        <f>Cen!C76</f>
        <v>OG-M</v>
      </c>
      <c r="S4" s="257">
        <f>IF($Q$1=5, 0, SUM(E20, E25, E30))</f>
        <v>0</v>
      </c>
      <c r="T4" s="438">
        <f>Cen!F76</f>
        <v>731.27220999999997</v>
      </c>
      <c r="U4" s="258">
        <f t="shared" ref="U4:U10" si="0">S4*T4</f>
        <v>0</v>
      </c>
      <c r="W4" s="2" t="s">
        <v>1399</v>
      </c>
    </row>
    <row r="5" spans="1:25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Cen!A81</f>
        <v>Bočnice K 350mm, Orion šedá</v>
      </c>
      <c r="Q5" s="125" t="str">
        <f>Cen!B81</f>
        <v>770K3502S</v>
      </c>
      <c r="R5" s="125" t="str">
        <f>Cen!C81</f>
        <v>OG-M</v>
      </c>
      <c r="S5" s="257">
        <f>SUM(F20,F25,F30)</f>
        <v>0</v>
      </c>
      <c r="T5" s="438">
        <f>Cen!F81</f>
        <v>731.27220999999997</v>
      </c>
      <c r="U5" s="258">
        <f t="shared" si="0"/>
        <v>0</v>
      </c>
    </row>
    <row r="6" spans="1:25" x14ac:dyDescent="0.25">
      <c r="A6" s="117"/>
      <c r="B6" s="117"/>
      <c r="C6" s="117"/>
      <c r="D6" s="117"/>
      <c r="E6" s="117"/>
      <c r="F6" s="117"/>
      <c r="G6" s="117"/>
      <c r="H6" s="120"/>
      <c r="I6" s="120"/>
      <c r="J6" s="119"/>
      <c r="K6" s="120"/>
      <c r="L6" s="142"/>
      <c r="M6" s="117"/>
      <c r="N6" s="2" t="str">
        <f>List!$B$12&amp;":"</f>
        <v>Pokračovat na:</v>
      </c>
      <c r="O6" s="117"/>
      <c r="P6" s="125" t="str">
        <f>Cen!A86</f>
        <v>Bočnice K 400mm, Orion šedá</v>
      </c>
      <c r="Q6" s="125" t="str">
        <f>Cen!B86</f>
        <v>770K4002S</v>
      </c>
      <c r="R6" s="125" t="str">
        <f>Cen!C86</f>
        <v>OG-M</v>
      </c>
      <c r="S6" s="257">
        <f>SUM(G20,G25,G30)</f>
        <v>0</v>
      </c>
      <c r="T6" s="438">
        <f>Cen!F86</f>
        <v>741.57773999999995</v>
      </c>
      <c r="U6" s="258">
        <f t="shared" si="0"/>
        <v>0</v>
      </c>
    </row>
    <row r="7" spans="1:25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Cen!A91</f>
        <v>Bočnice K 450mm, Orion šedá</v>
      </c>
      <c r="Q7" s="125" t="str">
        <f>Cen!B91</f>
        <v>770K4502S</v>
      </c>
      <c r="R7" s="125" t="str">
        <f>Cen!C91</f>
        <v>OG-M</v>
      </c>
      <c r="S7" s="257">
        <f>SUM(H20:H21,H25:H26,H30:H31)</f>
        <v>0</v>
      </c>
      <c r="T7" s="438">
        <f>Cen!F91</f>
        <v>751.87792000000002</v>
      </c>
      <c r="U7" s="258">
        <f t="shared" si="0"/>
        <v>0</v>
      </c>
    </row>
    <row r="8" spans="1:25" ht="13.5" thickBot="1" x14ac:dyDescent="0.35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333" t="str">
        <f>Cen!A96</f>
        <v>Bočnice K 500mm, Orion šedá</v>
      </c>
      <c r="Q8" s="333" t="str">
        <f>Cen!B96</f>
        <v>770K5002S</v>
      </c>
      <c r="R8" s="333" t="str">
        <f>Cen!C96</f>
        <v>OG-M</v>
      </c>
      <c r="S8" s="257">
        <f>SUM(I20:I21,I25:I26,I30:I31)</f>
        <v>0</v>
      </c>
      <c r="T8" s="438">
        <f>Cen!F96</f>
        <v>762.18404999999996</v>
      </c>
      <c r="U8" s="335">
        <f t="shared" si="0"/>
        <v>0</v>
      </c>
    </row>
    <row r="9" spans="1:25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440">
        <f>U67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Cen!A101</f>
        <v>Bočnice K 550mm, Orion šedá</v>
      </c>
      <c r="Q9" s="125" t="str">
        <f>Cen!B101</f>
        <v>770K5502S</v>
      </c>
      <c r="R9" s="125" t="str">
        <f>Cen!C101</f>
        <v>OG-M</v>
      </c>
      <c r="S9" s="257">
        <f>SUM(J20:J21,J25:J26,J30:J31)</f>
        <v>0</v>
      </c>
      <c r="T9" s="438">
        <f>Cen!F101</f>
        <v>844.68757000000005</v>
      </c>
      <c r="U9" s="258">
        <f t="shared" si="0"/>
        <v>0</v>
      </c>
    </row>
    <row r="10" spans="1:25" ht="13.5" thickBot="1" x14ac:dyDescent="0.3">
      <c r="A10" s="117"/>
      <c r="B10" s="117"/>
      <c r="C10" s="117"/>
      <c r="D10" s="117"/>
      <c r="E10" s="117"/>
      <c r="F10" s="117"/>
      <c r="G10" s="117"/>
      <c r="H10" s="117"/>
      <c r="I10" s="8"/>
      <c r="J10" s="117"/>
      <c r="K10" s="117"/>
      <c r="L10" s="117"/>
      <c r="M10" s="117"/>
      <c r="N10" s="150" t="str">
        <f>" "&amp;List!$B$18</f>
        <v xml:space="preserve"> Souhrn</v>
      </c>
      <c r="O10" s="117"/>
      <c r="P10" s="125" t="str">
        <f>Cen!A106</f>
        <v>Bočnice K 600mm, Orion šedá</v>
      </c>
      <c r="Q10" s="125" t="str">
        <f>Cen!B106</f>
        <v>770K6002S</v>
      </c>
      <c r="R10" s="125" t="str">
        <f>Cen!C106</f>
        <v>OG-M</v>
      </c>
      <c r="S10" s="257">
        <f>IF($Q$1=5, 0, SUM(K20:K21, K25:K26, K30:K31))</f>
        <v>0</v>
      </c>
      <c r="T10" s="438">
        <f>Cen!F106</f>
        <v>920.18425999999999</v>
      </c>
      <c r="U10" s="258">
        <f t="shared" si="0"/>
        <v>0</v>
      </c>
    </row>
    <row r="11" spans="1:25" x14ac:dyDescent="0.25">
      <c r="A11" s="117"/>
      <c r="B11" s="117"/>
      <c r="C11" s="117"/>
      <c r="D11" s="117"/>
      <c r="E11" s="117"/>
      <c r="F11" s="117"/>
      <c r="G11" s="117"/>
      <c r="H11" s="331"/>
      <c r="I11" s="331"/>
      <c r="J11" s="332"/>
      <c r="K11" s="332"/>
      <c r="L11" s="332"/>
      <c r="M11" s="117"/>
      <c r="N11" s="150" t="str">
        <f>" "&amp;List!$B$20</f>
        <v xml:space="preserve"> Objednávka</v>
      </c>
      <c r="O11" s="117"/>
      <c r="P11" s="120"/>
      <c r="Q11" s="120"/>
      <c r="R11" s="120"/>
      <c r="S11" s="121"/>
      <c r="T11" s="115"/>
      <c r="U11" s="116"/>
    </row>
    <row r="12" spans="1:25" ht="13" x14ac:dyDescent="0.25">
      <c r="A12" s="117"/>
      <c r="B12" s="117"/>
      <c r="C12" s="117"/>
      <c r="D12" s="117"/>
      <c r="E12" s="117"/>
      <c r="F12" s="117"/>
      <c r="G12" s="117"/>
      <c r="H12" s="226"/>
      <c r="I12" s="226"/>
      <c r="J12" s="226"/>
      <c r="K12" s="226"/>
      <c r="L12" s="226"/>
      <c r="M12" s="117"/>
      <c r="N12" s="117"/>
      <c r="O12" s="117"/>
      <c r="P12" s="205"/>
      <c r="Q12" s="205"/>
      <c r="R12" s="205"/>
      <c r="S12" s="255"/>
      <c r="T12" s="256"/>
      <c r="U12" s="256"/>
    </row>
    <row r="13" spans="1:25" x14ac:dyDescent="0.25">
      <c r="A13" s="117"/>
      <c r="B13" s="117"/>
      <c r="C13" s="117"/>
      <c r="D13" s="117"/>
      <c r="E13" s="117"/>
      <c r="F13" s="117"/>
      <c r="G13" s="117"/>
      <c r="H13" s="285"/>
      <c r="I13" s="285"/>
      <c r="J13" s="285"/>
      <c r="K13" s="285"/>
      <c r="L13" s="285"/>
      <c r="M13" s="117"/>
      <c r="N13" s="117"/>
      <c r="O13" s="117"/>
      <c r="P13" s="205" t="str">
        <f>Cen!A242</f>
        <v>Korpusové lišty BLUMOTION S, 300mm, 40kg</v>
      </c>
      <c r="Q13" s="205" t="str">
        <f>Cen!B242</f>
        <v>750.3001S</v>
      </c>
      <c r="R13" s="205" t="str">
        <f>Cen!C242</f>
        <v>ZN</v>
      </c>
      <c r="S13" s="255">
        <f>SUM(E$20, E$30)</f>
        <v>0</v>
      </c>
      <c r="T13" s="256">
        <f>Cen!F242</f>
        <v>695.93676999999991</v>
      </c>
      <c r="U13" s="256">
        <f t="shared" ref="U13" si="1">S13*T13</f>
        <v>0</v>
      </c>
    </row>
    <row r="14" spans="1:25" ht="13" x14ac:dyDescent="0.3">
      <c r="A14" s="117"/>
      <c r="B14" s="117"/>
      <c r="C14" s="117"/>
      <c r="D14" s="117"/>
      <c r="E14" s="117"/>
      <c r="F14" s="117"/>
      <c r="G14" s="117"/>
      <c r="H14" s="283"/>
      <c r="I14" s="283"/>
      <c r="J14" s="283"/>
      <c r="K14" s="283"/>
      <c r="L14" s="283"/>
      <c r="M14" s="117"/>
      <c r="N14" s="117"/>
      <c r="O14" s="117"/>
      <c r="P14" s="205" t="str">
        <f>Cen!A243</f>
        <v>Korpusové lišty BLUMOTION S, 350mm, 40kg</v>
      </c>
      <c r="Q14" s="205" t="str">
        <f>Cen!B243</f>
        <v>750.3501S</v>
      </c>
      <c r="R14" s="205" t="str">
        <f>Cen!C243</f>
        <v>ZN</v>
      </c>
      <c r="S14" s="255">
        <f>SUM(F$20, F$30)</f>
        <v>0</v>
      </c>
      <c r="T14" s="256">
        <f>Cen!F243</f>
        <v>695.93676999999991</v>
      </c>
      <c r="U14" s="256">
        <f t="shared" ref="U14:U21" si="2">S14*T14</f>
        <v>0</v>
      </c>
    </row>
    <row r="15" spans="1:25" x14ac:dyDescent="0.25">
      <c r="A15" s="117"/>
      <c r="B15" s="117"/>
      <c r="C15" s="117"/>
      <c r="D15" s="117"/>
      <c r="E15" s="117"/>
      <c r="F15" s="117"/>
      <c r="G15" s="117"/>
      <c r="H15" s="330"/>
      <c r="I15" s="330"/>
      <c r="J15" s="330"/>
      <c r="K15" s="330"/>
      <c r="L15" s="330"/>
      <c r="M15" s="117"/>
      <c r="N15" s="117"/>
      <c r="O15" s="117"/>
      <c r="P15" s="205" t="str">
        <f>Cen!A244</f>
        <v>Korpusové lišty BLUMOTION S, 400mm, 40kg</v>
      </c>
      <c r="Q15" s="205" t="str">
        <f>Cen!B244</f>
        <v>750.4001S</v>
      </c>
      <c r="R15" s="205" t="str">
        <f>Cen!C244</f>
        <v>ZN</v>
      </c>
      <c r="S15" s="255">
        <f>SUM(G$20, G$30)</f>
        <v>0</v>
      </c>
      <c r="T15" s="256">
        <f>Cen!F244</f>
        <v>704.8</v>
      </c>
      <c r="U15" s="256">
        <f t="shared" si="2"/>
        <v>0</v>
      </c>
    </row>
    <row r="16" spans="1:25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Cen!A245</f>
        <v>Korpusové lišty BLUMOTION S, 450mm, 40kg</v>
      </c>
      <c r="Q16" s="205" t="str">
        <f>Cen!B245</f>
        <v>750.4501S</v>
      </c>
      <c r="R16" s="205" t="str">
        <f>Cen!C245</f>
        <v>ZN</v>
      </c>
      <c r="S16" s="255">
        <f>SUM(H$20, H$30)</f>
        <v>0</v>
      </c>
      <c r="T16" s="256">
        <f>Cen!F245</f>
        <v>697.06186000000002</v>
      </c>
      <c r="U16" s="256">
        <f t="shared" si="2"/>
        <v>0</v>
      </c>
    </row>
    <row r="17" spans="1:21" ht="14" x14ac:dyDescent="0.25">
      <c r="A17" s="117"/>
      <c r="B17" s="117"/>
      <c r="C17" s="117"/>
      <c r="D17" s="117"/>
      <c r="E17" s="117"/>
      <c r="F17" s="117"/>
      <c r="G17" s="758"/>
      <c r="H17" s="175"/>
      <c r="I17" s="175"/>
      <c r="J17" s="175"/>
      <c r="K17" s="175"/>
      <c r="L17" s="175"/>
      <c r="M17" s="117"/>
      <c r="N17" s="117"/>
      <c r="O17" s="117"/>
      <c r="P17" s="205" t="str">
        <f>Cen!A246</f>
        <v>Korpusové lišty BLUMOTION S, 450mm, 70kg</v>
      </c>
      <c r="Q17" s="205" t="str">
        <f>Cen!B246</f>
        <v>753.4501S</v>
      </c>
      <c r="R17" s="205" t="str">
        <f>Cen!C246</f>
        <v>ZN</v>
      </c>
      <c r="S17" s="255">
        <f>SUM(H$21, H$31)</f>
        <v>0</v>
      </c>
      <c r="T17" s="256">
        <f>Cen!F246</f>
        <v>881.76589000000013</v>
      </c>
      <c r="U17" s="256">
        <f t="shared" si="2"/>
        <v>0</v>
      </c>
    </row>
    <row r="18" spans="1:21" ht="15.5" x14ac:dyDescent="0.3">
      <c r="A18" s="117"/>
      <c r="B18" s="307" t="s">
        <v>434</v>
      </c>
      <c r="C18" s="7"/>
      <c r="E18" s="701" t="str">
        <f>IF(AND(E20&gt;0, $Q$1=5), $P$89, " ")</f>
        <v xml:space="preserve"> </v>
      </c>
      <c r="H18" s="285"/>
      <c r="I18" s="285"/>
      <c r="J18" s="285"/>
      <c r="K18" s="701" t="str">
        <f>IF(AND(SUM(K20:K21)&gt;0, $Q$1=5), $P$89, " ")</f>
        <v xml:space="preserve"> </v>
      </c>
      <c r="L18" s="285"/>
      <c r="M18" s="117"/>
      <c r="N18" s="117"/>
      <c r="O18" s="117"/>
      <c r="P18" s="336" t="str">
        <f>Cen!A247</f>
        <v>Korpusové lišty BLUMOTION S, 500mm, 40kg</v>
      </c>
      <c r="Q18" s="336" t="str">
        <f>Cen!B247</f>
        <v>750.5001S</v>
      </c>
      <c r="R18" s="336" t="str">
        <f>Cen!C247</f>
        <v>ZN</v>
      </c>
      <c r="S18" s="337">
        <f>SUM(I$20, I$30)</f>
        <v>0</v>
      </c>
      <c r="T18" s="338">
        <f>Cen!F247</f>
        <v>705.71905000000004</v>
      </c>
      <c r="U18" s="256">
        <f t="shared" si="2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3" t="s">
        <v>56</v>
      </c>
      <c r="F19" s="303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0" t="s">
        <v>112</v>
      </c>
      <c r="L19" s="687"/>
      <c r="M19" s="117"/>
      <c r="N19" s="117"/>
      <c r="O19" s="117"/>
      <c r="P19" s="336" t="str">
        <f>Cen!A248</f>
        <v>Korpusové lišty BLUMOTION S, 500mm, 70kg</v>
      </c>
      <c r="Q19" s="336" t="str">
        <f>Cen!B248</f>
        <v>753.5001S</v>
      </c>
      <c r="R19" s="336" t="str">
        <f>Cen!C248</f>
        <v>ZN</v>
      </c>
      <c r="S19" s="337">
        <f>SUM(I$21, I$31)</f>
        <v>0</v>
      </c>
      <c r="T19" s="338">
        <f>Cen!F248</f>
        <v>890.62918000000002</v>
      </c>
      <c r="U19" s="256">
        <f t="shared" si="2"/>
        <v>0</v>
      </c>
    </row>
    <row r="20" spans="1:21" ht="14.5" thickBot="1" x14ac:dyDescent="0.35">
      <c r="A20" s="117"/>
      <c r="B20" s="292" t="s">
        <v>438</v>
      </c>
      <c r="C20" s="293" t="s">
        <v>432</v>
      </c>
      <c r="D20" s="347"/>
      <c r="E20" s="294"/>
      <c r="F20" s="294"/>
      <c r="G20" s="294"/>
      <c r="H20" s="294"/>
      <c r="I20" s="294"/>
      <c r="J20" s="294"/>
      <c r="K20" s="294"/>
      <c r="L20" s="347"/>
      <c r="M20" s="175"/>
      <c r="N20" s="117"/>
      <c r="O20" s="117"/>
      <c r="P20" s="205" t="str">
        <f>Cen!A249</f>
        <v>Korpusové lišty BLUMOTION S, 550mm, 40kg</v>
      </c>
      <c r="Q20" s="205" t="str">
        <f>Cen!B249</f>
        <v>750.5501S</v>
      </c>
      <c r="R20" s="205" t="str">
        <f>Cen!C249</f>
        <v>ZN</v>
      </c>
      <c r="S20" s="255">
        <f>SUM(J$20, J$30)</f>
        <v>0</v>
      </c>
      <c r="T20" s="256">
        <f>Cen!F249</f>
        <v>769.83820000000003</v>
      </c>
      <c r="U20" s="256">
        <f t="shared" si="2"/>
        <v>0</v>
      </c>
    </row>
    <row r="21" spans="1:21" ht="14" x14ac:dyDescent="0.3">
      <c r="A21" s="117"/>
      <c r="B21" s="296" t="s">
        <v>439</v>
      </c>
      <c r="C21" s="306" t="s">
        <v>433</v>
      </c>
      <c r="D21" s="406"/>
      <c r="E21" s="406"/>
      <c r="F21" s="407"/>
      <c r="G21" s="407"/>
      <c r="H21" s="298"/>
      <c r="I21" s="298"/>
      <c r="J21" s="298"/>
      <c r="K21" s="298"/>
      <c r="L21" s="690"/>
      <c r="M21" s="175"/>
      <c r="N21" s="117"/>
      <c r="O21" s="117"/>
      <c r="P21" s="205" t="str">
        <f>Cen!A250</f>
        <v>Korpusové lišty BLUMOTION S, 550mm, 70kg</v>
      </c>
      <c r="Q21" s="205" t="str">
        <f>Cen!B250</f>
        <v>753.5501S</v>
      </c>
      <c r="R21" s="205" t="str">
        <f>Cen!C250</f>
        <v>ZN</v>
      </c>
      <c r="S21" s="255">
        <f>SUM(J$21, J$31)</f>
        <v>0</v>
      </c>
      <c r="T21" s="256">
        <f>Cen!F250</f>
        <v>937.94550000000004</v>
      </c>
      <c r="U21" s="256">
        <f t="shared" si="2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75"/>
      <c r="N22" s="117"/>
      <c r="O22" s="117"/>
      <c r="P22" s="205" t="str">
        <f>Cen!A251</f>
        <v>Korpusové lišty BLUMOTION S, 600mm, 40kg</v>
      </c>
      <c r="Q22" s="205" t="str">
        <f>Cen!B251</f>
        <v>750.6001S</v>
      </c>
      <c r="R22" s="205" t="str">
        <f>Cen!C251</f>
        <v>ZN</v>
      </c>
      <c r="S22" s="255">
        <f>SUM(K$20, K$30)</f>
        <v>0</v>
      </c>
      <c r="T22" s="256">
        <f>Cen!F251</f>
        <v>865.24247000000003</v>
      </c>
      <c r="U22" s="256">
        <f t="shared" ref="U22:U23" si="3">S22*T22</f>
        <v>0</v>
      </c>
    </row>
    <row r="23" spans="1:21" ht="15.5" x14ac:dyDescent="0.35">
      <c r="A23" s="117"/>
      <c r="B23" s="308" t="s">
        <v>228</v>
      </c>
      <c r="C23" s="304"/>
      <c r="E23" s="701" t="str">
        <f>IF(AND(E25&gt;0, $Q$1=5), $P$89, " ")</f>
        <v xml:space="preserve"> </v>
      </c>
      <c r="H23" s="283"/>
      <c r="I23" s="283"/>
      <c r="J23" s="283"/>
      <c r="K23" s="701" t="str">
        <f>IF(AND(SUM(K25:K26)&gt;0, $Q$1=5), $P$89, " ")</f>
        <v xml:space="preserve"> </v>
      </c>
      <c r="L23" s="283"/>
      <c r="M23" s="175"/>
      <c r="N23" s="117"/>
      <c r="O23" s="117"/>
      <c r="P23" s="205" t="str">
        <f>Cen!A252</f>
        <v>Korpusové lišty BLUMOTION S, 600mm, 70kg</v>
      </c>
      <c r="Q23" s="205" t="str">
        <f>Cen!B252</f>
        <v>753.6001S</v>
      </c>
      <c r="R23" s="205" t="str">
        <f>Cen!C252</f>
        <v>ZN</v>
      </c>
      <c r="S23" s="255">
        <f>SUM(K$21, K$31)</f>
        <v>0</v>
      </c>
      <c r="T23" s="256">
        <f>Cen!F252</f>
        <v>1033.34979</v>
      </c>
      <c r="U23" s="256">
        <f t="shared" si="3"/>
        <v>0</v>
      </c>
    </row>
    <row r="24" spans="1:21" ht="15.5" x14ac:dyDescent="0.35">
      <c r="A24" s="117"/>
      <c r="B24" s="308"/>
      <c r="C24" s="315" t="str">
        <f>List!$B$118&amp;":"</f>
        <v>Jmenovitá délka:</v>
      </c>
      <c r="D24" s="303"/>
      <c r="E24" s="303" t="s">
        <v>56</v>
      </c>
      <c r="F24" s="300" t="s">
        <v>523</v>
      </c>
      <c r="G24" s="300" t="s">
        <v>524</v>
      </c>
      <c r="H24" s="300" t="s">
        <v>111</v>
      </c>
      <c r="I24" s="301" t="s">
        <v>525</v>
      </c>
      <c r="J24" s="300" t="s">
        <v>526</v>
      </c>
      <c r="K24" s="300" t="s">
        <v>112</v>
      </c>
      <c r="L24" s="687"/>
      <c r="M24" s="175"/>
      <c r="N24" s="117"/>
      <c r="O24" s="117"/>
      <c r="P24" s="205"/>
      <c r="Q24" s="205"/>
      <c r="R24" s="205"/>
      <c r="S24" s="255"/>
      <c r="T24" s="256"/>
      <c r="U24" s="256"/>
    </row>
    <row r="25" spans="1:21" ht="14.5" thickBot="1" x14ac:dyDescent="0.35">
      <c r="A25" s="117"/>
      <c r="B25" s="292" t="s">
        <v>440</v>
      </c>
      <c r="C25" s="293" t="s">
        <v>432</v>
      </c>
      <c r="D25" s="347"/>
      <c r="E25" s="294"/>
      <c r="F25" s="294"/>
      <c r="G25" s="294"/>
      <c r="H25" s="294"/>
      <c r="I25" s="294"/>
      <c r="J25" s="294"/>
      <c r="K25" s="294"/>
      <c r="L25" s="347"/>
      <c r="M25" s="175"/>
      <c r="N25" s="117"/>
      <c r="O25" s="117"/>
      <c r="P25" s="205"/>
      <c r="Q25" s="205"/>
      <c r="R25" s="205"/>
      <c r="S25" s="255"/>
      <c r="T25" s="256"/>
      <c r="U25" s="256"/>
    </row>
    <row r="26" spans="1:21" ht="14" x14ac:dyDescent="0.3">
      <c r="A26" s="117"/>
      <c r="B26" s="291" t="s">
        <v>445</v>
      </c>
      <c r="C26" s="305" t="s">
        <v>433</v>
      </c>
      <c r="D26" s="406"/>
      <c r="E26" s="406"/>
      <c r="F26" s="407"/>
      <c r="G26" s="407"/>
      <c r="H26" s="298"/>
      <c r="I26" s="298"/>
      <c r="J26" s="298"/>
      <c r="K26" s="298"/>
      <c r="L26" s="690"/>
      <c r="M26" s="175"/>
      <c r="N26" s="117"/>
      <c r="O26" s="117"/>
      <c r="P26" s="205" t="str">
        <f>Cen!A258</f>
        <v>Korpusové lišty TIP-ON, 300mm, 40kg</v>
      </c>
      <c r="Q26" s="205" t="str">
        <f>Cen!B258</f>
        <v>750.3001T</v>
      </c>
      <c r="R26" s="205" t="str">
        <f>Cen!C258</f>
        <v>ZN</v>
      </c>
      <c r="S26" s="255">
        <f>IF($Q$1=5, 0, E25)</f>
        <v>0</v>
      </c>
      <c r="T26" s="256">
        <f>Cen!F258</f>
        <v>963.84325999999999</v>
      </c>
      <c r="U26" s="256">
        <f t="shared" ref="U26" si="4">S26*T26</f>
        <v>0</v>
      </c>
    </row>
    <row r="27" spans="1:21" ht="13" x14ac:dyDescent="0.3">
      <c r="A27" s="117"/>
      <c r="B27" s="282"/>
      <c r="C27" s="282"/>
      <c r="D27" s="117"/>
      <c r="E27" s="117"/>
      <c r="F27" s="117"/>
      <c r="G27" s="117"/>
      <c r="H27" s="142"/>
      <c r="I27" s="142"/>
      <c r="J27" s="117"/>
      <c r="K27" s="117"/>
      <c r="L27" s="117"/>
      <c r="M27" s="175"/>
      <c r="N27" s="117"/>
      <c r="O27" s="117"/>
      <c r="P27" s="205" t="str">
        <f>Cen!A259</f>
        <v>Korpusové lišty TIP-ON, 350mm, 40kg</v>
      </c>
      <c r="Q27" s="205" t="str">
        <f>Cen!B259</f>
        <v>750.3501T</v>
      </c>
      <c r="R27" s="205" t="str">
        <f>Cen!C259</f>
        <v>ZN</v>
      </c>
      <c r="S27" s="255">
        <f>F25</f>
        <v>0</v>
      </c>
      <c r="T27" s="256">
        <f>Cen!F259</f>
        <v>963.84325999999999</v>
      </c>
      <c r="U27" s="256">
        <f t="shared" ref="U27:U34" si="5">S27*T27</f>
        <v>0</v>
      </c>
    </row>
    <row r="28" spans="1:21" ht="15.5" x14ac:dyDescent="0.35">
      <c r="A28" s="117"/>
      <c r="B28" s="308" t="s">
        <v>940</v>
      </c>
      <c r="C28" s="304"/>
      <c r="E28" s="701" t="str">
        <f>IF(AND(E30&gt;0, $Q$1=5), $P$89, " ")</f>
        <v xml:space="preserve"> </v>
      </c>
      <c r="H28" s="283"/>
      <c r="I28" s="283"/>
      <c r="J28" s="283"/>
      <c r="K28" s="701" t="str">
        <f>IF(AND(SUM(K30:K31)&gt;0, $Q$1=5), $P$89, " ")</f>
        <v xml:space="preserve"> </v>
      </c>
      <c r="L28" s="283"/>
      <c r="M28" s="175"/>
      <c r="N28" s="117"/>
      <c r="O28" s="117"/>
      <c r="P28" s="205" t="str">
        <f>Cen!A260</f>
        <v>Korpusové lišty TIP-ON, 400mm, 40kg</v>
      </c>
      <c r="Q28" s="205" t="str">
        <f>Cen!B260</f>
        <v>750.4001T</v>
      </c>
      <c r="R28" s="205" t="str">
        <f>Cen!C260</f>
        <v>ZN</v>
      </c>
      <c r="S28" s="255">
        <f>G25</f>
        <v>0</v>
      </c>
      <c r="T28" s="256">
        <f>Cen!F260</f>
        <v>972.70714999999996</v>
      </c>
      <c r="U28" s="256">
        <f t="shared" si="5"/>
        <v>0</v>
      </c>
    </row>
    <row r="29" spans="1:21" ht="16" thickBot="1" x14ac:dyDescent="0.4">
      <c r="A29" s="117"/>
      <c r="B29" s="308"/>
      <c r="C29" s="315" t="str">
        <f>List!$B$118&amp;":"</f>
        <v>Jmenovitá délka:</v>
      </c>
      <c r="D29" s="303"/>
      <c r="E29" s="303" t="s">
        <v>56</v>
      </c>
      <c r="F29" s="300" t="s">
        <v>523</v>
      </c>
      <c r="G29" s="300" t="s">
        <v>524</v>
      </c>
      <c r="H29" s="300" t="s">
        <v>111</v>
      </c>
      <c r="I29" s="301" t="s">
        <v>525</v>
      </c>
      <c r="J29" s="300" t="s">
        <v>526</v>
      </c>
      <c r="K29" s="300" t="s">
        <v>112</v>
      </c>
      <c r="L29" s="687"/>
      <c r="M29" s="175"/>
      <c r="N29" s="253"/>
      <c r="O29" s="117"/>
      <c r="P29" s="205" t="str">
        <f>Cen!A261</f>
        <v>Korpusové lišty TIP-ON, 450mm, 40kg</v>
      </c>
      <c r="Q29" s="205" t="str">
        <f>Cen!B261</f>
        <v>750.4501T</v>
      </c>
      <c r="R29" s="205" t="str">
        <f>Cen!C261</f>
        <v>ZN</v>
      </c>
      <c r="S29" s="255">
        <f>H25</f>
        <v>0</v>
      </c>
      <c r="T29" s="256">
        <f>Cen!F261</f>
        <v>958.74321999999995</v>
      </c>
      <c r="U29" s="256">
        <f t="shared" si="5"/>
        <v>0</v>
      </c>
    </row>
    <row r="30" spans="1:21" ht="14.5" thickBot="1" x14ac:dyDescent="0.35">
      <c r="A30" s="117"/>
      <c r="B30" s="292" t="s">
        <v>941</v>
      </c>
      <c r="C30" s="293" t="s">
        <v>432</v>
      </c>
      <c r="D30" s="347"/>
      <c r="E30" s="294"/>
      <c r="F30" s="294"/>
      <c r="G30" s="294"/>
      <c r="H30" s="294"/>
      <c r="I30" s="294"/>
      <c r="J30" s="294"/>
      <c r="K30" s="294"/>
      <c r="L30" s="347"/>
      <c r="M30" s="117"/>
      <c r="N30" s="150" t="str">
        <f>" "&amp;List!$B$303</f>
        <v xml:space="preserve"> Výběr sady jednotek</v>
      </c>
      <c r="O30" s="117"/>
      <c r="P30" s="205" t="str">
        <f>Cen!A262</f>
        <v>Korpusové lišty TIP-ON, 450mm, 70kg</v>
      </c>
      <c r="Q30" s="205" t="str">
        <f>Cen!B262</f>
        <v>753.4501T</v>
      </c>
      <c r="R30" s="205" t="str">
        <f>Cen!C262</f>
        <v>ZN</v>
      </c>
      <c r="S30" s="255">
        <f>H26</f>
        <v>0</v>
      </c>
      <c r="T30" s="256">
        <f>Cen!F262</f>
        <v>1142.8525999999999</v>
      </c>
      <c r="U30" s="256">
        <f t="shared" si="5"/>
        <v>0</v>
      </c>
    </row>
    <row r="31" spans="1:21" ht="14" x14ac:dyDescent="0.3">
      <c r="A31" s="117"/>
      <c r="B31" s="291" t="s">
        <v>942</v>
      </c>
      <c r="C31" s="305" t="s">
        <v>433</v>
      </c>
      <c r="D31" s="407"/>
      <c r="E31" s="407"/>
      <c r="F31" s="407"/>
      <c r="G31" s="407"/>
      <c r="H31" s="298"/>
      <c r="I31" s="298"/>
      <c r="J31" s="298"/>
      <c r="K31" s="298"/>
      <c r="L31" s="690"/>
      <c r="M31" s="117"/>
      <c r="N31" s="117"/>
      <c r="O31" s="117"/>
      <c r="P31" s="336" t="str">
        <f>Cen!A263</f>
        <v>Korpusové lišty TIP-ON, 500mm, 40kg</v>
      </c>
      <c r="Q31" s="336" t="str">
        <f>Cen!B263</f>
        <v>750.5001T</v>
      </c>
      <c r="R31" s="336" t="str">
        <f>Cen!C263</f>
        <v>ZN</v>
      </c>
      <c r="S31" s="337">
        <f>I25</f>
        <v>0</v>
      </c>
      <c r="T31" s="338">
        <f>Cen!F263</f>
        <v>967.39513999999997</v>
      </c>
      <c r="U31" s="256">
        <f t="shared" si="5"/>
        <v>0</v>
      </c>
    </row>
    <row r="32" spans="1:21" ht="15.5" x14ac:dyDescent="0.3">
      <c r="A32" s="117"/>
      <c r="B32" s="339"/>
      <c r="C32" s="286"/>
      <c r="D32" s="340"/>
      <c r="E32" s="341"/>
      <c r="F32" s="342"/>
      <c r="G32" s="341"/>
      <c r="H32" s="341"/>
      <c r="I32" s="286"/>
      <c r="J32" s="286"/>
      <c r="K32" s="286"/>
      <c r="L32" s="286"/>
      <c r="M32" s="117"/>
      <c r="N32" s="117"/>
      <c r="O32" s="117"/>
      <c r="P32" s="336" t="str">
        <f>Cen!A264</f>
        <v>Korpusové lišty TIP-ON, 500mm, 70kg</v>
      </c>
      <c r="Q32" s="336" t="str">
        <f>Cen!B264</f>
        <v>753.5001T</v>
      </c>
      <c r="R32" s="336" t="str">
        <f>Cen!C264</f>
        <v>ZN</v>
      </c>
      <c r="S32" s="337">
        <f>I26</f>
        <v>0</v>
      </c>
      <c r="T32" s="338">
        <f>Cen!F264</f>
        <v>1151.7105200000001</v>
      </c>
      <c r="U32" s="256">
        <f t="shared" si="5"/>
        <v>0</v>
      </c>
    </row>
    <row r="33" spans="1:21" ht="12.75" customHeight="1" x14ac:dyDescent="0.3">
      <c r="A33" s="117"/>
      <c r="C33" s="175"/>
      <c r="D33" s="649" t="str">
        <f>List!B312</f>
        <v>Sada jednotek TIP-ON BLUMOTION</v>
      </c>
      <c r="E33" s="175"/>
      <c r="F33" s="175"/>
      <c r="G33" s="175"/>
      <c r="H33" s="175"/>
      <c r="I33" s="723"/>
      <c r="J33" s="723"/>
      <c r="K33" s="723"/>
      <c r="L33" s="723"/>
      <c r="M33" s="117"/>
      <c r="N33" s="117"/>
      <c r="O33" s="117"/>
      <c r="P33" s="205" t="str">
        <f>Cen!A265</f>
        <v>Korpusové lišty TIP-ON, 550mm, 40kg</v>
      </c>
      <c r="Q33" s="205" t="str">
        <f>Cen!B265</f>
        <v>750.5501T</v>
      </c>
      <c r="R33" s="205" t="str">
        <f>Cen!C265</f>
        <v>ZN</v>
      </c>
      <c r="S33" s="255">
        <f>J25</f>
        <v>0</v>
      </c>
      <c r="T33" s="256">
        <f>Cen!F265</f>
        <v>1037.74467</v>
      </c>
      <c r="U33" s="256">
        <f t="shared" si="5"/>
        <v>0</v>
      </c>
    </row>
    <row r="34" spans="1:21" ht="14" x14ac:dyDescent="0.3">
      <c r="A34" s="117"/>
      <c r="B34" s="286"/>
      <c r="C34" s="286"/>
      <c r="D34" s="303" t="s">
        <v>1017</v>
      </c>
      <c r="E34" s="303" t="s">
        <v>946</v>
      </c>
      <c r="F34" s="300" t="s">
        <v>1421</v>
      </c>
      <c r="G34" s="300" t="s">
        <v>948</v>
      </c>
      <c r="H34" s="302" t="s">
        <v>1423</v>
      </c>
      <c r="I34" s="286"/>
      <c r="J34" s="723"/>
      <c r="K34" s="723"/>
      <c r="L34" s="723"/>
      <c r="M34" s="117"/>
      <c r="N34" s="117"/>
      <c r="O34" s="117"/>
      <c r="P34" s="205" t="str">
        <f>Cen!A266</f>
        <v>Korpusové lišty TIP-ON, 550mm, 70kg</v>
      </c>
      <c r="Q34" s="205" t="str">
        <f>Cen!B266</f>
        <v>753.5501T</v>
      </c>
      <c r="R34" s="205" t="str">
        <f>Cen!C266</f>
        <v>ZN</v>
      </c>
      <c r="S34" s="255">
        <f>J26</f>
        <v>0</v>
      </c>
      <c r="T34" s="256">
        <f>Cen!F266</f>
        <v>1199.02684</v>
      </c>
      <c r="U34" s="256">
        <f t="shared" si="5"/>
        <v>0</v>
      </c>
    </row>
    <row r="35" spans="1:21" ht="14.5" thickBot="1" x14ac:dyDescent="0.35">
      <c r="A35" s="117"/>
      <c r="B35" s="175"/>
      <c r="C35" s="286"/>
      <c r="D35" s="294"/>
      <c r="E35" s="294"/>
      <c r="F35" s="294"/>
      <c r="G35" s="294"/>
      <c r="H35" s="295"/>
      <c r="I35" s="652" t="str">
        <f>IF(SUM(F30:K30,H31:L31)=SUM(F35:H35)," ",P87)</f>
        <v xml:space="preserve"> </v>
      </c>
      <c r="M35" s="117"/>
      <c r="O35" s="117"/>
      <c r="P35" s="205" t="str">
        <f>Cen!A267</f>
        <v>Korpusové lišty TIP-ON, 600mm, 40kg</v>
      </c>
      <c r="Q35" s="205" t="str">
        <f>Cen!B267</f>
        <v>750.6001T</v>
      </c>
      <c r="R35" s="205" t="str">
        <f>Cen!C267</f>
        <v>ZN</v>
      </c>
      <c r="S35" s="255">
        <f>IF($Q$1=5, 0, K25)</f>
        <v>0</v>
      </c>
      <c r="T35" s="256">
        <f>Cen!F267</f>
        <v>1133.14894</v>
      </c>
      <c r="U35" s="256">
        <f t="shared" ref="U35:U36" si="6">S35*T35</f>
        <v>0</v>
      </c>
    </row>
    <row r="36" spans="1:21" ht="12.75" customHeight="1" x14ac:dyDescent="0.25">
      <c r="A36" s="117"/>
      <c r="C36" s="724" t="str">
        <f>IF(AND(SUM($D$30,$E$30)&gt;0,SUM($D$35,$E$35)=0),$P$86, IF(AND(SUM($D$30,$E$30)=0,SUM($D$35,$E$35)&gt;0),$P$85, " "))&amp;IF(SUM($D$30,$E$30)&lt;&gt;SUM($D$35,$E$35)," "&amp;$P$88," ")</f>
        <v xml:space="preserve">  </v>
      </c>
      <c r="D36" s="650"/>
      <c r="E36" s="286"/>
      <c r="F36" s="286"/>
      <c r="G36" s="286"/>
      <c r="H36" s="286"/>
      <c r="I36" s="286"/>
      <c r="M36" s="117"/>
      <c r="O36" s="117"/>
      <c r="P36" s="205" t="str">
        <f>Cen!A268</f>
        <v>Korpusové lišty TIP-ON, 600mm, 70kg</v>
      </c>
      <c r="Q36" s="205" t="str">
        <f>Cen!B268</f>
        <v>753.6001T</v>
      </c>
      <c r="R36" s="205" t="str">
        <f>Cen!C268</f>
        <v>ZN</v>
      </c>
      <c r="S36" s="255">
        <f>IF($Q$1=5, 0, K26)</f>
        <v>0</v>
      </c>
      <c r="T36" s="256">
        <f>Cen!F268</f>
        <v>1294.4311299999999</v>
      </c>
      <c r="U36" s="256">
        <f t="shared" si="6"/>
        <v>0</v>
      </c>
    </row>
    <row r="37" spans="1:21" ht="20" customHeight="1" x14ac:dyDescent="0.25">
      <c r="A37" s="117"/>
      <c r="B37" s="175"/>
      <c r="C37" s="175"/>
      <c r="D37" s="725" t="str">
        <f>"        ** "&amp;List!$B$325&amp;"!"</f>
        <v xml:space="preserve">        ** Jednotky L1 nelze kombinovat s lištami se zvýšenou nosností (70 kg)!</v>
      </c>
      <c r="E37" s="175"/>
      <c r="F37" s="175"/>
      <c r="G37" s="175"/>
      <c r="H37" s="175"/>
      <c r="I37" s="175"/>
      <c r="J37" s="117"/>
      <c r="K37" s="117"/>
      <c r="L37" s="117"/>
      <c r="M37" s="117"/>
      <c r="N37" s="117"/>
      <c r="O37" s="117"/>
      <c r="P37" s="142"/>
      <c r="Q37" s="142"/>
      <c r="R37" s="142"/>
      <c r="S37" s="148"/>
      <c r="T37" s="152"/>
      <c r="U37" s="152"/>
    </row>
    <row r="38" spans="1:21" x14ac:dyDescent="0.25">
      <c r="A38" s="117"/>
      <c r="B38" s="175"/>
      <c r="C38" s="175"/>
      <c r="D38" s="725" t="str">
        <f>"       *** "&amp;List!$B$326&amp;"!"</f>
        <v xml:space="preserve">       *** Jednotky L5 nelze kombinovat s lištami se základní nosností (40 kg)!</v>
      </c>
      <c r="E38" s="175"/>
      <c r="F38" s="175"/>
      <c r="G38" s="175"/>
      <c r="H38" s="175"/>
      <c r="I38" s="175"/>
      <c r="J38" s="117"/>
      <c r="K38" s="117"/>
      <c r="L38" s="117"/>
      <c r="M38" s="117"/>
      <c r="N38" s="117"/>
      <c r="O38" s="117"/>
      <c r="P38" s="142"/>
      <c r="Q38" s="142"/>
      <c r="R38" s="142"/>
      <c r="S38" s="148"/>
      <c r="T38" s="152"/>
      <c r="U38" s="152"/>
    </row>
    <row r="39" spans="1:21" x14ac:dyDescent="0.25">
      <c r="A39" s="117"/>
      <c r="B39" s="651"/>
      <c r="C39" s="651"/>
      <c r="D39" s="650"/>
      <c r="O39" s="117"/>
      <c r="P39" s="142"/>
      <c r="Q39" s="142"/>
      <c r="R39" s="142"/>
      <c r="S39" s="148"/>
      <c r="T39" s="152"/>
      <c r="U39" s="152"/>
    </row>
    <row r="40" spans="1:21" x14ac:dyDescent="0.25">
      <c r="A40" s="117"/>
      <c r="D40" s="725" t="str">
        <f>"     "&amp;List!$B$313</f>
        <v xml:space="preserve">     Synchronizace bude přidána automaticky. </v>
      </c>
      <c r="O40" s="117"/>
      <c r="P40" s="142"/>
      <c r="Q40" s="142"/>
      <c r="R40" s="142"/>
      <c r="S40" s="148"/>
      <c r="T40" s="152"/>
      <c r="U40" s="152"/>
    </row>
    <row r="41" spans="1:21" x14ac:dyDescent="0.25">
      <c r="A41" s="117"/>
      <c r="B41" s="175"/>
      <c r="C41" s="175"/>
      <c r="D41" s="725" t="str">
        <f>"     "&amp;List!$B$314</f>
        <v xml:space="preserve">     Pozor! Pro každý výsuv je započítána jedna hřídel. Počet hřídelí upravte v objednávce!</v>
      </c>
      <c r="E41" s="175"/>
      <c r="F41" s="175"/>
      <c r="G41" s="175"/>
      <c r="H41" s="175"/>
      <c r="I41" s="175"/>
      <c r="J41" s="117"/>
      <c r="K41" s="117"/>
      <c r="L41" s="117"/>
      <c r="M41" s="117"/>
      <c r="O41" s="117"/>
      <c r="P41" s="205"/>
      <c r="Q41" s="205"/>
      <c r="R41" s="205"/>
      <c r="S41" s="255"/>
      <c r="T41" s="256"/>
      <c r="U41" s="256"/>
    </row>
    <row r="42" spans="1:21" x14ac:dyDescent="0.25">
      <c r="A42" s="117"/>
      <c r="B42" s="175"/>
      <c r="C42" s="175"/>
      <c r="D42" s="761" t="str">
        <f>IF(AND(Q1=5, OR(E20&gt;0, SUM(K20:K21)&gt;0, E25&gt;0, SUM(K25:K26)&gt;0, E30&gt;0, SUM(K30:K31)&gt;0)), "  * "&amp;$P$90, " ")</f>
        <v xml:space="preserve"> </v>
      </c>
      <c r="E42" s="175"/>
      <c r="F42" s="175"/>
      <c r="G42" s="175"/>
      <c r="H42" s="175"/>
      <c r="I42" s="175"/>
      <c r="J42" s="117"/>
      <c r="K42" s="117"/>
      <c r="L42" s="117"/>
      <c r="M42" s="117"/>
      <c r="N42" s="117"/>
      <c r="O42" s="117"/>
      <c r="P42" s="205"/>
      <c r="Q42" s="205"/>
      <c r="R42" s="205"/>
      <c r="S42" s="255"/>
      <c r="T42" s="256"/>
      <c r="U42" s="256"/>
    </row>
    <row r="43" spans="1:21" x14ac:dyDescent="0.25">
      <c r="A43" s="117"/>
      <c r="B43" s="175"/>
      <c r="C43" s="175"/>
      <c r="D43" s="175"/>
      <c r="E43" s="175"/>
      <c r="F43" s="175"/>
      <c r="G43" s="175"/>
      <c r="H43" s="175"/>
      <c r="I43" s="175"/>
      <c r="J43" s="117"/>
      <c r="K43" s="117"/>
      <c r="L43" s="117"/>
      <c r="M43" s="117"/>
      <c r="N43" s="117"/>
      <c r="O43" s="117"/>
      <c r="P43" s="205"/>
      <c r="Q43" s="205"/>
      <c r="R43" s="205"/>
      <c r="S43" s="121"/>
      <c r="T43" s="256"/>
      <c r="U43" s="256"/>
    </row>
    <row r="44" spans="1:21" x14ac:dyDescent="0.25">
      <c r="A44" s="117"/>
      <c r="B44" s="175"/>
      <c r="C44" s="175"/>
      <c r="D44" s="175"/>
      <c r="E44" s="175"/>
      <c r="F44" s="175"/>
      <c r="G44" s="175"/>
      <c r="H44" s="175"/>
      <c r="I44" s="175"/>
      <c r="J44" s="117"/>
      <c r="K44" s="117"/>
      <c r="L44" s="117"/>
      <c r="M44" s="117"/>
      <c r="N44" s="117"/>
      <c r="O44" s="117"/>
      <c r="P44" s="205"/>
      <c r="Q44" s="205"/>
      <c r="R44" s="205"/>
      <c r="S44" s="121"/>
      <c r="T44" s="256"/>
      <c r="U44" s="256"/>
    </row>
    <row r="45" spans="1:21" x14ac:dyDescent="0.25">
      <c r="A45" s="117"/>
      <c r="B45" s="175"/>
      <c r="C45" s="175"/>
      <c r="D45" s="175"/>
      <c r="E45" s="175"/>
      <c r="F45" s="175"/>
      <c r="G45" s="175"/>
      <c r="H45" s="175"/>
      <c r="I45" s="175"/>
      <c r="J45" s="117"/>
      <c r="K45" s="117"/>
      <c r="L45" s="117"/>
      <c r="M45" s="117"/>
      <c r="N45" s="117"/>
      <c r="O45" s="117"/>
      <c r="P45" s="205"/>
      <c r="Q45" s="205"/>
      <c r="R45" s="205"/>
      <c r="S45" s="121"/>
      <c r="T45" s="256"/>
      <c r="U45" s="256"/>
    </row>
    <row r="46" spans="1:21" x14ac:dyDescent="0.25">
      <c r="A46" s="117"/>
      <c r="B46" s="175"/>
      <c r="C46" s="175"/>
      <c r="D46" s="175"/>
      <c r="E46" s="175"/>
      <c r="F46" s="175"/>
      <c r="G46" s="175"/>
      <c r="H46" s="175"/>
      <c r="I46" s="175"/>
      <c r="J46" s="117"/>
      <c r="K46" s="117"/>
      <c r="L46" s="117"/>
      <c r="M46" s="117"/>
      <c r="N46" s="117"/>
      <c r="O46" s="117"/>
      <c r="P46" s="205"/>
      <c r="Q46" s="205"/>
      <c r="R46" s="205"/>
      <c r="S46" s="121"/>
      <c r="T46" s="256"/>
      <c r="U46" s="256"/>
    </row>
    <row r="47" spans="1:21" ht="13" x14ac:dyDescent="0.3">
      <c r="A47" s="117"/>
      <c r="B47" s="175"/>
      <c r="C47" s="175"/>
      <c r="D47" s="175"/>
      <c r="E47" s="175"/>
      <c r="F47" s="175"/>
      <c r="G47" s="175"/>
      <c r="H47" s="175"/>
      <c r="I47" s="175"/>
      <c r="J47" s="117"/>
      <c r="K47" s="117"/>
      <c r="L47" s="117"/>
      <c r="M47" s="117"/>
      <c r="N47" s="117"/>
      <c r="O47" s="117"/>
      <c r="P47" s="336"/>
      <c r="Q47" s="336"/>
      <c r="R47" s="336"/>
      <c r="S47" s="685"/>
      <c r="T47" s="338"/>
      <c r="U47" s="338"/>
    </row>
    <row r="48" spans="1:21" ht="13" x14ac:dyDescent="0.3">
      <c r="A48" s="117"/>
      <c r="B48" s="175"/>
      <c r="C48" s="175"/>
      <c r="D48" s="175"/>
      <c r="E48" s="175"/>
      <c r="F48" s="175"/>
      <c r="G48" s="175"/>
      <c r="H48" s="175"/>
      <c r="I48" s="175"/>
      <c r="J48" s="117"/>
      <c r="K48" s="117"/>
      <c r="L48" s="117"/>
      <c r="M48" s="117"/>
      <c r="N48" s="117"/>
      <c r="O48" s="117"/>
      <c r="P48" s="336"/>
      <c r="Q48" s="336"/>
      <c r="R48" s="336"/>
      <c r="S48" s="685"/>
      <c r="T48" s="338"/>
      <c r="U48" s="338"/>
    </row>
    <row r="49" spans="1:21" x14ac:dyDescent="0.25">
      <c r="A49" s="117"/>
      <c r="B49" s="175"/>
      <c r="C49" s="175"/>
      <c r="D49" s="175"/>
      <c r="E49" s="175"/>
      <c r="F49" s="175"/>
      <c r="G49" s="175"/>
      <c r="H49" s="175"/>
      <c r="I49" s="175"/>
      <c r="J49" s="117"/>
      <c r="K49" s="117"/>
      <c r="L49" s="117"/>
      <c r="M49" s="117"/>
      <c r="N49" s="117"/>
      <c r="O49" s="117"/>
      <c r="P49" s="205"/>
      <c r="Q49" s="205"/>
      <c r="R49" s="205"/>
      <c r="S49" s="121"/>
      <c r="T49" s="256"/>
      <c r="U49" s="256"/>
    </row>
    <row r="50" spans="1:21" x14ac:dyDescent="0.25">
      <c r="A50" s="117"/>
      <c r="B50" s="175"/>
      <c r="C50" s="175"/>
      <c r="D50" s="175"/>
      <c r="E50" s="175"/>
      <c r="F50" s="175"/>
      <c r="G50" s="175"/>
      <c r="H50" s="175"/>
      <c r="I50" s="175"/>
      <c r="J50" s="117"/>
      <c r="K50" s="117"/>
      <c r="L50" s="117"/>
      <c r="M50" s="117"/>
      <c r="N50" s="117"/>
      <c r="O50" s="117"/>
      <c r="P50" s="205"/>
      <c r="Q50" s="205"/>
      <c r="R50" s="205"/>
      <c r="S50" s="121"/>
      <c r="T50" s="256"/>
      <c r="U50" s="256"/>
    </row>
    <row r="51" spans="1:21" x14ac:dyDescent="0.25">
      <c r="A51" s="117"/>
      <c r="B51" s="175"/>
      <c r="C51" s="175"/>
      <c r="D51" s="175"/>
      <c r="E51" s="175"/>
      <c r="F51" s="175"/>
      <c r="G51" s="175"/>
      <c r="H51" s="175"/>
      <c r="I51" s="175"/>
      <c r="J51" s="117"/>
      <c r="K51" s="117"/>
      <c r="L51" s="117"/>
      <c r="M51" s="117"/>
      <c r="N51" s="117"/>
      <c r="O51" s="117"/>
      <c r="P51" s="205"/>
      <c r="Q51" s="205"/>
      <c r="R51" s="205"/>
      <c r="S51" s="255"/>
      <c r="T51" s="256"/>
      <c r="U51" s="256"/>
    </row>
    <row r="52" spans="1:21" x14ac:dyDescent="0.25">
      <c r="A52" s="117"/>
      <c r="B52" s="175"/>
      <c r="C52" s="175"/>
      <c r="D52" s="175"/>
      <c r="E52" s="175"/>
      <c r="F52" s="175"/>
      <c r="G52" s="175"/>
      <c r="H52" s="175"/>
      <c r="I52" s="175"/>
      <c r="J52" s="117"/>
      <c r="K52" s="117"/>
      <c r="L52" s="117"/>
      <c r="M52" s="117"/>
      <c r="N52" s="117"/>
      <c r="O52" s="117"/>
      <c r="P52" s="205"/>
      <c r="Q52" s="205"/>
      <c r="R52" s="205"/>
      <c r="S52" s="255"/>
      <c r="T52" s="256"/>
      <c r="U52" s="256"/>
    </row>
    <row r="53" spans="1:21" x14ac:dyDescent="0.25">
      <c r="A53" s="117"/>
      <c r="B53" s="175"/>
      <c r="C53" s="175"/>
      <c r="D53" s="175"/>
      <c r="E53" s="175"/>
      <c r="F53" s="175"/>
      <c r="G53" s="175"/>
      <c r="H53" s="175"/>
      <c r="I53" s="175"/>
      <c r="J53" s="117"/>
      <c r="K53" s="117"/>
      <c r="L53" s="117"/>
      <c r="M53" s="117"/>
      <c r="N53" s="117"/>
      <c r="O53" s="117"/>
      <c r="P53" s="205"/>
      <c r="Q53" s="205"/>
      <c r="R53" s="205"/>
      <c r="S53" s="255"/>
      <c r="T53" s="256"/>
      <c r="U53" s="256"/>
    </row>
    <row r="54" spans="1:21" x14ac:dyDescent="0.25">
      <c r="A54" s="117"/>
      <c r="B54" s="175"/>
      <c r="C54" s="175"/>
      <c r="D54" s="175"/>
      <c r="E54" s="175"/>
      <c r="F54" s="175"/>
      <c r="G54" s="175"/>
      <c r="H54" s="175"/>
      <c r="I54" s="175"/>
      <c r="J54" s="117"/>
      <c r="K54" s="117"/>
      <c r="L54" s="117"/>
      <c r="M54" s="117"/>
      <c r="N54" s="117"/>
      <c r="O54" s="117"/>
      <c r="P54" s="205"/>
      <c r="Q54" s="205"/>
      <c r="R54" s="205"/>
      <c r="S54" s="255"/>
      <c r="T54" s="256"/>
      <c r="U54" s="256"/>
    </row>
    <row r="55" spans="1:21" x14ac:dyDescent="0.25">
      <c r="A55" s="117"/>
      <c r="B55" s="175"/>
      <c r="C55" s="175"/>
      <c r="D55" s="175"/>
      <c r="E55" s="175"/>
      <c r="F55" s="175"/>
      <c r="G55" s="175"/>
      <c r="H55" s="175"/>
      <c r="I55" s="175"/>
      <c r="J55" s="117"/>
      <c r="K55" s="117"/>
      <c r="L55" s="117"/>
      <c r="M55" s="117"/>
      <c r="N55" s="117"/>
      <c r="O55" s="117"/>
      <c r="P55" s="205" t="str">
        <f>Cen!A287</f>
        <v>Sada jednotek TIP-ON BLUMOTION, S0</v>
      </c>
      <c r="Q55" s="205" t="str">
        <f>Cen!B287</f>
        <v>T60L7040</v>
      </c>
      <c r="R55" s="205" t="str">
        <f>Cen!C287</f>
        <v>ZN</v>
      </c>
      <c r="S55" s="121">
        <f>D35</f>
        <v>0</v>
      </c>
      <c r="T55" s="256">
        <f>Cen!F287</f>
        <v>478.94060000000007</v>
      </c>
      <c r="U55" s="256">
        <f t="shared" ref="U55:U56" si="7">S55*T55</f>
        <v>0</v>
      </c>
    </row>
    <row r="56" spans="1:21" x14ac:dyDescent="0.25">
      <c r="A56" s="117"/>
      <c r="B56" s="175"/>
      <c r="C56" s="175"/>
      <c r="D56" s="175"/>
      <c r="E56" s="175"/>
      <c r="F56" s="175"/>
      <c r="G56" s="175"/>
      <c r="H56" s="175"/>
      <c r="I56" s="175"/>
      <c r="J56" s="117"/>
      <c r="K56" s="117"/>
      <c r="L56" s="117"/>
      <c r="M56" s="117"/>
      <c r="N56" s="117"/>
      <c r="O56" s="117"/>
      <c r="P56" s="205" t="str">
        <f>Cen!A288</f>
        <v>Sada jednotek TIP-ON BLUMOTION, S1</v>
      </c>
      <c r="Q56" s="205" t="str">
        <f>Cen!B288</f>
        <v>T60L7140</v>
      </c>
      <c r="R56" s="205" t="str">
        <f>Cen!C288</f>
        <v>ZN</v>
      </c>
      <c r="S56" s="121">
        <f>E35</f>
        <v>0</v>
      </c>
      <c r="T56" s="256">
        <f>Cen!F288</f>
        <v>478.94060000000007</v>
      </c>
      <c r="U56" s="256">
        <f t="shared" si="7"/>
        <v>0</v>
      </c>
    </row>
    <row r="57" spans="1:21" x14ac:dyDescent="0.25">
      <c r="B57" s="286"/>
      <c r="C57" s="286"/>
      <c r="D57" s="286"/>
      <c r="E57" s="286"/>
      <c r="F57" s="286"/>
      <c r="G57" s="286"/>
      <c r="H57" s="286"/>
      <c r="I57" s="286"/>
      <c r="N57" s="117"/>
      <c r="O57" s="117"/>
      <c r="P57" s="205" t="str">
        <f>Cen!A289</f>
        <v>Sada jednotek TIP-ON BLUMOTION, L1</v>
      </c>
      <c r="Q57" s="205" t="str">
        <f>Cen!B289</f>
        <v>T60L7340</v>
      </c>
      <c r="R57" s="205" t="str">
        <f>Cen!C289</f>
        <v>ZN</v>
      </c>
      <c r="S57" s="121">
        <f>F35</f>
        <v>0</v>
      </c>
      <c r="T57" s="256">
        <f>Cen!F289</f>
        <v>467.80245000000002</v>
      </c>
      <c r="U57" s="256">
        <f t="shared" ref="U57:U59" si="8">S57*T57</f>
        <v>0</v>
      </c>
    </row>
    <row r="58" spans="1:21" x14ac:dyDescent="0.25">
      <c r="B58" s="175"/>
      <c r="C58" s="286"/>
      <c r="D58" s="286"/>
      <c r="E58" s="286"/>
      <c r="F58" s="286"/>
      <c r="G58" s="286"/>
      <c r="H58" s="286"/>
      <c r="I58" s="286"/>
      <c r="O58" s="117"/>
      <c r="P58" s="205" t="str">
        <f>Cen!A290</f>
        <v>Sada jednotek TIP-ON BLUMOTION, L3</v>
      </c>
      <c r="Q58" s="205" t="str">
        <f>Cen!B290</f>
        <v>T60L7540</v>
      </c>
      <c r="R58" s="205" t="str">
        <f>Cen!C290</f>
        <v>ZN</v>
      </c>
      <c r="S58" s="121">
        <f>G35</f>
        <v>0</v>
      </c>
      <c r="T58" s="256">
        <f>Cen!F290</f>
        <v>467.80245000000002</v>
      </c>
      <c r="U58" s="256">
        <f t="shared" si="8"/>
        <v>0</v>
      </c>
    </row>
    <row r="59" spans="1:21" x14ac:dyDescent="0.25">
      <c r="B59" s="175"/>
      <c r="C59" s="286"/>
      <c r="D59" s="286"/>
      <c r="E59" s="286"/>
      <c r="F59" s="286"/>
      <c r="G59" s="286"/>
      <c r="H59" s="286"/>
      <c r="I59" s="286"/>
      <c r="O59" s="117"/>
      <c r="P59" s="205" t="str">
        <f>Cen!A291</f>
        <v>Sada jednotek TIP-ON BLUMOTION, L5</v>
      </c>
      <c r="Q59" s="205" t="str">
        <f>Cen!B291</f>
        <v>T60L7570</v>
      </c>
      <c r="R59" s="205" t="str">
        <f>Cen!C291</f>
        <v>ZN</v>
      </c>
      <c r="S59" s="121">
        <f>H35</f>
        <v>0</v>
      </c>
      <c r="T59" s="256">
        <f>Cen!F291</f>
        <v>467.80245000000002</v>
      </c>
      <c r="U59" s="256">
        <f t="shared" si="8"/>
        <v>0</v>
      </c>
    </row>
    <row r="60" spans="1:21" x14ac:dyDescent="0.25">
      <c r="P60" s="205"/>
      <c r="Q60" s="205"/>
      <c r="R60" s="205"/>
      <c r="S60" s="255"/>
      <c r="T60" s="256"/>
      <c r="U60" s="256"/>
    </row>
    <row r="61" spans="1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1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1:21" x14ac:dyDescent="0.25">
      <c r="P63" s="117"/>
      <c r="Q63" s="117"/>
    </row>
    <row r="64" spans="1:21" x14ac:dyDescent="0.25">
      <c r="P64" s="120" t="str">
        <f>Cen!A324</f>
        <v>Držáky zadní stěny K, Orion šedá</v>
      </c>
      <c r="Q64" s="120" t="str">
        <f>Cen!B324</f>
        <v>ZB7K000S</v>
      </c>
      <c r="R64" s="120" t="str">
        <f>Cen!C324</f>
        <v>OG-M</v>
      </c>
      <c r="S64" s="121">
        <f>SUM($S$3:$S$10)</f>
        <v>0</v>
      </c>
      <c r="T64" s="116">
        <f>Cen!$F324</f>
        <v>43.05771</v>
      </c>
      <c r="U64" s="116">
        <f>S64*T64</f>
        <v>0</v>
      </c>
    </row>
    <row r="65" spans="16:21" x14ac:dyDescent="0.25">
      <c r="P65" s="120" t="str">
        <f>Cen!A350</f>
        <v>Čelní kování K, na vruty</v>
      </c>
      <c r="Q65" s="120" t="str">
        <f>Cen!B350</f>
        <v>ZF7K7002</v>
      </c>
      <c r="R65" s="120" t="str">
        <f>Cen!C350</f>
        <v>BL</v>
      </c>
      <c r="S65" s="121">
        <f>SUM($S$3:$S$10)*2</f>
        <v>0</v>
      </c>
      <c r="T65" s="116">
        <f>Cen!F350</f>
        <v>15.18336</v>
      </c>
      <c r="U65" s="116">
        <f>S65*T65</f>
        <v>0</v>
      </c>
    </row>
    <row r="66" spans="16:21" x14ac:dyDescent="0.25">
      <c r="P66" s="117"/>
      <c r="Q66" s="117"/>
    </row>
    <row r="67" spans="16:21" x14ac:dyDescent="0.25">
      <c r="P67" s="117"/>
      <c r="Q67" s="117"/>
      <c r="S67" s="74" t="str">
        <f>List!$B$97</f>
        <v>cena kování</v>
      </c>
      <c r="U67" s="346">
        <f>SUM(U3:U66)</f>
        <v>0</v>
      </c>
    </row>
    <row r="68" spans="16:21" x14ac:dyDescent="0.25">
      <c r="P68" s="117"/>
      <c r="Q68" s="117"/>
    </row>
    <row r="69" spans="16:21" x14ac:dyDescent="0.25">
      <c r="P69" s="117"/>
      <c r="Q69" s="117"/>
    </row>
    <row r="85" spans="16:16" x14ac:dyDescent="0.25">
      <c r="P85" s="117" t="str">
        <f>List!B316&amp;"!"</f>
        <v>S0 a S1 pouze pro jmenovitou délku 270 a 300 mm!</v>
      </c>
    </row>
    <row r="86" spans="16:16" x14ac:dyDescent="0.25">
      <c r="P86" s="117" t="str">
        <f>List!B317&amp;"!"</f>
        <v>Pro výsuvy délky 270 a 300 mm vyberte jednotky S0 nebo S1!</v>
      </c>
    </row>
    <row r="87" spans="16:16" x14ac:dyDescent="0.25">
      <c r="P87" s="117" t="str">
        <f>List!B318&amp;"!"</f>
        <v>Počet jednotek L neodpovídá počtu korpusových lišt!</v>
      </c>
    </row>
    <row r="88" spans="16:16" x14ac:dyDescent="0.25">
      <c r="P88" s="117" t="str">
        <f>List!B319&amp;"!"</f>
        <v>Počet jednotek S neodpovídá počtu korpusových lišt!</v>
      </c>
    </row>
    <row r="89" spans="16:16" x14ac:dyDescent="0.25">
      <c r="P89" s="117" t="str">
        <f>List!B182&amp;"*"</f>
        <v>nelze*</v>
      </c>
    </row>
    <row r="90" spans="16:16" x14ac:dyDescent="0.25">
      <c r="P90" s="117" t="str">
        <f>List!B185&amp;"!"</f>
        <v>Pro výšku K nejsou jmenovité délky 300 a 600 mm v provedení Inox k dispozici!</v>
      </c>
    </row>
    <row r="99" spans="1:14" x14ac:dyDescent="0.25">
      <c r="A99" s="823"/>
    </row>
    <row r="100" spans="1:14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5.25" customHeight="1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 t="s">
        <v>978</v>
      </c>
      <c r="E106" s="838"/>
      <c r="F106" s="839"/>
      <c r="G106" s="721" t="s">
        <v>1017</v>
      </c>
      <c r="H106" s="873" t="s">
        <v>1016</v>
      </c>
      <c r="I106" s="874"/>
      <c r="J106" s="696" t="s">
        <v>1019</v>
      </c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721" t="s">
        <v>946</v>
      </c>
      <c r="H107" s="873" t="s">
        <v>949</v>
      </c>
      <c r="I107" s="874"/>
      <c r="J107" s="696" t="s">
        <v>1020</v>
      </c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thickBot="1" x14ac:dyDescent="0.3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  <c r="N112" s="700" t="str">
        <f>" "&amp;List!$B$112</f>
        <v xml:space="preserve"> Zpět</v>
      </c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0H4gzOhIpvaTU+yuGPHD1Atq3lkVpEi5ChuUP8xdAoT5LweDOXhs65a3OlnQhoXgMRTnzX4J42oUU7eXijSoFA==" saltValue="k+0LIugGCOpLPHXtWDdeqw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phoneticPr fontId="52" type="noConversion"/>
  <hyperlinks>
    <hyperlink ref="N3" location="Form!A1" tooltip=" " display="Form!A1" xr:uid="{00000000-0004-0000-0500-000000000000}"/>
    <hyperlink ref="N4" location="Menu!A1" tooltip=" " display="Menu!A1" xr:uid="{00000000-0004-0000-0500-000001000000}"/>
    <hyperlink ref="N7" location="Acs!A1" tooltip=" " display="Acs!A1" xr:uid="{00000000-0004-0000-0500-000002000000}"/>
    <hyperlink ref="N8" location="SD!A1" tooltip=" " display="SD!A1" xr:uid="{00000000-0004-0000-0500-000003000000}"/>
    <hyperlink ref="N10" location="Sum!A1" tooltip=" " display="Sum!A1" xr:uid="{00000000-0004-0000-0500-000004000000}"/>
    <hyperlink ref="N11" location="Ord!A1" tooltip=" " display="Ord!A1" xr:uid="{00000000-0004-0000-0500-000005000000}"/>
    <hyperlink ref="N9" location="AL!A1" tooltip=" " display="AL!A1" xr:uid="{00000000-0004-0000-0500-000006000000}"/>
    <hyperlink ref="N30" location="'7K400P'!A100" tooltip=" " display="'7K400P'!A100" xr:uid="{00000000-0004-0000-0500-000007000000}"/>
    <hyperlink ref="N112" location="'7K400P'!A1" tooltip=" " display="'7K400P'!A1" xr:uid="{00000000-0004-0000-05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1">
    <tabColor indexed="22"/>
  </sheetPr>
  <dimension ref="A1:W140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8.269531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List!$B$52&amp;" C"</f>
        <v>Čelní výsuv C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Cen!A111</f>
        <v>Bočnice C pure, 270mm, Orion šedá</v>
      </c>
      <c r="Q3" s="125" t="str">
        <f>Cen!B111</f>
        <v>770C2702S</v>
      </c>
      <c r="R3" s="125" t="str">
        <f>Cen!C111</f>
        <v>OG-M</v>
      </c>
      <c r="S3" s="257">
        <f>SUM(D20,D26,D32)</f>
        <v>0</v>
      </c>
      <c r="T3" s="261">
        <f>Cen!F111</f>
        <v>920.62116000000003</v>
      </c>
      <c r="U3" s="258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Cen!A116</f>
        <v>Bočnice C pure, 300mm, Orion šedá</v>
      </c>
      <c r="Q4" s="125" t="str">
        <f>Cen!B116</f>
        <v>770C3002S</v>
      </c>
      <c r="R4" s="125" t="str">
        <f>Cen!C116</f>
        <v>OG-M</v>
      </c>
      <c r="S4" s="257">
        <f>SUM(E20,E26,E32)</f>
        <v>0</v>
      </c>
      <c r="T4" s="261">
        <f>Cen!F116</f>
        <v>920.62116000000003</v>
      </c>
      <c r="U4" s="258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Cen!A121</f>
        <v>Bočnice C pure, 350mm, Orion šedá</v>
      </c>
      <c r="Q5" s="125" t="str">
        <f>Cen!B121</f>
        <v>770C3502S</v>
      </c>
      <c r="R5" s="125" t="str">
        <f>Cen!C121</f>
        <v>OG-M</v>
      </c>
      <c r="S5" s="257">
        <f>SUM(F20,F26,F32)</f>
        <v>0</v>
      </c>
      <c r="T5" s="261">
        <f>Cen!F121</f>
        <v>920.62116000000003</v>
      </c>
      <c r="U5" s="258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125" t="str">
        <f>Cen!A126</f>
        <v>Bočnice C pure, 400mm, Orion šedá</v>
      </c>
      <c r="Q6" s="125" t="str">
        <f>Cen!B126</f>
        <v>770C4002S</v>
      </c>
      <c r="R6" s="125" t="str">
        <f>Cen!C126</f>
        <v>OG-M</v>
      </c>
      <c r="S6" s="257">
        <f>SUM(G20,G26,G32)</f>
        <v>0</v>
      </c>
      <c r="T6" s="261">
        <f>Cen!F126</f>
        <v>931.92665999999997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Cen!A131</f>
        <v>Bočnice C pure, 450mm, Orion šedá</v>
      </c>
      <c r="Q7" s="125" t="str">
        <f>Cen!B131</f>
        <v>770C4502S</v>
      </c>
      <c r="R7" s="125" t="str">
        <f>Cen!C131</f>
        <v>OG-M</v>
      </c>
      <c r="S7" s="257">
        <f>SUM(H20:H21,H26:H27,H32:H33)</f>
        <v>0</v>
      </c>
      <c r="T7" s="261">
        <f>Cen!F131</f>
        <v>921.30178999999998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257">
        <f>SUM(I20:I21,I26:I27,I32:I33)</f>
        <v>0</v>
      </c>
      <c r="T8" s="261">
        <f>Cen!F136</f>
        <v>932.34378000000004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$U$67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257">
        <f>SUM(J20:J21,J26:J27,J32:J33)</f>
        <v>0</v>
      </c>
      <c r="T9" s="261">
        <f>Cen!F141</f>
        <v>1011.04004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Cen!A146</f>
        <v>Bočnice C pure, 600mm, Orion šedá</v>
      </c>
      <c r="Q10" s="125" t="str">
        <f>Cen!B146</f>
        <v>770C6002S</v>
      </c>
      <c r="R10" s="125" t="str">
        <f>Cen!C146</f>
        <v>OG-M</v>
      </c>
      <c r="S10" s="257">
        <f>SUM(K20:K21,K26:K27,K32:K33)</f>
        <v>0</v>
      </c>
      <c r="T10" s="261">
        <f>Cen!F146</f>
        <v>1127.97047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Cen!A151</f>
        <v>Bočnice C pure, 650mm, Orion šedá</v>
      </c>
      <c r="Q11" s="125" t="str">
        <f>Cen!B151</f>
        <v>770C6502S</v>
      </c>
      <c r="R11" s="125" t="str">
        <f>Cen!C151</f>
        <v>OG-M</v>
      </c>
      <c r="S11" s="257">
        <f>SUM(L21,L27,L33)</f>
        <v>0</v>
      </c>
      <c r="T11" s="261">
        <f>Cen!F151</f>
        <v>1167.5130999999999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448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449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 t="s">
        <v>522</v>
      </c>
      <c r="E25" s="300" t="s">
        <v>56</v>
      </c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450</v>
      </c>
      <c r="C26" s="293" t="s">
        <v>432</v>
      </c>
      <c r="D26" s="294"/>
      <c r="E26" s="294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451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142"/>
      <c r="I28" s="142"/>
      <c r="J28" s="117"/>
      <c r="K28" s="117"/>
      <c r="L28" s="117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 t="s">
        <v>522</v>
      </c>
      <c r="E31" s="300" t="s">
        <v>56</v>
      </c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294"/>
      <c r="E32" s="294"/>
      <c r="F32" s="294"/>
      <c r="G32" s="294"/>
      <c r="H32" s="294"/>
      <c r="I32" s="294"/>
      <c r="J32" s="294"/>
      <c r="K32" s="295"/>
      <c r="L32" s="559"/>
      <c r="M32" s="117"/>
      <c r="N32" s="117"/>
      <c r="O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2.75" customHeight="1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O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O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 t="s">
        <v>1017</v>
      </c>
      <c r="E36" s="303" t="s">
        <v>946</v>
      </c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294"/>
      <c r="E37" s="294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724" t="str">
        <f>IF(AND(SUM($D$32,$E$32)&gt;0,SUM($D$37,$E$37)=0),$P$85, IF(AND(SUM($D$32,$E$32)=0,SUM($D$37,$E$37)&gt;0),$P$84, " "))&amp;IF(SUM($D$32,$E$32)&lt;&gt;SUM($D$37,$E$37)," "&amp;$P$87," ")</f>
        <v xml:space="preserve">  </v>
      </c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25">
      <c r="D39" s="725" t="str">
        <f>"        ** "&amp;List!$B$325&amp;"!"</f>
        <v xml:space="preserve">        ** Jednotky L1 nelze kombinovat s lištami se zvýšenou nosností (70 kg)!</v>
      </c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x14ac:dyDescent="0.25">
      <c r="D40" s="725" t="str">
        <f>"       *** "&amp;List!$B$326&amp;"!"</f>
        <v xml:space="preserve">       *** Jednotky L5 nelze kombinovat s lištami se základní nosností (40 kg)!</v>
      </c>
      <c r="P40" s="142"/>
      <c r="Q40" s="142"/>
      <c r="R40" s="142"/>
      <c r="S40" s="148"/>
      <c r="T40" s="152"/>
      <c r="U40" s="152"/>
    </row>
    <row r="41" spans="2:21" x14ac:dyDescent="0.25">
      <c r="B41" s="651"/>
      <c r="C41" s="651"/>
      <c r="D41" s="650"/>
      <c r="P41" s="120"/>
      <c r="Q41" s="120"/>
      <c r="R41" s="120"/>
      <c r="S41" s="121"/>
      <c r="T41" s="116"/>
      <c r="U41" s="116"/>
    </row>
    <row r="42" spans="2:21" x14ac:dyDescent="0.25">
      <c r="D42" s="725" t="str">
        <f>"     "&amp;List!$B$313</f>
        <v xml:space="preserve">     Synchronizace bude přidána automaticky. </v>
      </c>
      <c r="P42" s="120"/>
      <c r="Q42" s="120"/>
      <c r="R42" s="120"/>
      <c r="S42" s="121"/>
      <c r="T42" s="116"/>
      <c r="U42" s="116"/>
    </row>
    <row r="43" spans="2:21" x14ac:dyDescent="0.25">
      <c r="D43" s="725" t="str">
        <f>"     "&amp;List!$B$314</f>
        <v xml:space="preserve">     Pozor! Pro každý výsuv je započítána jedna hřídel. Počet hřídelí upravte v objednávce!</v>
      </c>
      <c r="P43" s="120"/>
      <c r="Q43" s="120"/>
      <c r="R43" s="120"/>
      <c r="S43" s="121"/>
      <c r="T43" s="116"/>
      <c r="U43" s="116"/>
    </row>
    <row r="44" spans="2:21" x14ac:dyDescent="0.25">
      <c r="P44" s="120"/>
      <c r="Q44" s="120"/>
      <c r="R44" s="120"/>
      <c r="S44" s="121"/>
      <c r="T44" s="116"/>
      <c r="U44" s="116"/>
    </row>
    <row r="45" spans="2:21" x14ac:dyDescent="0.25">
      <c r="P45" s="120"/>
      <c r="Q45" s="120"/>
      <c r="R45" s="120"/>
      <c r="S45" s="121"/>
      <c r="T45" s="116"/>
      <c r="U45" s="116"/>
    </row>
    <row r="46" spans="2:21" x14ac:dyDescent="0.25">
      <c r="P46" s="120"/>
      <c r="Q46" s="120"/>
      <c r="R46" s="120"/>
      <c r="S46" s="121"/>
      <c r="T46" s="116"/>
      <c r="U46" s="116"/>
    </row>
    <row r="47" spans="2:21" ht="13" x14ac:dyDescent="0.3">
      <c r="P47" s="684"/>
      <c r="Q47" s="684"/>
      <c r="R47" s="684"/>
      <c r="S47" s="685"/>
      <c r="T47" s="686"/>
      <c r="U47" s="686"/>
    </row>
    <row r="48" spans="2:21" ht="13" x14ac:dyDescent="0.3">
      <c r="P48" s="684"/>
      <c r="Q48" s="684"/>
      <c r="R48" s="684"/>
      <c r="S48" s="685"/>
      <c r="T48" s="686"/>
      <c r="U48" s="686"/>
    </row>
    <row r="49" spans="16:21" x14ac:dyDescent="0.25">
      <c r="P49" s="120"/>
      <c r="Q49" s="120"/>
      <c r="R49" s="120"/>
      <c r="S49" s="121"/>
      <c r="T49" s="116"/>
      <c r="U49" s="116"/>
    </row>
    <row r="50" spans="16:21" x14ac:dyDescent="0.25">
      <c r="P50" s="120"/>
      <c r="Q50" s="120"/>
      <c r="R50" s="120"/>
      <c r="S50" s="121"/>
      <c r="T50" s="116"/>
      <c r="U50" s="116"/>
    </row>
    <row r="51" spans="16:21" x14ac:dyDescent="0.25">
      <c r="P51" s="120"/>
      <c r="Q51" s="120"/>
      <c r="R51" s="120"/>
      <c r="S51" s="121"/>
      <c r="T51" s="116"/>
      <c r="U51" s="116"/>
    </row>
    <row r="52" spans="16:21" x14ac:dyDescent="0.25">
      <c r="P52" s="120"/>
      <c r="Q52" s="120"/>
      <c r="R52" s="120"/>
      <c r="S52" s="121"/>
      <c r="T52" s="116"/>
      <c r="U52" s="116"/>
    </row>
    <row r="53" spans="16:21" x14ac:dyDescent="0.25">
      <c r="P53" s="120"/>
      <c r="Q53" s="120"/>
      <c r="R53" s="120"/>
      <c r="S53" s="121"/>
      <c r="T53" s="116"/>
      <c r="U53" s="116"/>
    </row>
    <row r="54" spans="16:21" x14ac:dyDescent="0.25">
      <c r="P54" s="120"/>
      <c r="Q54" s="120"/>
      <c r="R54" s="120"/>
      <c r="S54" s="121"/>
      <c r="T54" s="116"/>
      <c r="U54" s="116"/>
    </row>
    <row r="55" spans="16:21" x14ac:dyDescent="0.25"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16:21" x14ac:dyDescent="0.25">
      <c r="P60" s="142"/>
      <c r="Q60" s="142"/>
      <c r="R60" s="142"/>
      <c r="S60" s="148"/>
      <c r="T60" s="152"/>
      <c r="U60" s="152"/>
    </row>
    <row r="61" spans="16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16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16:21" x14ac:dyDescent="0.25">
      <c r="P63" s="117"/>
      <c r="Q63" s="117"/>
    </row>
    <row r="64" spans="16:21" x14ac:dyDescent="0.25"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SUM($S$3:$S$11)</f>
        <v>0</v>
      </c>
      <c r="T64" s="116">
        <f>Cen!$F329</f>
        <v>47.092230000000001</v>
      </c>
      <c r="U64" s="116">
        <f>S64*T64</f>
        <v>0</v>
      </c>
    </row>
    <row r="65" spans="16:21" x14ac:dyDescent="0.25">
      <c r="P65" s="120" t="str">
        <f>Cen!A353</f>
        <v>Čelní kování C, na vruty</v>
      </c>
      <c r="Q65" s="120" t="str">
        <f>Cen!B353</f>
        <v>ZF7C7002</v>
      </c>
      <c r="R65" s="120" t="str">
        <f>Cen!C353</f>
        <v>BL</v>
      </c>
      <c r="S65" s="121">
        <f>SUM($S$3:$S$11)*2</f>
        <v>0</v>
      </c>
      <c r="T65" s="116">
        <f>Cen!F353</f>
        <v>18.390879999999999</v>
      </c>
      <c r="U65" s="116">
        <f>S65*T65</f>
        <v>0</v>
      </c>
    </row>
    <row r="66" spans="16:21" x14ac:dyDescent="0.25">
      <c r="P66" s="117"/>
      <c r="Q66" s="117"/>
    </row>
    <row r="67" spans="16:21" x14ac:dyDescent="0.25">
      <c r="P67" s="117"/>
      <c r="Q67" s="117"/>
      <c r="S67" s="74" t="str">
        <f>List!$B$97</f>
        <v>cena kování</v>
      </c>
      <c r="U67" s="346">
        <f>SUM(U3:U66)</f>
        <v>0</v>
      </c>
    </row>
    <row r="68" spans="16:21" x14ac:dyDescent="0.25">
      <c r="P68" s="117"/>
      <c r="Q68" s="117"/>
    </row>
    <row r="69" spans="16:21" x14ac:dyDescent="0.25">
      <c r="P69" s="117"/>
      <c r="Q69" s="117"/>
    </row>
    <row r="70" spans="16:21" x14ac:dyDescent="0.25">
      <c r="P70" s="117"/>
      <c r="Q70" s="117"/>
    </row>
    <row r="71" spans="16:21" x14ac:dyDescent="0.25">
      <c r="P71" s="117"/>
      <c r="Q71" s="117"/>
    </row>
    <row r="72" spans="16:21" x14ac:dyDescent="0.25">
      <c r="P72" s="117"/>
      <c r="Q72" s="117"/>
    </row>
    <row r="73" spans="16:21" x14ac:dyDescent="0.25">
      <c r="P73" s="117"/>
      <c r="Q73" s="117"/>
    </row>
    <row r="74" spans="16:21" x14ac:dyDescent="0.25">
      <c r="P74" s="117"/>
      <c r="Q74" s="117"/>
    </row>
    <row r="75" spans="16:21" x14ac:dyDescent="0.25">
      <c r="P75" s="117"/>
      <c r="Q75" s="117"/>
    </row>
    <row r="84" spans="16:16" x14ac:dyDescent="0.25">
      <c r="P84" s="117" t="str">
        <f>List!$B$316&amp;"!"</f>
        <v>S0 a S1 pouze pro jmenovitou délku 270 a 300 mm!</v>
      </c>
    </row>
    <row r="85" spans="16:16" x14ac:dyDescent="0.25">
      <c r="P85" s="117" t="str">
        <f>List!$B$317&amp;"!"</f>
        <v>Pro výsuvy délky 270 a 300 mm vyberte jednotky S0 nebo S1!</v>
      </c>
    </row>
    <row r="86" spans="16:16" x14ac:dyDescent="0.25">
      <c r="P86" s="117" t="str">
        <f>List!$B$318&amp;"!"</f>
        <v>Počet jednotek L neodpovídá počtu korpusových lišt!</v>
      </c>
    </row>
    <row r="87" spans="16:16" x14ac:dyDescent="0.25">
      <c r="P87" s="117" t="str">
        <f>List!$B$319&amp;"!"</f>
        <v>Počet jednotek S neodpovídá počtu korpusových lišt!</v>
      </c>
    </row>
    <row r="99" spans="1:14" x14ac:dyDescent="0.25">
      <c r="A99" s="823"/>
    </row>
    <row r="100" spans="1:14" ht="13.5" customHeight="1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ht="13.5" customHeight="1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4" customHeight="1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 t="s">
        <v>978</v>
      </c>
      <c r="E106" s="838"/>
      <c r="F106" s="839"/>
      <c r="G106" s="721" t="s">
        <v>1017</v>
      </c>
      <c r="H106" s="873" t="s">
        <v>1016</v>
      </c>
      <c r="I106" s="874"/>
      <c r="J106" s="696" t="s">
        <v>1019</v>
      </c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721" t="s">
        <v>946</v>
      </c>
      <c r="H107" s="873" t="s">
        <v>949</v>
      </c>
      <c r="I107" s="874"/>
      <c r="J107" s="696" t="s">
        <v>1020</v>
      </c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RztVxmWNqGUORWzYTia7+Z7DFKVobIawDZmF7hKOgWh1feLXd3IcOZp5cfKzIAEObEAIWMIMMJQBa5q/ZeLVbw==" saltValue="989Z6JIPwPsZ/RE7QnRfjA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phoneticPr fontId="52" type="noConversion"/>
  <hyperlinks>
    <hyperlink ref="N3" location="Form!A1" tooltip=" " display="Form!A1" xr:uid="{00000000-0004-0000-0600-000000000000}"/>
    <hyperlink ref="N4" location="Menu!A1" tooltip=" " display="Menu!A1" xr:uid="{00000000-0004-0000-0600-000001000000}"/>
    <hyperlink ref="N7" location="Acs!A1" tooltip=" " display="Acs!A1" xr:uid="{00000000-0004-0000-0600-000002000000}"/>
    <hyperlink ref="N8" location="SD!A1" tooltip=" " display="SD!A1" xr:uid="{00000000-0004-0000-0600-000003000000}"/>
    <hyperlink ref="N10" location="Sum!A1" tooltip=" " display="Sum!A1" xr:uid="{00000000-0004-0000-0600-000004000000}"/>
    <hyperlink ref="N11" location="Ord!A1" tooltip=" " display="Ord!A1" xr:uid="{00000000-0004-0000-0600-000005000000}"/>
    <hyperlink ref="N9" location="AL!A1" tooltip=" " display="AL!A1" xr:uid="{00000000-0004-0000-0600-000006000000}"/>
    <hyperlink ref="N31" location="'7C410P'!A100" tooltip=" " display="'7C410P'!A100" xr:uid="{00000000-0004-0000-0600-000007000000}"/>
    <hyperlink ref="N111" location="'7C410P'!A1" tooltip=" " display="'7C410P'!A1" xr:uid="{00000000-0004-0000-06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7">
    <tabColor theme="5" tint="0.39997558519241921"/>
  </sheetPr>
  <dimension ref="A1:W140"/>
  <sheetViews>
    <sheetView showGridLines="0" showRowColHeaders="0" workbookViewId="0">
      <selection activeCell="N4" sqref="N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8.2695312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8.7265625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List!$B$52&amp;" C"</f>
        <v>Čelní výsuv C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/>
      <c r="Q3" s="125"/>
      <c r="R3" s="125"/>
      <c r="S3" s="257"/>
      <c r="T3" s="261"/>
      <c r="U3" s="258"/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/>
      <c r="Q4" s="125"/>
      <c r="R4" s="125"/>
      <c r="S4" s="257"/>
      <c r="T4" s="261"/>
      <c r="U4" s="258"/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Cen!A166</f>
        <v>Bočnice C free, 350mm, Orion šedá</v>
      </c>
      <c r="Q5" s="125" t="str">
        <f>Cen!B166</f>
        <v>780C3502S</v>
      </c>
      <c r="R5" s="125" t="str">
        <f>Cen!C166</f>
        <v>OG-M</v>
      </c>
      <c r="S5" s="257">
        <f>SUM(F20,F26,F32)</f>
        <v>0</v>
      </c>
      <c r="T5" s="261">
        <f>Cen!F166</f>
        <v>957.21118000000001</v>
      </c>
      <c r="U5" s="258">
        <f t="shared" ref="U5:U10" si="0">S5*T5</f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772</v>
      </c>
      <c r="K6" s="120"/>
      <c r="L6" s="142"/>
      <c r="M6" s="117"/>
      <c r="N6" s="2" t="str">
        <f>List!$B$12&amp;":"</f>
        <v>Pokračovat na:</v>
      </c>
      <c r="O6" s="117"/>
      <c r="P6" s="125" t="str">
        <f>Cen!A171</f>
        <v>Bočnice C free, 400mm, Orion šedá</v>
      </c>
      <c r="Q6" s="125" t="str">
        <f>Cen!B171</f>
        <v>780C4002S</v>
      </c>
      <c r="R6" s="125" t="str">
        <f>Cen!C171</f>
        <v>OG-M</v>
      </c>
      <c r="S6" s="257">
        <f>SUM(G20,G26,G32)</f>
        <v>0</v>
      </c>
      <c r="T6" s="261">
        <f>Cen!F171</f>
        <v>964.26940999999999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20" t="str">
        <f>List!$B$40&amp;":"</f>
        <v>čelní kování:</v>
      </c>
      <c r="I7" s="120"/>
      <c r="J7" s="119" t="str">
        <f>Form!$P$14</f>
        <v>na vruty</v>
      </c>
      <c r="K7" s="116"/>
      <c r="L7" s="152"/>
      <c r="M7" s="117"/>
      <c r="N7" s="149" t="str">
        <f>" "&amp;List!$B$5</f>
        <v xml:space="preserve"> Výběr doplňků</v>
      </c>
      <c r="O7" s="117"/>
      <c r="P7" s="125" t="str">
        <f>Cen!A176</f>
        <v>Bočnice C free, 450mm, Orion šedá</v>
      </c>
      <c r="Q7" s="125" t="str">
        <f>Cen!B176</f>
        <v>780C4502S</v>
      </c>
      <c r="R7" s="125" t="str">
        <f>Cen!C176</f>
        <v>OG-M</v>
      </c>
      <c r="S7" s="257">
        <f>SUM(H20:H21,H26:H27,H32:H33)</f>
        <v>0</v>
      </c>
      <c r="T7" s="261">
        <f>Cen!F176</f>
        <v>971.33302000000003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 t="str">
        <f>List!$B$82&amp;":"</f>
        <v>provedení čel:</v>
      </c>
      <c r="I8" s="120"/>
      <c r="J8" s="120" t="str">
        <f>Form!$S$14</f>
        <v>Standardní materiály</v>
      </c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Cen!A181</f>
        <v>Bočnice C free, 500mm, Orion šedá</v>
      </c>
      <c r="Q8" s="125" t="str">
        <f>Cen!B181</f>
        <v>780C5002S</v>
      </c>
      <c r="R8" s="125" t="str">
        <f>Cen!C181</f>
        <v>OG-M</v>
      </c>
      <c r="S8" s="257">
        <f>SUM(I20:I21,I26:I27,I32:I33)</f>
        <v>0</v>
      </c>
      <c r="T8" s="261">
        <f>Cen!F181</f>
        <v>978.39665000000002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$U$75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Cen!A186</f>
        <v>Bočnice C free, 550mm, Orion šedá</v>
      </c>
      <c r="Q9" s="125" t="str">
        <f>Cen!B186</f>
        <v>780C5502S</v>
      </c>
      <c r="R9" s="125" t="str">
        <f>Cen!C186</f>
        <v>OG-M</v>
      </c>
      <c r="S9" s="257">
        <f>SUM(J20:J21,J26:J27,J32:J33)</f>
        <v>0</v>
      </c>
      <c r="T9" s="261">
        <f>Cen!F186</f>
        <v>1034.8882699999999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Cen!A191</f>
        <v>Bočnice C free, 600mm, Orion šedá</v>
      </c>
      <c r="Q10" s="125" t="str">
        <f>Cen!B191</f>
        <v>780C6002S</v>
      </c>
      <c r="R10" s="125" t="str">
        <f>Cen!C191</f>
        <v>OG-M</v>
      </c>
      <c r="S10" s="257">
        <f>SUM(K20:K21,K26:K27,K32:K33)</f>
        <v>0</v>
      </c>
      <c r="T10" s="261">
        <f>Cen!F191</f>
        <v>1123.16077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/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Cen!A196</f>
        <v>Bočnice C free, 650mm, Orion šedá</v>
      </c>
      <c r="Q11" s="125" t="str">
        <f>Cen!B196</f>
        <v>780C6502S</v>
      </c>
      <c r="R11" s="125" t="str">
        <f>Cen!C196</f>
        <v>OG-M</v>
      </c>
      <c r="S11" s="257">
        <f>SUM(L21,L27,L33)</f>
        <v>0</v>
      </c>
      <c r="T11" s="261">
        <f>Cen!F196</f>
        <v>1156.3666000000001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/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288"/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24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285"/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283"/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3" x14ac:dyDescent="0.3">
      <c r="A17" s="117"/>
      <c r="B17" s="117"/>
      <c r="C17" s="117"/>
      <c r="D17" s="117"/>
      <c r="E17" s="117"/>
      <c r="F17" s="117"/>
      <c r="G17" s="117"/>
      <c r="H17" s="289"/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/>
      <c r="E19" s="300"/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448</v>
      </c>
      <c r="C20" s="293" t="s">
        <v>432</v>
      </c>
      <c r="D20" s="559"/>
      <c r="E20" s="559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449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/>
      <c r="E25" s="300"/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450</v>
      </c>
      <c r="C26" s="293" t="s">
        <v>432</v>
      </c>
      <c r="D26" s="559"/>
      <c r="E26" s="559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451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ref="U27:U38" si="2">S27*T27</f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142"/>
      <c r="I28" s="142"/>
      <c r="J28" s="117"/>
      <c r="K28" s="117"/>
      <c r="L28" s="117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2"/>
        <v>0</v>
      </c>
    </row>
    <row r="29" spans="1:21" ht="13" x14ac:dyDescent="0.3">
      <c r="A29" s="117"/>
      <c r="B29" s="282"/>
      <c r="C29" s="282"/>
      <c r="D29" s="117"/>
      <c r="E29" s="117"/>
      <c r="F29" s="117"/>
      <c r="G29" s="117"/>
      <c r="H29" s="142"/>
      <c r="I29" s="142"/>
      <c r="J29" s="117"/>
      <c r="K29" s="117"/>
      <c r="L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2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2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/>
      <c r="E31" s="300"/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2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559"/>
      <c r="E32" s="559"/>
      <c r="F32" s="294"/>
      <c r="G32" s="294"/>
      <c r="H32" s="294"/>
      <c r="I32" s="294"/>
      <c r="J32" s="294"/>
      <c r="K32" s="295"/>
      <c r="L32" s="559"/>
      <c r="M32" s="117"/>
      <c r="N32" s="117"/>
      <c r="O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2"/>
        <v>0</v>
      </c>
    </row>
    <row r="33" spans="2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O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2"/>
        <v>0</v>
      </c>
    </row>
    <row r="34" spans="2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O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2"/>
        <v>0</v>
      </c>
    </row>
    <row r="35" spans="2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2"/>
        <v>0</v>
      </c>
    </row>
    <row r="36" spans="2:21" ht="14" x14ac:dyDescent="0.3">
      <c r="B36" s="286"/>
      <c r="C36" s="286"/>
      <c r="D36" s="303"/>
      <c r="E36" s="303"/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2"/>
        <v>0</v>
      </c>
    </row>
    <row r="37" spans="2:21" ht="14.5" thickBot="1" x14ac:dyDescent="0.35">
      <c r="B37" s="175"/>
      <c r="C37" s="286"/>
      <c r="D37" s="559"/>
      <c r="E37" s="559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2"/>
        <v>0</v>
      </c>
    </row>
    <row r="38" spans="2:21" x14ac:dyDescent="0.25">
      <c r="C38" s="724"/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2"/>
        <v>0</v>
      </c>
    </row>
    <row r="39" spans="2:21" ht="20" customHeight="1" x14ac:dyDescent="0.25">
      <c r="B39" s="651"/>
      <c r="C39" s="651"/>
      <c r="D39" s="725" t="str">
        <f>"        ** "&amp;List!$B$325&amp;"!"</f>
        <v xml:space="preserve">        ** Jednotky L1 nelze kombinovat s lištami se zvýšenou nosností (70 kg)!</v>
      </c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2:21" x14ac:dyDescent="0.25">
      <c r="D40" s="725" t="str">
        <f>"       *** "&amp;List!$B$326&amp;"!"</f>
        <v xml:space="preserve">       *** Jednotky L5 nelze kombinovat s lištami se základní nosností (40 kg)!</v>
      </c>
      <c r="P40" s="142"/>
      <c r="Q40" s="142"/>
      <c r="R40" s="142"/>
      <c r="S40" s="148"/>
      <c r="T40" s="152"/>
      <c r="U40" s="152"/>
    </row>
    <row r="41" spans="2:21" x14ac:dyDescent="0.25">
      <c r="P41" s="120"/>
      <c r="Q41" s="120"/>
      <c r="R41" s="120"/>
      <c r="S41" s="121"/>
      <c r="T41" s="116"/>
      <c r="U41" s="116"/>
    </row>
    <row r="42" spans="2:21" x14ac:dyDescent="0.25">
      <c r="P42" s="120"/>
      <c r="Q42" s="120"/>
      <c r="R42" s="120"/>
      <c r="S42" s="121"/>
      <c r="T42" s="116"/>
      <c r="U42" s="116"/>
    </row>
    <row r="43" spans="2:21" x14ac:dyDescent="0.25">
      <c r="D43" s="725" t="str">
        <f>"     "&amp;List!$B$313</f>
        <v xml:space="preserve">     Synchronizace bude přidána automaticky. </v>
      </c>
      <c r="P43" s="120"/>
      <c r="Q43" s="120"/>
      <c r="R43" s="120"/>
      <c r="S43" s="121"/>
      <c r="T43" s="116"/>
      <c r="U43" s="116"/>
    </row>
    <row r="44" spans="2:21" x14ac:dyDescent="0.25">
      <c r="D44" s="725" t="str">
        <f>"     "&amp;List!$B$314</f>
        <v xml:space="preserve">     Pozor! Pro každý výsuv je započítána jedna hřídel. Počet hřídelí upravte v objednávce!</v>
      </c>
      <c r="P44" s="120"/>
      <c r="Q44" s="120"/>
      <c r="R44" s="120"/>
      <c r="S44" s="121"/>
      <c r="T44" s="116"/>
      <c r="U44" s="116"/>
    </row>
    <row r="45" spans="2:21" x14ac:dyDescent="0.25">
      <c r="P45" s="120"/>
      <c r="Q45" s="120"/>
      <c r="R45" s="120"/>
      <c r="S45" s="121"/>
      <c r="T45" s="116"/>
      <c r="U45" s="116"/>
    </row>
    <row r="46" spans="2:21" x14ac:dyDescent="0.25">
      <c r="D46" s="117" t="str">
        <f>"     "&amp;List!$B$172</f>
        <v xml:space="preserve">     Boční zásuvné prvky se načtou automaticky</v>
      </c>
      <c r="P46" s="120"/>
      <c r="Q46" s="120"/>
      <c r="R46" s="120"/>
      <c r="S46" s="121"/>
      <c r="T46" s="116"/>
      <c r="U46" s="116"/>
    </row>
    <row r="47" spans="2:21" ht="13" x14ac:dyDescent="0.3">
      <c r="D47" s="117" t="str">
        <f>"     "&amp;List!$B$176</f>
        <v xml:space="preserve">     Máte-li zásuvné prvky vlastní, upravte počty v objednávce</v>
      </c>
      <c r="P47" s="684"/>
      <c r="Q47" s="684"/>
      <c r="R47" s="684"/>
      <c r="S47" s="685"/>
      <c r="T47" s="686"/>
      <c r="U47" s="686"/>
    </row>
    <row r="48" spans="2:21" ht="13" x14ac:dyDescent="0.3">
      <c r="P48" s="684"/>
      <c r="Q48" s="684"/>
      <c r="R48" s="684"/>
      <c r="S48" s="685"/>
      <c r="T48" s="686"/>
      <c r="U48" s="686"/>
    </row>
    <row r="49" spans="16:21" x14ac:dyDescent="0.25">
      <c r="P49" s="120"/>
      <c r="Q49" s="120"/>
      <c r="R49" s="120"/>
      <c r="S49" s="121"/>
      <c r="T49" s="116"/>
      <c r="U49" s="116"/>
    </row>
    <row r="50" spans="16:21" x14ac:dyDescent="0.25">
      <c r="P50" s="120"/>
      <c r="Q50" s="120"/>
      <c r="R50" s="120"/>
      <c r="S50" s="121"/>
      <c r="T50" s="116"/>
      <c r="U50" s="116"/>
    </row>
    <row r="51" spans="16:21" x14ac:dyDescent="0.25">
      <c r="P51" s="120"/>
      <c r="Q51" s="120"/>
      <c r="R51" s="120"/>
      <c r="S51" s="121"/>
      <c r="T51" s="116"/>
      <c r="U51" s="116"/>
    </row>
    <row r="52" spans="16:21" x14ac:dyDescent="0.25">
      <c r="P52" s="120"/>
      <c r="Q52" s="120"/>
      <c r="R52" s="120"/>
      <c r="S52" s="121"/>
      <c r="T52" s="116"/>
      <c r="U52" s="116"/>
    </row>
    <row r="53" spans="16:21" x14ac:dyDescent="0.25">
      <c r="P53" s="120"/>
      <c r="Q53" s="120"/>
      <c r="R53" s="120"/>
      <c r="S53" s="121"/>
      <c r="T53" s="116"/>
      <c r="U53" s="116"/>
    </row>
    <row r="54" spans="16:21" x14ac:dyDescent="0.25">
      <c r="P54" s="120"/>
      <c r="Q54" s="120"/>
      <c r="R54" s="120"/>
      <c r="S54" s="121"/>
      <c r="T54" s="116"/>
      <c r="U54" s="116"/>
    </row>
    <row r="55" spans="16:21" x14ac:dyDescent="0.25"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3">S55*T55</f>
        <v>0</v>
      </c>
    </row>
    <row r="56" spans="16:21" x14ac:dyDescent="0.25"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4">S56*T56</f>
        <v>0</v>
      </c>
    </row>
    <row r="57" spans="16:21" x14ac:dyDescent="0.25"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4"/>
        <v>0</v>
      </c>
    </row>
    <row r="58" spans="16:21" x14ac:dyDescent="0.25"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4"/>
        <v>0</v>
      </c>
    </row>
    <row r="59" spans="16:21" x14ac:dyDescent="0.25"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4"/>
        <v>0</v>
      </c>
    </row>
    <row r="60" spans="16:21" x14ac:dyDescent="0.25">
      <c r="P60" s="142"/>
      <c r="Q60" s="142"/>
      <c r="R60" s="142"/>
      <c r="S60" s="148"/>
      <c r="T60" s="152"/>
      <c r="U60" s="152"/>
    </row>
    <row r="61" spans="16:21" x14ac:dyDescent="0.25"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>S61*T61</f>
        <v>0</v>
      </c>
    </row>
    <row r="62" spans="16:21" x14ac:dyDescent="0.25"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>S62*T62</f>
        <v>0</v>
      </c>
    </row>
    <row r="63" spans="16:21" x14ac:dyDescent="0.25">
      <c r="P63" s="117"/>
      <c r="Q63" s="117"/>
    </row>
    <row r="64" spans="16:21" x14ac:dyDescent="0.25"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SUM($S$3:$S$11)</f>
        <v>0</v>
      </c>
      <c r="T64" s="116">
        <f>Cen!$F329</f>
        <v>47.092230000000001</v>
      </c>
      <c r="U64" s="116">
        <f>S64*T64</f>
        <v>0</v>
      </c>
    </row>
    <row r="65" spans="16:21" x14ac:dyDescent="0.25">
      <c r="P65" s="120" t="str">
        <f>Cen!A353</f>
        <v>Čelní kování C, na vruty</v>
      </c>
      <c r="Q65" s="120" t="str">
        <f>Cen!B353</f>
        <v>ZF7C7002</v>
      </c>
      <c r="R65" s="120" t="str">
        <f>Cen!C353</f>
        <v>BL</v>
      </c>
      <c r="S65" s="121">
        <f>SUM($S$3:$S$11)*2</f>
        <v>0</v>
      </c>
      <c r="T65" s="116">
        <f>Cen!F353</f>
        <v>18.390879999999999</v>
      </c>
      <c r="U65" s="116">
        <f>S65*T65</f>
        <v>0</v>
      </c>
    </row>
    <row r="66" spans="16:21" x14ac:dyDescent="0.25">
      <c r="P66" s="117"/>
      <c r="Q66" s="117"/>
    </row>
    <row r="67" spans="16:21" x14ac:dyDescent="0.25">
      <c r="P67" s="205" t="str">
        <f>Cen!A232</f>
        <v>Boční zásuvné prvky, sklo, pro 350 mm</v>
      </c>
      <c r="Q67" s="205" t="str">
        <f>Cen!B232</f>
        <v>ZE7S238G</v>
      </c>
      <c r="R67" s="205" t="str">
        <f>Cen!C232</f>
        <v>KLA</v>
      </c>
      <c r="S67" s="255">
        <f>S5</f>
        <v>0</v>
      </c>
      <c r="T67" s="594">
        <f>Cen!F232</f>
        <v>625.33465999999999</v>
      </c>
      <c r="U67" s="256">
        <f t="shared" ref="U67:U72" si="5">S67*T67</f>
        <v>0</v>
      </c>
    </row>
    <row r="68" spans="16:21" x14ac:dyDescent="0.25">
      <c r="P68" s="125" t="str">
        <f>Cen!A233</f>
        <v>Boční zásuvné prvky, sklo, pro 400 mm</v>
      </c>
      <c r="Q68" s="125" t="str">
        <f>Cen!B233</f>
        <v>ZE7S288G</v>
      </c>
      <c r="R68" s="125" t="str">
        <f>Cen!C233</f>
        <v>KLA</v>
      </c>
      <c r="S68" s="257">
        <f t="shared" ref="S68:S73" si="6">S6</f>
        <v>0</v>
      </c>
      <c r="T68" s="261">
        <f>Cen!F233</f>
        <v>660.74360999999999</v>
      </c>
      <c r="U68" s="258">
        <f t="shared" si="5"/>
        <v>0</v>
      </c>
    </row>
    <row r="69" spans="16:21" x14ac:dyDescent="0.25">
      <c r="P69" s="125" t="str">
        <f>Cen!A234</f>
        <v>Boční zásuvné prvky, sklo, pro 450 mm</v>
      </c>
      <c r="Q69" s="125" t="str">
        <f>Cen!B234</f>
        <v>ZE7S338G</v>
      </c>
      <c r="R69" s="125" t="str">
        <f>Cen!C234</f>
        <v>KLA</v>
      </c>
      <c r="S69" s="257">
        <f t="shared" si="6"/>
        <v>0</v>
      </c>
      <c r="T69" s="261">
        <f>Cen!F234</f>
        <v>696.15254000000004</v>
      </c>
      <c r="U69" s="258">
        <f t="shared" si="5"/>
        <v>0</v>
      </c>
    </row>
    <row r="70" spans="16:21" x14ac:dyDescent="0.25">
      <c r="P70" s="125" t="str">
        <f>Cen!A235</f>
        <v>Boční zásuvné prvky, sklo, pro 500 mm</v>
      </c>
      <c r="Q70" s="125" t="str">
        <f>Cen!B235</f>
        <v>ZE7S388G</v>
      </c>
      <c r="R70" s="125" t="str">
        <f>Cen!C235</f>
        <v>KLA</v>
      </c>
      <c r="S70" s="257">
        <f t="shared" si="6"/>
        <v>0</v>
      </c>
      <c r="T70" s="261">
        <f>Cen!F235</f>
        <v>731.56149000000005</v>
      </c>
      <c r="U70" s="258">
        <f t="shared" si="5"/>
        <v>0</v>
      </c>
    </row>
    <row r="71" spans="16:21" x14ac:dyDescent="0.25">
      <c r="P71" s="125" t="str">
        <f>Cen!A236</f>
        <v>Boční zásuvné prvky, sklo, pro 550 mm</v>
      </c>
      <c r="Q71" s="125" t="str">
        <f>Cen!B236</f>
        <v>ZE7S438G</v>
      </c>
      <c r="R71" s="125" t="str">
        <f>Cen!C236</f>
        <v>KLA</v>
      </c>
      <c r="S71" s="257">
        <f t="shared" si="6"/>
        <v>0</v>
      </c>
      <c r="T71" s="261">
        <f>Cen!F236</f>
        <v>802.35667000000001</v>
      </c>
      <c r="U71" s="258">
        <f t="shared" si="5"/>
        <v>0</v>
      </c>
    </row>
    <row r="72" spans="16:21" x14ac:dyDescent="0.25">
      <c r="P72" s="125" t="str">
        <f>Cen!A237</f>
        <v>Boční zásuvné prvky, sklo, pro 600 mm</v>
      </c>
      <c r="Q72" s="125" t="str">
        <f>Cen!B237</f>
        <v>ZE7S488G</v>
      </c>
      <c r="R72" s="125" t="str">
        <f>Cen!C237</f>
        <v>KLA</v>
      </c>
      <c r="S72" s="257">
        <f t="shared" si="6"/>
        <v>0</v>
      </c>
      <c r="T72" s="261">
        <f>Cen!F237</f>
        <v>873.15183000000002</v>
      </c>
      <c r="U72" s="258">
        <f t="shared" si="5"/>
        <v>0</v>
      </c>
    </row>
    <row r="73" spans="16:21" ht="13" thickBot="1" x14ac:dyDescent="0.3">
      <c r="P73" s="595" t="str">
        <f>Cen!A238</f>
        <v>Boční zásuvné prvky, sklo, pro 650 mm</v>
      </c>
      <c r="Q73" s="595" t="str">
        <f>Cen!B238</f>
        <v>ZE7S538G</v>
      </c>
      <c r="R73" s="595" t="str">
        <f>Cen!C238</f>
        <v>KLA</v>
      </c>
      <c r="S73" s="596">
        <f t="shared" si="6"/>
        <v>0</v>
      </c>
      <c r="T73" s="597">
        <f>Cen!F238</f>
        <v>943.94700999999998</v>
      </c>
      <c r="U73" s="598">
        <f>S73*T73</f>
        <v>0</v>
      </c>
    </row>
    <row r="74" spans="16:21" x14ac:dyDescent="0.25">
      <c r="P74" s="142"/>
      <c r="Q74" s="142"/>
      <c r="R74" s="142"/>
      <c r="S74" s="148"/>
      <c r="T74" s="452"/>
      <c r="U74" s="152"/>
    </row>
    <row r="75" spans="16:21" x14ac:dyDescent="0.25">
      <c r="P75" s="117"/>
      <c r="Q75" s="117"/>
      <c r="S75" s="74" t="str">
        <f>List!$B$97</f>
        <v>cena kování</v>
      </c>
      <c r="U75" s="346">
        <f>SUM(U3:U73)</f>
        <v>0</v>
      </c>
    </row>
    <row r="76" spans="16:21" x14ac:dyDescent="0.25">
      <c r="P76" s="117"/>
      <c r="Q76" s="117"/>
    </row>
    <row r="77" spans="16:21" x14ac:dyDescent="0.25">
      <c r="P77" s="117"/>
      <c r="Q77" s="117"/>
    </row>
    <row r="78" spans="16:21" x14ac:dyDescent="0.25">
      <c r="P78" s="117"/>
      <c r="Q78" s="117"/>
    </row>
    <row r="79" spans="16:21" x14ac:dyDescent="0.25">
      <c r="P79" s="117"/>
      <c r="Q79" s="117"/>
    </row>
    <row r="80" spans="16:21" x14ac:dyDescent="0.25">
      <c r="P80" s="117"/>
      <c r="Q80" s="117"/>
    </row>
    <row r="81" spans="16:17" x14ac:dyDescent="0.25">
      <c r="P81" s="117"/>
      <c r="Q81" s="117"/>
    </row>
    <row r="82" spans="16:17" x14ac:dyDescent="0.25">
      <c r="P82" s="117"/>
      <c r="Q82" s="117"/>
    </row>
    <row r="83" spans="16:17" x14ac:dyDescent="0.25">
      <c r="P83" s="117"/>
      <c r="Q83" s="117"/>
    </row>
    <row r="84" spans="16:17" x14ac:dyDescent="0.25">
      <c r="P84" s="117" t="str">
        <f>List!$B$316&amp;"!"</f>
        <v>S0 a S1 pouze pro jmenovitou délku 270 a 300 mm!</v>
      </c>
    </row>
    <row r="85" spans="16:17" x14ac:dyDescent="0.25">
      <c r="P85" s="117" t="str">
        <f>List!$B$317&amp;"!"</f>
        <v>Pro výsuvy délky 270 a 300 mm vyberte jednotky S0 nebo S1!</v>
      </c>
    </row>
    <row r="86" spans="16:17" x14ac:dyDescent="0.25">
      <c r="P86" s="117" t="str">
        <f>List!$B$318&amp;"!"</f>
        <v>Počet jednotek L neodpovídá počtu korpusových lišt!</v>
      </c>
    </row>
    <row r="87" spans="16:17" x14ac:dyDescent="0.25">
      <c r="P87" s="117" t="str">
        <f>List!$B$319&amp;"!"</f>
        <v>Počet jednotek S neodpovídá počtu korpusových lišt!</v>
      </c>
    </row>
    <row r="99" spans="1:14" x14ac:dyDescent="0.25">
      <c r="A99" s="823"/>
    </row>
    <row r="100" spans="1:14" ht="12.5" customHeight="1" x14ac:dyDescent="0.25">
      <c r="A100" s="823"/>
      <c r="B100" s="852" t="str">
        <f>List!B25</f>
        <v>Informace k objednávání</v>
      </c>
      <c r="C100" s="852"/>
      <c r="D100" s="852"/>
      <c r="E100" s="852"/>
      <c r="F100" s="852"/>
      <c r="G100" s="852"/>
      <c r="H100" s="852"/>
      <c r="I100" s="852"/>
      <c r="J100" s="852"/>
      <c r="K100" s="852"/>
      <c r="L100" s="852"/>
    </row>
    <row r="101" spans="1:14" ht="12.5" customHeight="1" x14ac:dyDescent="0.25">
      <c r="A101" s="823"/>
      <c r="B101" s="852"/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6.5" customHeight="1" x14ac:dyDescent="0.25">
      <c r="A102" s="823"/>
    </row>
    <row r="103" spans="1:14" ht="19.5" customHeight="1" thickBot="1" x14ac:dyDescent="0.3">
      <c r="A103" s="823"/>
      <c r="B103" s="853"/>
      <c r="C103" s="853"/>
      <c r="D103" s="854" t="str">
        <f>List!B312&amp;" "&amp;List!B323</f>
        <v>Sada jednotek TIP-ON BLUMOTION a sada unašečů TIP-ON BLUMOTION</v>
      </c>
      <c r="E103" s="854"/>
      <c r="F103" s="854"/>
      <c r="G103" s="854"/>
      <c r="H103" s="854"/>
      <c r="I103" s="854"/>
      <c r="J103" s="854"/>
      <c r="K103" s="854"/>
      <c r="L103" s="854"/>
    </row>
    <row r="104" spans="1:14" ht="19.5" customHeight="1" thickBot="1" x14ac:dyDescent="0.3">
      <c r="A104" s="823"/>
      <c r="B104" s="833"/>
      <c r="C104" s="834"/>
      <c r="D104" s="855" t="str">
        <f>List!$B$320</f>
        <v>Využití pro</v>
      </c>
      <c r="E104" s="856"/>
      <c r="F104" s="856"/>
      <c r="G104" s="856"/>
      <c r="H104" s="856"/>
      <c r="I104" s="857"/>
      <c r="J104" s="858" t="str">
        <f>List!$B$321&amp;"*"</f>
        <v>Doporučené hodnoty hmotnosti*</v>
      </c>
      <c r="K104" s="859"/>
      <c r="L104" s="859"/>
    </row>
    <row r="105" spans="1:14" ht="19.5" customHeight="1" thickBot="1" x14ac:dyDescent="0.3">
      <c r="A105" s="823"/>
      <c r="B105" s="835"/>
      <c r="C105" s="836"/>
      <c r="D105" s="862" t="str">
        <f>List!B118&amp;" (NL)"</f>
        <v>Jmenovitá délka (NL)</v>
      </c>
      <c r="E105" s="862"/>
      <c r="F105" s="862"/>
      <c r="G105" s="694" t="str">
        <f>List!$B$315</f>
        <v>Jednotka</v>
      </c>
      <c r="H105" s="863" t="str">
        <f>List!$B$99</f>
        <v>Číslo artiklu</v>
      </c>
      <c r="I105" s="864"/>
      <c r="J105" s="860"/>
      <c r="K105" s="861"/>
      <c r="L105" s="861"/>
    </row>
    <row r="106" spans="1:14" ht="19.5" customHeight="1" thickBot="1" x14ac:dyDescent="0.3">
      <c r="A106" s="823"/>
      <c r="B106" s="835"/>
      <c r="C106" s="836"/>
      <c r="D106" s="837"/>
      <c r="E106" s="838"/>
      <c r="F106" s="839"/>
      <c r="G106" s="801"/>
      <c r="H106" s="877"/>
      <c r="I106" s="878"/>
      <c r="J106" s="807"/>
      <c r="K106" s="720"/>
      <c r="L106" s="720"/>
    </row>
    <row r="107" spans="1:14" ht="19.5" customHeight="1" thickBot="1" x14ac:dyDescent="0.3">
      <c r="A107" s="823"/>
      <c r="B107" s="835"/>
      <c r="C107" s="836"/>
      <c r="D107" s="840"/>
      <c r="E107" s="841"/>
      <c r="F107" s="842"/>
      <c r="G107" s="801"/>
      <c r="H107" s="877"/>
      <c r="I107" s="878"/>
      <c r="J107" s="807"/>
      <c r="K107" s="697"/>
      <c r="L107" s="697"/>
    </row>
    <row r="108" spans="1:14" ht="19.5" customHeight="1" thickBot="1" x14ac:dyDescent="0.3">
      <c r="A108" s="823"/>
      <c r="B108" s="835"/>
      <c r="C108" s="836"/>
      <c r="D108" s="837" t="s">
        <v>979</v>
      </c>
      <c r="E108" s="838"/>
      <c r="F108" s="839"/>
      <c r="G108" s="801" t="s">
        <v>1421</v>
      </c>
      <c r="H108" s="873" t="s">
        <v>950</v>
      </c>
      <c r="I108" s="874"/>
      <c r="J108" s="696" t="s">
        <v>984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43"/>
      <c r="E109" s="844"/>
      <c r="F109" s="845"/>
      <c r="G109" s="801" t="s">
        <v>948</v>
      </c>
      <c r="H109" s="873" t="s">
        <v>951</v>
      </c>
      <c r="I109" s="874"/>
      <c r="J109" s="875" t="s">
        <v>1023</v>
      </c>
      <c r="K109" s="876"/>
      <c r="L109" s="697"/>
    </row>
    <row r="110" spans="1:14" ht="19.5" customHeight="1" thickBot="1" x14ac:dyDescent="0.3">
      <c r="A110" s="823"/>
      <c r="B110" s="835"/>
      <c r="C110" s="836"/>
      <c r="D110" s="840"/>
      <c r="E110" s="841"/>
      <c r="F110" s="842"/>
      <c r="G110" s="801" t="s">
        <v>1423</v>
      </c>
      <c r="H110" s="873" t="s">
        <v>952</v>
      </c>
      <c r="I110" s="874"/>
      <c r="J110" s="698"/>
      <c r="K110" s="876" t="s">
        <v>1024</v>
      </c>
      <c r="L110" s="876"/>
    </row>
    <row r="111" spans="1:14" ht="19.5" customHeight="1" x14ac:dyDescent="0.25">
      <c r="A111" s="823"/>
      <c r="B111" s="835"/>
      <c r="C111" s="836"/>
      <c r="D111" s="692"/>
      <c r="E111" s="692"/>
      <c r="F111" s="692"/>
      <c r="G111" s="699"/>
      <c r="H111" s="851" t="str">
        <f>"* "&amp;List!$B$322</f>
        <v>* Celková hmotnost výsuvu (hmotnost výsuvu včetně náplně)</v>
      </c>
      <c r="I111" s="851"/>
      <c r="J111" s="851"/>
      <c r="K111" s="851"/>
      <c r="L111" s="851"/>
      <c r="N111" s="700" t="str">
        <f>" "&amp;List!$B$112</f>
        <v xml:space="preserve"> Zpět</v>
      </c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3"/>
      <c r="H112" s="851"/>
      <c r="I112" s="851"/>
      <c r="J112" s="851"/>
      <c r="K112" s="851"/>
      <c r="L112" s="851"/>
    </row>
    <row r="113" spans="1:5" ht="12.5" customHeight="1" x14ac:dyDescent="0.25">
      <c r="A113" s="823"/>
    </row>
    <row r="114" spans="1:5" ht="12.5" customHeight="1" x14ac:dyDescent="0.25">
      <c r="A114" s="823"/>
      <c r="E114" s="725" t="str">
        <f>"        ** "&amp;List!$B$325&amp;"!"</f>
        <v xml:space="preserve">        ** Jednotky L1 nelze kombinovat s lištami se zvýšenou nosností (70 kg)!</v>
      </c>
    </row>
    <row r="115" spans="1:5" ht="12.5" customHeight="1" x14ac:dyDescent="0.25">
      <c r="A115" s="823"/>
      <c r="E115" s="725" t="str">
        <f>"       *** "&amp;List!$B$326&amp;"!"</f>
        <v xml:space="preserve">       *** Jednotky L5 nelze kombinovat s lištami se základní nosností (40 kg)!</v>
      </c>
    </row>
    <row r="116" spans="1:5" ht="12.5" customHeight="1" x14ac:dyDescent="0.25">
      <c r="A116" s="823"/>
    </row>
    <row r="117" spans="1:5" x14ac:dyDescent="0.25">
      <c r="A117" s="823"/>
    </row>
    <row r="118" spans="1:5" x14ac:dyDescent="0.25">
      <c r="A118" s="823"/>
    </row>
    <row r="119" spans="1:5" x14ac:dyDescent="0.25">
      <c r="A119" s="823"/>
    </row>
    <row r="120" spans="1:5" x14ac:dyDescent="0.25">
      <c r="A120" s="823"/>
    </row>
    <row r="121" spans="1:5" x14ac:dyDescent="0.25">
      <c r="A121" s="823"/>
    </row>
    <row r="122" spans="1:5" x14ac:dyDescent="0.25">
      <c r="A122" s="823"/>
    </row>
    <row r="123" spans="1:5" x14ac:dyDescent="0.25">
      <c r="A123" s="823"/>
    </row>
    <row r="124" spans="1:5" x14ac:dyDescent="0.25">
      <c r="A124" s="823"/>
    </row>
    <row r="125" spans="1:5" x14ac:dyDescent="0.25">
      <c r="A125" s="823"/>
    </row>
    <row r="126" spans="1:5" x14ac:dyDescent="0.25">
      <c r="A126" s="823"/>
    </row>
    <row r="127" spans="1:5" x14ac:dyDescent="0.25">
      <c r="A127" s="823"/>
    </row>
    <row r="128" spans="1:5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</sheetData>
  <sheetProtection algorithmName="SHA-512" hashValue="JHB1jFWrxx/cPgSX5PO1hlYIrt/mcP8C15LqIh8vC4g7I1QRh0+laO9eSfMbyX7OfVUP0U+BTMqP1K4uPTWtPg==" saltValue="Pu0g4z28nxKdgB8okZq1cA==" spinCount="100000" sheet="1" objects="1" scenarios="1"/>
  <mergeCells count="19">
    <mergeCell ref="J109:K109"/>
    <mergeCell ref="H110:I110"/>
    <mergeCell ref="K110:L110"/>
    <mergeCell ref="H111:L112"/>
    <mergeCell ref="A99:A140"/>
    <mergeCell ref="B100:L101"/>
    <mergeCell ref="B103:C103"/>
    <mergeCell ref="D103:L103"/>
    <mergeCell ref="D104:I104"/>
    <mergeCell ref="J104:L105"/>
    <mergeCell ref="D105:F105"/>
    <mergeCell ref="H105:I105"/>
    <mergeCell ref="H106:I106"/>
    <mergeCell ref="H107:I107"/>
    <mergeCell ref="B104:C112"/>
    <mergeCell ref="D106:F107"/>
    <mergeCell ref="D108:F110"/>
    <mergeCell ref="H108:I108"/>
    <mergeCell ref="H109:I109"/>
  </mergeCells>
  <hyperlinks>
    <hyperlink ref="N3" location="Form!A1" tooltip=" " display="Form!A1" xr:uid="{00000000-0004-0000-0700-000000000000}"/>
    <hyperlink ref="N4" location="Menu!A1" tooltip=" " display="Menu!A1" xr:uid="{00000000-0004-0000-0700-000001000000}"/>
    <hyperlink ref="N7" location="Acs!A1" tooltip=" " display="Acs!A1" xr:uid="{00000000-0004-0000-0700-000002000000}"/>
    <hyperlink ref="N8" location="SD!A1" tooltip=" " display="SD!A1" xr:uid="{00000000-0004-0000-0700-000003000000}"/>
    <hyperlink ref="N10" location="Sum!A1" tooltip=" " display="Sum!A1" xr:uid="{00000000-0004-0000-0700-000004000000}"/>
    <hyperlink ref="N11" location="Ord!A1" tooltip=" " display="Ord!A1" xr:uid="{00000000-0004-0000-0700-000005000000}"/>
    <hyperlink ref="N9" location="AL!A1" tooltip=" " display="AL!A1" xr:uid="{00000000-0004-0000-0700-000006000000}"/>
    <hyperlink ref="N31" location="'7C410F'!A100" tooltip=" " display="'7C410F'!A100" xr:uid="{00000000-0004-0000-0700-000007000000}"/>
    <hyperlink ref="N111" location="'7C410F'!A1" tooltip=" " display="'7C410F'!A1" xr:uid="{00000000-0004-0000-07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>
    <tabColor indexed="22"/>
  </sheetPr>
  <dimension ref="A1:W141"/>
  <sheetViews>
    <sheetView showGridLines="0" showRowColHeaders="0" workbookViewId="0">
      <selection activeCell="AD24" sqref="AD24"/>
    </sheetView>
  </sheetViews>
  <sheetFormatPr defaultColWidth="9.1796875" defaultRowHeight="12.5" x14ac:dyDescent="0.25"/>
  <cols>
    <col min="1" max="1" width="3.54296875" style="2" customWidth="1"/>
    <col min="2" max="12" width="10" style="2" customWidth="1"/>
    <col min="13" max="13" width="5.7265625" style="2" customWidth="1"/>
    <col min="14" max="14" width="25.7265625" style="2" customWidth="1"/>
    <col min="15" max="15" width="6.54296875" style="2" hidden="1" customWidth="1"/>
    <col min="16" max="16" width="38.453125" style="2" hidden="1" customWidth="1"/>
    <col min="17" max="17" width="11.1796875" style="2" hidden="1" customWidth="1"/>
    <col min="18" max="18" width="9.1796875" style="2" hidden="1" customWidth="1"/>
    <col min="19" max="19" width="7.7265625" style="2" hidden="1" customWidth="1"/>
    <col min="20" max="20" width="9" style="2" hidden="1" customWidth="1"/>
    <col min="21" max="21" width="12.7265625" style="2" hidden="1" customWidth="1"/>
    <col min="22" max="26" width="0" style="2" hidden="1" customWidth="1"/>
    <col min="27" max="16384" width="9.1796875" style="2"/>
  </cols>
  <sheetData>
    <row r="1" spans="1:23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3" ht="22.5" x14ac:dyDescent="0.4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8" t="str">
        <f>List!$B$53&amp;" C, "&amp;List!$B$69&amp;" "&amp;List!$B$67</f>
        <v>Vnitřní výsuv C, vysoký přední zásuvný prvek</v>
      </c>
      <c r="L2" s="118"/>
      <c r="M2" s="117"/>
      <c r="N2" s="2" t="str">
        <f>List!$B$11&amp;":"</f>
        <v>Zpět na:</v>
      </c>
      <c r="O2" s="117"/>
      <c r="P2" s="184" t="str">
        <f>List!$B$22&amp;":"</f>
        <v>Soupis kování:</v>
      </c>
      <c r="Q2" s="119"/>
      <c r="R2" s="119"/>
      <c r="S2" s="119"/>
      <c r="T2" s="119"/>
      <c r="U2" s="119"/>
    </row>
    <row r="3" spans="1:23" ht="13" thickBot="1" x14ac:dyDescent="0.3">
      <c r="A3" s="117"/>
      <c r="B3" s="117"/>
      <c r="C3" s="117"/>
      <c r="D3" s="117"/>
      <c r="E3" s="117"/>
      <c r="F3" s="117"/>
      <c r="G3" s="117"/>
      <c r="H3" s="119"/>
      <c r="I3" s="119"/>
      <c r="J3" s="119"/>
      <c r="K3" s="119"/>
      <c r="L3" s="142"/>
      <c r="M3" s="117"/>
      <c r="N3" s="149" t="str">
        <f>" "&amp;List!$B$13</f>
        <v xml:space="preserve"> Úvod</v>
      </c>
      <c r="O3" s="117"/>
      <c r="P3" s="125" t="str">
        <f>Cen!A111</f>
        <v>Bočnice C pure, 270mm, Orion šedá</v>
      </c>
      <c r="Q3" s="125" t="str">
        <f>Cen!B111</f>
        <v>770C2702S</v>
      </c>
      <c r="R3" s="125" t="str">
        <f>Cen!C111</f>
        <v>OG-M</v>
      </c>
      <c r="S3" s="257">
        <f>SUM(D20,D26,D32)</f>
        <v>0</v>
      </c>
      <c r="T3" s="261">
        <f>Cen!F111</f>
        <v>920.62116000000003</v>
      </c>
      <c r="U3" s="258">
        <f t="shared" ref="U3:U10" si="0">S3*T3</f>
        <v>0</v>
      </c>
      <c r="W3" s="798">
        <f>Form!$R$14</f>
        <v>1</v>
      </c>
    </row>
    <row r="4" spans="1:23" ht="13" x14ac:dyDescent="0.3">
      <c r="A4" s="117"/>
      <c r="B4" s="117"/>
      <c r="C4" s="117"/>
      <c r="D4" s="117"/>
      <c r="E4" s="117"/>
      <c r="F4" s="117"/>
      <c r="G4" s="117"/>
      <c r="H4" s="120" t="str">
        <f>List!$B$80&amp;":"</f>
        <v>bočnice:</v>
      </c>
      <c r="I4" s="120"/>
      <c r="J4" s="120" t="s">
        <v>406</v>
      </c>
      <c r="K4" s="120"/>
      <c r="L4" s="142"/>
      <c r="M4" s="117"/>
      <c r="N4" s="150" t="str">
        <f>" "&amp;List!$B$4</f>
        <v xml:space="preserve"> Výběr zásuvek a výsuvů</v>
      </c>
      <c r="O4" s="117"/>
      <c r="P4" s="125" t="str">
        <f>Cen!A116</f>
        <v>Bočnice C pure, 300mm, Orion šedá</v>
      </c>
      <c r="Q4" s="125" t="str">
        <f>Cen!B116</f>
        <v>770C3002S</v>
      </c>
      <c r="R4" s="125" t="str">
        <f>Cen!C116</f>
        <v>OG-M</v>
      </c>
      <c r="S4" s="257">
        <f>SUM(E20,E26,E32)</f>
        <v>0</v>
      </c>
      <c r="T4" s="261">
        <f>Cen!F116</f>
        <v>920.62116000000003</v>
      </c>
      <c r="U4" s="258">
        <f t="shared" si="0"/>
        <v>0</v>
      </c>
      <c r="W4" s="2" t="s">
        <v>1399</v>
      </c>
    </row>
    <row r="5" spans="1:23" x14ac:dyDescent="0.25">
      <c r="A5" s="117"/>
      <c r="B5" s="117"/>
      <c r="C5" s="117"/>
      <c r="D5" s="117"/>
      <c r="E5" s="117"/>
      <c r="F5" s="117"/>
      <c r="G5" s="117"/>
      <c r="H5" s="119" t="str">
        <f>List!$B$27&amp;":"</f>
        <v>barva:</v>
      </c>
      <c r="I5" s="119"/>
      <c r="J5" s="119" t="str">
        <f>Form!$P$2</f>
        <v>Orion šedá (OG-M)</v>
      </c>
      <c r="K5" s="119"/>
      <c r="L5" s="142"/>
      <c r="M5" s="117"/>
      <c r="O5" s="117"/>
      <c r="P5" s="125" t="str">
        <f>Cen!A121</f>
        <v>Bočnice C pure, 350mm, Orion šedá</v>
      </c>
      <c r="Q5" s="125" t="str">
        <f>Cen!B121</f>
        <v>770C3502S</v>
      </c>
      <c r="R5" s="125" t="str">
        <f>Cen!C121</f>
        <v>OG-M</v>
      </c>
      <c r="S5" s="257">
        <f>SUM(F20,F26,F32)</f>
        <v>0</v>
      </c>
      <c r="T5" s="261">
        <f>Cen!F121</f>
        <v>920.62116000000003</v>
      </c>
      <c r="U5" s="258">
        <f t="shared" si="0"/>
        <v>0</v>
      </c>
    </row>
    <row r="6" spans="1:23" x14ac:dyDescent="0.25">
      <c r="A6" s="117"/>
      <c r="B6" s="117"/>
      <c r="C6" s="117"/>
      <c r="D6" s="117"/>
      <c r="E6" s="117"/>
      <c r="F6" s="117"/>
      <c r="G6" s="117"/>
      <c r="H6" s="119" t="str">
        <f>List!$B$81&amp;":"</f>
        <v>provedení:</v>
      </c>
      <c r="I6" s="120"/>
      <c r="J6" s="119" t="s">
        <v>771</v>
      </c>
      <c r="K6" s="120"/>
      <c r="L6" s="142"/>
      <c r="M6" s="117"/>
      <c r="N6" s="2" t="str">
        <f>List!$B$12&amp;":"</f>
        <v>Pokračovat na:</v>
      </c>
      <c r="O6" s="117"/>
      <c r="P6" s="125" t="str">
        <f>Cen!A126</f>
        <v>Bočnice C pure, 400mm, Orion šedá</v>
      </c>
      <c r="Q6" s="125" t="str">
        <f>Cen!B126</f>
        <v>770C4002S</v>
      </c>
      <c r="R6" s="125" t="str">
        <f>Cen!C126</f>
        <v>OG-M</v>
      </c>
      <c r="S6" s="257">
        <f>SUM(G20,G26,G32)</f>
        <v>0</v>
      </c>
      <c r="T6" s="261">
        <f>Cen!F126</f>
        <v>931.92665999999997</v>
      </c>
      <c r="U6" s="258">
        <f t="shared" si="0"/>
        <v>0</v>
      </c>
    </row>
    <row r="7" spans="1:23" ht="13" thickBot="1" x14ac:dyDescent="0.3">
      <c r="A7" s="117"/>
      <c r="B7" s="117"/>
      <c r="C7" s="117"/>
      <c r="D7" s="117"/>
      <c r="E7" s="117"/>
      <c r="F7" s="117"/>
      <c r="G7" s="117"/>
      <c r="H7" s="119" t="str">
        <f>List!$B$36&amp;":"</f>
        <v>sklo:</v>
      </c>
      <c r="I7" s="120"/>
      <c r="J7" s="119" t="str">
        <f>Form!$P$9</f>
        <v>čiré</v>
      </c>
      <c r="K7" s="120"/>
      <c r="L7" s="142"/>
      <c r="M7" s="117"/>
      <c r="N7" s="149" t="str">
        <f>" "&amp;List!$B$5</f>
        <v xml:space="preserve"> Výběr doplňků</v>
      </c>
      <c r="O7" s="117"/>
      <c r="P7" s="125" t="str">
        <f>Cen!A131</f>
        <v>Bočnice C pure, 450mm, Orion šedá</v>
      </c>
      <c r="Q7" s="125" t="str">
        <f>Cen!B131</f>
        <v>770C4502S</v>
      </c>
      <c r="R7" s="125" t="str">
        <f>Cen!C131</f>
        <v>OG-M</v>
      </c>
      <c r="S7" s="257">
        <f>SUM(H20:H21,H26:H27,H32:H33)</f>
        <v>0</v>
      </c>
      <c r="T7" s="261">
        <f>Cen!F131</f>
        <v>921.30178999999998</v>
      </c>
      <c r="U7" s="258">
        <f t="shared" si="0"/>
        <v>0</v>
      </c>
    </row>
    <row r="8" spans="1:23" ht="13" thickBot="1" x14ac:dyDescent="0.3">
      <c r="A8" s="117"/>
      <c r="B8" s="117"/>
      <c r="C8" s="117"/>
      <c r="D8" s="117"/>
      <c r="E8" s="117"/>
      <c r="F8" s="117"/>
      <c r="G8" s="117"/>
      <c r="H8" s="120"/>
      <c r="I8" s="120"/>
      <c r="J8" s="120"/>
      <c r="K8" s="120"/>
      <c r="L8" s="152"/>
      <c r="M8" s="117"/>
      <c r="N8" s="149" t="str">
        <f>" "&amp;List!$B$6</f>
        <v xml:space="preserve"> Výběr SERVO-DRIVE</v>
      </c>
      <c r="O8" s="117"/>
      <c r="P8" s="125" t="str">
        <f>Cen!A136</f>
        <v>Bočnice C pure, 500mm, Orion šedá</v>
      </c>
      <c r="Q8" s="125" t="str">
        <f>Cen!B136</f>
        <v>770C5002S</v>
      </c>
      <c r="R8" s="125" t="str">
        <f>Cen!C136</f>
        <v>OG-M</v>
      </c>
      <c r="S8" s="257">
        <f>SUM(I20:I21,I26:I27,I32:I33)</f>
        <v>0</v>
      </c>
      <c r="T8" s="261">
        <f>Cen!F136</f>
        <v>932.34378000000004</v>
      </c>
      <c r="U8" s="258">
        <f t="shared" si="0"/>
        <v>0</v>
      </c>
    </row>
    <row r="9" spans="1:23" ht="13" thickBot="1" x14ac:dyDescent="0.3">
      <c r="A9" s="117"/>
      <c r="B9" s="117"/>
      <c r="C9" s="117"/>
      <c r="D9" s="117"/>
      <c r="E9" s="117"/>
      <c r="F9" s="117"/>
      <c r="G9" s="117"/>
      <c r="H9" s="120" t="str">
        <f>List!$B$97&amp;":"</f>
        <v>cena kování:</v>
      </c>
      <c r="I9" s="120"/>
      <c r="J9" s="120"/>
      <c r="K9" s="116">
        <f>$U$74</f>
        <v>0</v>
      </c>
      <c r="L9" s="117"/>
      <c r="M9" s="117"/>
      <c r="N9" s="242" t="str">
        <f>" "&amp;List!$B$7</f>
        <v xml:space="preserve"> Výběr AMBIA-LINE</v>
      </c>
      <c r="O9" s="117"/>
      <c r="P9" s="125" t="str">
        <f>Cen!A141</f>
        <v>Bočnice C pure, 550mm, Orion šedá</v>
      </c>
      <c r="Q9" s="125" t="str">
        <f>Cen!B141</f>
        <v>770C5502S</v>
      </c>
      <c r="R9" s="125" t="str">
        <f>Cen!C141</f>
        <v>OG-M</v>
      </c>
      <c r="S9" s="257">
        <f>SUM(J20:J21,J26:J27,J32:J33)</f>
        <v>0</v>
      </c>
      <c r="T9" s="261">
        <f>Cen!F141</f>
        <v>1011.04004</v>
      </c>
      <c r="U9" s="258">
        <f t="shared" si="0"/>
        <v>0</v>
      </c>
    </row>
    <row r="10" spans="1:23" ht="13" thickBot="1" x14ac:dyDescent="0.3">
      <c r="A10" s="117"/>
      <c r="B10" s="117"/>
      <c r="C10" s="117"/>
      <c r="D10" s="117"/>
      <c r="E10" s="117"/>
      <c r="F10" s="117"/>
      <c r="G10" s="117"/>
      <c r="H10" s="254"/>
      <c r="I10" s="254"/>
      <c r="J10" s="287"/>
      <c r="K10" s="287"/>
      <c r="L10" s="287"/>
      <c r="M10" s="117"/>
      <c r="N10" s="150" t="str">
        <f>" "&amp;List!$B$18</f>
        <v xml:space="preserve"> Souhrn</v>
      </c>
      <c r="O10" s="117"/>
      <c r="P10" s="125" t="str">
        <f>Cen!A146</f>
        <v>Bočnice C pure, 600mm, Orion šedá</v>
      </c>
      <c r="Q10" s="125" t="str">
        <f>Cen!B146</f>
        <v>770C6002S</v>
      </c>
      <c r="R10" s="125" t="str">
        <f>Cen!C146</f>
        <v>OG-M</v>
      </c>
      <c r="S10" s="257">
        <f>SUM(K20:K21,K26:K27,K32:K33)</f>
        <v>0</v>
      </c>
      <c r="T10" s="261">
        <f>Cen!F146</f>
        <v>1127.97047</v>
      </c>
      <c r="U10" s="258">
        <f t="shared" si="0"/>
        <v>0</v>
      </c>
    </row>
    <row r="11" spans="1:23" ht="13" x14ac:dyDescent="0.25">
      <c r="A11" s="117"/>
      <c r="B11" s="117"/>
      <c r="C11" s="117"/>
      <c r="D11" s="117"/>
      <c r="E11" s="117"/>
      <c r="F11" s="117"/>
      <c r="G11" s="117"/>
      <c r="H11" s="117" t="str">
        <f>List!$B$149&amp;":"</f>
        <v>Přířezy prvků:</v>
      </c>
      <c r="I11" s="226"/>
      <c r="J11" s="226"/>
      <c r="K11" s="226"/>
      <c r="L11" s="226"/>
      <c r="M11" s="117"/>
      <c r="N11" s="150" t="str">
        <f>" "&amp;List!$B$20</f>
        <v xml:space="preserve"> Objednávka</v>
      </c>
      <c r="O11" s="117"/>
      <c r="P11" s="125" t="str">
        <f>Cen!A151</f>
        <v>Bočnice C pure, 650mm, Orion šedá</v>
      </c>
      <c r="Q11" s="125" t="str">
        <f>Cen!B151</f>
        <v>770C6502S</v>
      </c>
      <c r="R11" s="125" t="str">
        <f>Cen!C151</f>
        <v>OG-M</v>
      </c>
      <c r="S11" s="257">
        <f>SUM(L21,L27,L33)</f>
        <v>0</v>
      </c>
      <c r="T11" s="261">
        <f>Cen!F151</f>
        <v>1167.5130999999999</v>
      </c>
      <c r="U11" s="258">
        <f>S11*T11</f>
        <v>0</v>
      </c>
    </row>
    <row r="12" spans="1:23" x14ac:dyDescent="0.25">
      <c r="A12" s="117"/>
      <c r="B12" s="117"/>
      <c r="C12" s="117"/>
      <c r="D12" s="117"/>
      <c r="E12" s="117"/>
      <c r="F12" s="117"/>
      <c r="G12" s="117"/>
      <c r="H12" s="117" t="str">
        <f>List!$C$153&amp;":   LW - 126"</f>
        <v>Přední díl:   LW - 126</v>
      </c>
      <c r="I12" s="286"/>
      <c r="J12" s="286"/>
      <c r="K12" s="286"/>
      <c r="L12" s="286"/>
      <c r="M12" s="117"/>
      <c r="N12" s="117"/>
      <c r="O12" s="117"/>
      <c r="P12" s="120"/>
      <c r="Q12" s="120"/>
      <c r="R12" s="120"/>
      <c r="S12" s="121"/>
      <c r="T12" s="115"/>
      <c r="U12" s="116"/>
    </row>
    <row r="13" spans="1:23" ht="13" x14ac:dyDescent="0.3">
      <c r="A13" s="117"/>
      <c r="B13" s="117"/>
      <c r="C13" s="117"/>
      <c r="D13" s="117"/>
      <c r="E13" s="117"/>
      <c r="F13" s="117"/>
      <c r="G13" s="117"/>
      <c r="H13" s="117" t="str">
        <f>List!$C$67&amp;":"</f>
        <v>přední zásuvný prvek:</v>
      </c>
      <c r="I13" s="288"/>
      <c r="J13" s="288"/>
      <c r="K13" s="288"/>
      <c r="L13" s="288"/>
      <c r="M13" s="117"/>
      <c r="N13" s="117"/>
      <c r="O13" s="117"/>
      <c r="P13" s="205" t="str">
        <f>Cen!A241</f>
        <v>Korpusové lišty BLUMOTION S, 270mm, 40kg</v>
      </c>
      <c r="Q13" s="205" t="str">
        <f>Cen!B241</f>
        <v>750.2701S</v>
      </c>
      <c r="R13" s="205" t="str">
        <f>Cen!C241</f>
        <v>ZN</v>
      </c>
      <c r="S13" s="255">
        <f>SUM(D$20, D$32)</f>
        <v>0</v>
      </c>
      <c r="T13" s="256">
        <f>Cen!F241</f>
        <v>695.93676999999991</v>
      </c>
      <c r="U13" s="256">
        <f t="shared" ref="U13:U72" si="1">S13*T13</f>
        <v>0</v>
      </c>
    </row>
    <row r="14" spans="1:23" x14ac:dyDescent="0.25">
      <c r="A14" s="117"/>
      <c r="B14" s="117"/>
      <c r="C14" s="117"/>
      <c r="D14" s="117"/>
      <c r="E14" s="117"/>
      <c r="F14" s="117"/>
      <c r="G14" s="117"/>
      <c r="H14" s="117" t="str">
        <f>"       "&amp;List!$C$75&amp;"  =  LW - 80"</f>
        <v xml:space="preserve">       šířka  =  LW - 80</v>
      </c>
      <c r="I14" s="285"/>
      <c r="J14" s="285"/>
      <c r="K14" s="285"/>
      <c r="L14" s="285"/>
      <c r="M14" s="117"/>
      <c r="N14" s="117"/>
      <c r="O14" s="117"/>
      <c r="P14" s="205" t="str">
        <f>Cen!A242</f>
        <v>Korpusové lišty BLUMOTION S, 300mm, 40kg</v>
      </c>
      <c r="Q14" s="205" t="str">
        <f>Cen!B242</f>
        <v>750.3001S</v>
      </c>
      <c r="R14" s="205" t="str">
        <f>Cen!C242</f>
        <v>ZN</v>
      </c>
      <c r="S14" s="255">
        <f>SUM(E$20, E$32)</f>
        <v>0</v>
      </c>
      <c r="T14" s="256">
        <f>Cen!F242</f>
        <v>695.93676999999991</v>
      </c>
      <c r="U14" s="256">
        <f t="shared" si="1"/>
        <v>0</v>
      </c>
    </row>
    <row r="15" spans="1:23" ht="13" x14ac:dyDescent="0.3">
      <c r="A15" s="117"/>
      <c r="B15" s="117"/>
      <c r="C15" s="117"/>
      <c r="D15" s="117"/>
      <c r="E15" s="117"/>
      <c r="F15" s="117"/>
      <c r="G15" s="117"/>
      <c r="H15" s="117" t="str">
        <f>"       "&amp;List!$C$76&amp;" = 138 mm"</f>
        <v xml:space="preserve">       výška = 138 mm</v>
      </c>
      <c r="I15" s="283"/>
      <c r="J15" s="283"/>
      <c r="K15" s="283"/>
      <c r="L15" s="283"/>
      <c r="M15" s="117"/>
      <c r="N15" s="117"/>
      <c r="O15" s="117"/>
      <c r="P15" s="205" t="str">
        <f>Cen!A243</f>
        <v>Korpusové lišty BLUMOTION S, 350mm, 40kg</v>
      </c>
      <c r="Q15" s="205" t="str">
        <f>Cen!B243</f>
        <v>750.3501S</v>
      </c>
      <c r="R15" s="205" t="str">
        <f>Cen!C243</f>
        <v>ZN</v>
      </c>
      <c r="S15" s="255">
        <f>SUM(F$20, F$32)</f>
        <v>0</v>
      </c>
      <c r="T15" s="256">
        <f>Cen!F243</f>
        <v>695.93676999999991</v>
      </c>
      <c r="U15" s="256">
        <f t="shared" si="1"/>
        <v>0</v>
      </c>
    </row>
    <row r="16" spans="1:23" x14ac:dyDescent="0.25">
      <c r="A16" s="117"/>
      <c r="B16" s="117"/>
      <c r="C16" s="117"/>
      <c r="D16" s="117"/>
      <c r="E16" s="117"/>
      <c r="F16" s="117"/>
      <c r="G16" s="117"/>
      <c r="H16" s="175"/>
      <c r="I16" s="175"/>
      <c r="J16" s="175"/>
      <c r="K16" s="175"/>
      <c r="L16" s="175"/>
      <c r="M16" s="117"/>
      <c r="N16" s="117"/>
      <c r="O16" s="117"/>
      <c r="P16" s="205" t="str">
        <f>Cen!A244</f>
        <v>Korpusové lišty BLUMOTION S, 400mm, 40kg</v>
      </c>
      <c r="Q16" s="205" t="str">
        <f>Cen!B244</f>
        <v>750.4001S</v>
      </c>
      <c r="R16" s="205" t="str">
        <f>Cen!C244</f>
        <v>ZN</v>
      </c>
      <c r="S16" s="255">
        <f>SUM(G$20, G$32)</f>
        <v>0</v>
      </c>
      <c r="T16" s="256">
        <f>Cen!F244</f>
        <v>704.8</v>
      </c>
      <c r="U16" s="256">
        <f t="shared" si="1"/>
        <v>0</v>
      </c>
    </row>
    <row r="17" spans="1:21" ht="14" x14ac:dyDescent="0.3">
      <c r="A17" s="117"/>
      <c r="B17" s="117"/>
      <c r="C17" s="117"/>
      <c r="D17" s="117"/>
      <c r="E17" s="117"/>
      <c r="F17" s="117"/>
      <c r="G17" s="117"/>
      <c r="H17" s="466" t="str">
        <f>IF(AND(SUM(S3:S10)&gt;0,SUM(S69:S72)=0),List!$B$169&amp;" "&amp;List!$B$170," ")</f>
        <v xml:space="preserve"> </v>
      </c>
      <c r="I17" s="289"/>
      <c r="J17" s="289"/>
      <c r="K17" s="289"/>
      <c r="L17" s="289"/>
      <c r="M17" s="117"/>
      <c r="N17" s="117"/>
      <c r="O17" s="117"/>
      <c r="P17" s="205" t="str">
        <f>Cen!A245</f>
        <v>Korpusové lišty BLUMOTION S, 450mm, 40kg</v>
      </c>
      <c r="Q17" s="205" t="str">
        <f>Cen!B245</f>
        <v>750.4501S</v>
      </c>
      <c r="R17" s="205" t="str">
        <f>Cen!C245</f>
        <v>ZN</v>
      </c>
      <c r="S17" s="255">
        <f>SUM(H$20, H$32)</f>
        <v>0</v>
      </c>
      <c r="T17" s="256">
        <f>Cen!F245</f>
        <v>697.06186000000002</v>
      </c>
      <c r="U17" s="256">
        <f t="shared" si="1"/>
        <v>0</v>
      </c>
    </row>
    <row r="18" spans="1:21" ht="15.5" x14ac:dyDescent="0.25">
      <c r="A18" s="117"/>
      <c r="B18" s="307" t="s">
        <v>434</v>
      </c>
      <c r="C18" s="7"/>
      <c r="H18" s="285"/>
      <c r="I18" s="285"/>
      <c r="J18" s="285"/>
      <c r="K18" s="285"/>
      <c r="L18" s="285"/>
      <c r="M18" s="117"/>
      <c r="N18" s="117"/>
      <c r="O18" s="117"/>
      <c r="P18" s="205" t="str">
        <f>Cen!A246</f>
        <v>Korpusové lišty BLUMOTION S, 450mm, 70kg</v>
      </c>
      <c r="Q18" s="205" t="str">
        <f>Cen!B246</f>
        <v>753.4501S</v>
      </c>
      <c r="R18" s="205" t="str">
        <f>Cen!C246</f>
        <v>ZN</v>
      </c>
      <c r="S18" s="255">
        <f>SUM(H$21, H$33)</f>
        <v>0</v>
      </c>
      <c r="T18" s="256">
        <f>Cen!F246</f>
        <v>881.76589000000013</v>
      </c>
      <c r="U18" s="256">
        <f t="shared" si="1"/>
        <v>0</v>
      </c>
    </row>
    <row r="19" spans="1:21" ht="14" x14ac:dyDescent="0.3">
      <c r="A19" s="117"/>
      <c r="C19" s="315" t="str">
        <f>List!$B$118&amp;":"</f>
        <v>Jmenovitá délka:</v>
      </c>
      <c r="D19" s="303" t="s">
        <v>522</v>
      </c>
      <c r="E19" s="300" t="s">
        <v>56</v>
      </c>
      <c r="F19" s="300" t="s">
        <v>523</v>
      </c>
      <c r="G19" s="300" t="s">
        <v>524</v>
      </c>
      <c r="H19" s="300" t="s">
        <v>111</v>
      </c>
      <c r="I19" s="301" t="s">
        <v>525</v>
      </c>
      <c r="J19" s="300" t="s">
        <v>526</v>
      </c>
      <c r="K19" s="302" t="s">
        <v>112</v>
      </c>
      <c r="L19" s="302" t="s">
        <v>770</v>
      </c>
      <c r="M19" s="117"/>
      <c r="N19" s="117"/>
      <c r="O19" s="117"/>
      <c r="P19" s="205" t="str">
        <f>Cen!A247</f>
        <v>Korpusové lišty BLUMOTION S, 500mm, 40kg</v>
      </c>
      <c r="Q19" s="205" t="str">
        <f>Cen!B247</f>
        <v>750.5001S</v>
      </c>
      <c r="R19" s="205" t="str">
        <f>Cen!C247</f>
        <v>ZN</v>
      </c>
      <c r="S19" s="337">
        <f>SUM(I$20, I$32)</f>
        <v>0</v>
      </c>
      <c r="T19" s="256">
        <f>Cen!F247</f>
        <v>705.71905000000004</v>
      </c>
      <c r="U19" s="256">
        <f t="shared" si="1"/>
        <v>0</v>
      </c>
    </row>
    <row r="20" spans="1:21" ht="14.5" thickBot="1" x14ac:dyDescent="0.35">
      <c r="A20" s="117"/>
      <c r="B20" s="292" t="s">
        <v>651</v>
      </c>
      <c r="C20" s="293" t="s">
        <v>432</v>
      </c>
      <c r="D20" s="294"/>
      <c r="E20" s="294"/>
      <c r="F20" s="294"/>
      <c r="G20" s="294"/>
      <c r="H20" s="294"/>
      <c r="I20" s="294"/>
      <c r="J20" s="294"/>
      <c r="K20" s="295"/>
      <c r="L20" s="559"/>
      <c r="M20" s="117"/>
      <c r="N20" s="117"/>
      <c r="O20" s="117"/>
      <c r="P20" s="205" t="str">
        <f>Cen!A248</f>
        <v>Korpusové lišty BLUMOTION S, 500mm, 70kg</v>
      </c>
      <c r="Q20" s="205" t="str">
        <f>Cen!B248</f>
        <v>753.5001S</v>
      </c>
      <c r="R20" s="205" t="str">
        <f>Cen!C248</f>
        <v>ZN</v>
      </c>
      <c r="S20" s="337">
        <f>SUM(I$21, I$33)</f>
        <v>0</v>
      </c>
      <c r="T20" s="256">
        <f>Cen!F248</f>
        <v>890.62918000000002</v>
      </c>
      <c r="U20" s="256">
        <f t="shared" si="1"/>
        <v>0</v>
      </c>
    </row>
    <row r="21" spans="1:21" ht="14" x14ac:dyDescent="0.3">
      <c r="A21" s="117"/>
      <c r="B21" s="296" t="s">
        <v>652</v>
      </c>
      <c r="C21" s="306" t="s">
        <v>433</v>
      </c>
      <c r="D21" s="407"/>
      <c r="E21" s="407"/>
      <c r="F21" s="407"/>
      <c r="G21" s="407"/>
      <c r="H21" s="298"/>
      <c r="I21" s="298"/>
      <c r="J21" s="298"/>
      <c r="K21" s="299"/>
      <c r="L21" s="299"/>
      <c r="M21" s="117"/>
      <c r="N21" s="117"/>
      <c r="O21" s="117"/>
      <c r="P21" s="205" t="str">
        <f>Cen!A249</f>
        <v>Korpusové lišty BLUMOTION S, 550mm, 40kg</v>
      </c>
      <c r="Q21" s="205" t="str">
        <f>Cen!B249</f>
        <v>750.5501S</v>
      </c>
      <c r="R21" s="205" t="str">
        <f>Cen!C249</f>
        <v>ZN</v>
      </c>
      <c r="S21" s="255">
        <f>SUM(J$20, J$32)</f>
        <v>0</v>
      </c>
      <c r="T21" s="256">
        <f>Cen!F249</f>
        <v>769.83820000000003</v>
      </c>
      <c r="U21" s="256">
        <f t="shared" si="1"/>
        <v>0</v>
      </c>
    </row>
    <row r="22" spans="1:21" ht="13" x14ac:dyDescent="0.3">
      <c r="A22" s="117"/>
      <c r="B22" s="282"/>
      <c r="C22" s="282"/>
      <c r="H22" s="285"/>
      <c r="I22" s="285"/>
      <c r="J22" s="285"/>
      <c r="K22" s="285"/>
      <c r="L22" s="285"/>
      <c r="M22" s="117"/>
      <c r="N22" s="117"/>
      <c r="O22" s="117"/>
      <c r="P22" s="205" t="str">
        <f>Cen!A250</f>
        <v>Korpusové lišty BLUMOTION S, 550mm, 70kg</v>
      </c>
      <c r="Q22" s="205" t="str">
        <f>Cen!B250</f>
        <v>753.5501S</v>
      </c>
      <c r="R22" s="205" t="str">
        <f>Cen!C250</f>
        <v>ZN</v>
      </c>
      <c r="S22" s="255">
        <f>SUM(J$21, J$33)</f>
        <v>0</v>
      </c>
      <c r="T22" s="256">
        <f>Cen!F250</f>
        <v>937.94550000000004</v>
      </c>
      <c r="U22" s="256">
        <f t="shared" si="1"/>
        <v>0</v>
      </c>
    </row>
    <row r="23" spans="1:21" ht="13" x14ac:dyDescent="0.3">
      <c r="A23" s="117"/>
      <c r="B23" s="282"/>
      <c r="C23" s="282"/>
      <c r="H23" s="285"/>
      <c r="I23" s="285"/>
      <c r="J23" s="285"/>
      <c r="K23" s="285"/>
      <c r="L23" s="285"/>
      <c r="M23" s="117"/>
      <c r="N23" s="117"/>
      <c r="O23" s="117"/>
      <c r="P23" s="205" t="str">
        <f>Cen!A251</f>
        <v>Korpusové lišty BLUMOTION S, 600mm, 40kg</v>
      </c>
      <c r="Q23" s="205" t="str">
        <f>Cen!B251</f>
        <v>750.6001S</v>
      </c>
      <c r="R23" s="205" t="str">
        <f>Cen!C251</f>
        <v>ZN</v>
      </c>
      <c r="S23" s="255">
        <f>SUM(K$20, K$32)</f>
        <v>0</v>
      </c>
      <c r="T23" s="256">
        <f>Cen!F251</f>
        <v>865.24247000000003</v>
      </c>
      <c r="U23" s="256">
        <f t="shared" si="1"/>
        <v>0</v>
      </c>
    </row>
    <row r="24" spans="1:21" ht="15.5" x14ac:dyDescent="0.35">
      <c r="A24" s="117"/>
      <c r="B24" s="308" t="s">
        <v>228</v>
      </c>
      <c r="C24" s="304"/>
      <c r="H24" s="283"/>
      <c r="I24" s="283"/>
      <c r="J24" s="283"/>
      <c r="K24" s="283"/>
      <c r="L24" s="283"/>
      <c r="M24" s="117"/>
      <c r="N24" s="117"/>
      <c r="O24" s="117"/>
      <c r="P24" s="205" t="str">
        <f>Cen!A252</f>
        <v>Korpusové lišty BLUMOTION S, 600mm, 70kg</v>
      </c>
      <c r="Q24" s="205" t="str">
        <f>Cen!B252</f>
        <v>753.6001S</v>
      </c>
      <c r="R24" s="205" t="str">
        <f>Cen!C252</f>
        <v>ZN</v>
      </c>
      <c r="S24" s="255">
        <f>SUM(K$21, K$33)</f>
        <v>0</v>
      </c>
      <c r="T24" s="256">
        <f>Cen!F252</f>
        <v>1033.34979</v>
      </c>
      <c r="U24" s="256">
        <f t="shared" si="1"/>
        <v>0</v>
      </c>
    </row>
    <row r="25" spans="1:21" ht="15.5" x14ac:dyDescent="0.35">
      <c r="A25" s="117"/>
      <c r="B25" s="308"/>
      <c r="C25" s="315" t="str">
        <f>List!$B$118&amp;":"</f>
        <v>Jmenovitá délka:</v>
      </c>
      <c r="D25" s="303" t="s">
        <v>522</v>
      </c>
      <c r="E25" s="300" t="s">
        <v>56</v>
      </c>
      <c r="F25" s="300" t="s">
        <v>523</v>
      </c>
      <c r="G25" s="300" t="s">
        <v>524</v>
      </c>
      <c r="H25" s="300" t="s">
        <v>111</v>
      </c>
      <c r="I25" s="301" t="s">
        <v>525</v>
      </c>
      <c r="J25" s="300" t="s">
        <v>526</v>
      </c>
      <c r="K25" s="302" t="s">
        <v>112</v>
      </c>
      <c r="L25" s="302" t="s">
        <v>770</v>
      </c>
      <c r="M25" s="117"/>
      <c r="N25" s="117"/>
      <c r="O25" s="117"/>
      <c r="P25" s="205" t="str">
        <f>Cen!A253</f>
        <v>Korpusové lišty BLUMOTION S, 650mm, 70kg</v>
      </c>
      <c r="Q25" s="205" t="str">
        <f>Cen!B253</f>
        <v>753.6501S</v>
      </c>
      <c r="R25" s="205" t="str">
        <f>Cen!C253</f>
        <v>ZN</v>
      </c>
      <c r="S25" s="255">
        <f>SUM(L$21, L$33)</f>
        <v>0</v>
      </c>
      <c r="T25" s="256">
        <f>Cen!F253</f>
        <v>1080.66551</v>
      </c>
      <c r="U25" s="256">
        <f>S25*T25</f>
        <v>0</v>
      </c>
    </row>
    <row r="26" spans="1:21" ht="14.5" thickBot="1" x14ac:dyDescent="0.35">
      <c r="A26" s="117"/>
      <c r="B26" s="292" t="s">
        <v>653</v>
      </c>
      <c r="C26" s="293" t="s">
        <v>432</v>
      </c>
      <c r="D26" s="294"/>
      <c r="E26" s="294"/>
      <c r="F26" s="294"/>
      <c r="G26" s="294"/>
      <c r="H26" s="294"/>
      <c r="I26" s="294"/>
      <c r="J26" s="294"/>
      <c r="K26" s="295"/>
      <c r="L26" s="559"/>
      <c r="M26" s="117"/>
      <c r="N26" s="117"/>
      <c r="O26" s="117"/>
      <c r="P26" s="205"/>
      <c r="Q26" s="205"/>
      <c r="R26" s="205"/>
      <c r="S26" s="255"/>
      <c r="T26" s="256"/>
      <c r="U26" s="256"/>
    </row>
    <row r="27" spans="1:21" ht="14" x14ac:dyDescent="0.3">
      <c r="A27" s="117"/>
      <c r="B27" s="291" t="s">
        <v>654</v>
      </c>
      <c r="C27" s="305" t="s">
        <v>433</v>
      </c>
      <c r="D27" s="407"/>
      <c r="E27" s="407"/>
      <c r="F27" s="407"/>
      <c r="G27" s="407"/>
      <c r="H27" s="298"/>
      <c r="I27" s="298"/>
      <c r="J27" s="298"/>
      <c r="K27" s="299"/>
      <c r="L27" s="299"/>
      <c r="M27" s="117"/>
      <c r="N27" s="117"/>
      <c r="O27" s="117"/>
      <c r="P27" s="205" t="str">
        <f>Cen!A257</f>
        <v>Korpusové lišty TIP-ON, 270mm, 40kg</v>
      </c>
      <c r="Q27" s="205" t="str">
        <f>Cen!B257</f>
        <v>750.2701T</v>
      </c>
      <c r="R27" s="205" t="str">
        <f>Cen!C257</f>
        <v>ZN</v>
      </c>
      <c r="S27" s="255">
        <f>D26</f>
        <v>0</v>
      </c>
      <c r="T27" s="256">
        <f>Cen!F257</f>
        <v>963.84325999999999</v>
      </c>
      <c r="U27" s="256">
        <f t="shared" si="1"/>
        <v>0</v>
      </c>
    </row>
    <row r="28" spans="1:21" ht="13" x14ac:dyDescent="0.3">
      <c r="A28" s="117"/>
      <c r="B28" s="282"/>
      <c r="C28" s="282"/>
      <c r="D28" s="117"/>
      <c r="E28" s="117"/>
      <c r="F28" s="117"/>
      <c r="G28" s="117"/>
      <c r="H28" s="283"/>
      <c r="I28" s="283"/>
      <c r="J28" s="283"/>
      <c r="K28" s="283"/>
      <c r="L28" s="283"/>
      <c r="M28" s="117"/>
      <c r="N28" s="117"/>
      <c r="O28" s="117"/>
      <c r="P28" s="205" t="str">
        <f>Cen!A258</f>
        <v>Korpusové lišty TIP-ON, 300mm, 40kg</v>
      </c>
      <c r="Q28" s="205" t="str">
        <f>Cen!B258</f>
        <v>750.3001T</v>
      </c>
      <c r="R28" s="205" t="str">
        <f>Cen!C258</f>
        <v>ZN</v>
      </c>
      <c r="S28" s="255">
        <f>E26</f>
        <v>0</v>
      </c>
      <c r="T28" s="256">
        <f>Cen!F258</f>
        <v>963.84325999999999</v>
      </c>
      <c r="U28" s="256">
        <f t="shared" si="1"/>
        <v>0</v>
      </c>
    </row>
    <row r="29" spans="1:21" x14ac:dyDescent="0.25">
      <c r="A29" s="117"/>
      <c r="M29" s="117"/>
      <c r="N29" s="117"/>
      <c r="O29" s="117"/>
      <c r="P29" s="205" t="str">
        <f>Cen!A259</f>
        <v>Korpusové lišty TIP-ON, 350mm, 40kg</v>
      </c>
      <c r="Q29" s="205" t="str">
        <f>Cen!B259</f>
        <v>750.3501T</v>
      </c>
      <c r="R29" s="205" t="str">
        <f>Cen!C259</f>
        <v>ZN</v>
      </c>
      <c r="S29" s="255">
        <f>F26</f>
        <v>0</v>
      </c>
      <c r="T29" s="256">
        <f>Cen!F259</f>
        <v>963.84325999999999</v>
      </c>
      <c r="U29" s="256">
        <f t="shared" si="1"/>
        <v>0</v>
      </c>
    </row>
    <row r="30" spans="1:21" ht="16" thickBot="1" x14ac:dyDescent="0.4">
      <c r="A30" s="117"/>
      <c r="B30" s="308" t="s">
        <v>940</v>
      </c>
      <c r="C30" s="304"/>
      <c r="H30" s="283"/>
      <c r="I30" s="283"/>
      <c r="J30" s="283"/>
      <c r="K30" s="283"/>
      <c r="L30" s="283"/>
      <c r="M30" s="175"/>
      <c r="N30" s="253"/>
      <c r="O30" s="117"/>
      <c r="P30" s="205" t="str">
        <f>Cen!A260</f>
        <v>Korpusové lišty TIP-ON, 400mm, 40kg</v>
      </c>
      <c r="Q30" s="205" t="str">
        <f>Cen!B260</f>
        <v>750.4001T</v>
      </c>
      <c r="R30" s="205" t="str">
        <f>Cen!C260</f>
        <v>ZN</v>
      </c>
      <c r="S30" s="255">
        <f>G26</f>
        <v>0</v>
      </c>
      <c r="T30" s="256">
        <f>Cen!F260</f>
        <v>972.70714999999996</v>
      </c>
      <c r="U30" s="256">
        <f t="shared" si="1"/>
        <v>0</v>
      </c>
    </row>
    <row r="31" spans="1:21" ht="15.5" x14ac:dyDescent="0.35">
      <c r="A31" s="117"/>
      <c r="B31" s="308"/>
      <c r="C31" s="315" t="str">
        <f>List!$B$118&amp;":"</f>
        <v>Jmenovitá délka:</v>
      </c>
      <c r="D31" s="303" t="s">
        <v>522</v>
      </c>
      <c r="E31" s="300" t="s">
        <v>56</v>
      </c>
      <c r="F31" s="300" t="s">
        <v>523</v>
      </c>
      <c r="G31" s="300" t="s">
        <v>524</v>
      </c>
      <c r="H31" s="300" t="s">
        <v>111</v>
      </c>
      <c r="I31" s="301" t="s">
        <v>525</v>
      </c>
      <c r="J31" s="300" t="s">
        <v>526</v>
      </c>
      <c r="K31" s="302" t="s">
        <v>112</v>
      </c>
      <c r="L31" s="302" t="s">
        <v>770</v>
      </c>
      <c r="M31" s="175"/>
      <c r="N31" s="150" t="str">
        <f>" "&amp;List!$B$303</f>
        <v xml:space="preserve"> Výběr sady jednotek</v>
      </c>
      <c r="O31" s="117"/>
      <c r="P31" s="205" t="str">
        <f>Cen!A261</f>
        <v>Korpusové lišty TIP-ON, 450mm, 40kg</v>
      </c>
      <c r="Q31" s="205" t="str">
        <f>Cen!B261</f>
        <v>750.4501T</v>
      </c>
      <c r="R31" s="205" t="str">
        <f>Cen!C261</f>
        <v>ZN</v>
      </c>
      <c r="S31" s="255">
        <f>H26</f>
        <v>0</v>
      </c>
      <c r="T31" s="256">
        <f>Cen!F261</f>
        <v>958.74321999999995</v>
      </c>
      <c r="U31" s="256">
        <f t="shared" si="1"/>
        <v>0</v>
      </c>
    </row>
    <row r="32" spans="1:21" ht="14.5" thickBot="1" x14ac:dyDescent="0.35">
      <c r="A32" s="117"/>
      <c r="B32" s="292" t="s">
        <v>941</v>
      </c>
      <c r="C32" s="293" t="s">
        <v>432</v>
      </c>
      <c r="D32" s="294"/>
      <c r="E32" s="294"/>
      <c r="F32" s="294"/>
      <c r="G32" s="294"/>
      <c r="H32" s="294"/>
      <c r="I32" s="294"/>
      <c r="J32" s="294"/>
      <c r="K32" s="295"/>
      <c r="L32" s="559"/>
      <c r="M32" s="117"/>
      <c r="N32" s="117"/>
      <c r="P32" s="205" t="str">
        <f>Cen!A262</f>
        <v>Korpusové lišty TIP-ON, 450mm, 70kg</v>
      </c>
      <c r="Q32" s="205" t="str">
        <f>Cen!B262</f>
        <v>753.4501T</v>
      </c>
      <c r="R32" s="205" t="str">
        <f>Cen!C262</f>
        <v>ZN</v>
      </c>
      <c r="S32" s="255">
        <f>H27</f>
        <v>0</v>
      </c>
      <c r="T32" s="256">
        <f>Cen!F262</f>
        <v>1142.8525999999999</v>
      </c>
      <c r="U32" s="256">
        <f t="shared" si="1"/>
        <v>0</v>
      </c>
    </row>
    <row r="33" spans="1:21" ht="14" x14ac:dyDescent="0.3">
      <c r="B33" s="291" t="s">
        <v>942</v>
      </c>
      <c r="C33" s="305" t="s">
        <v>433</v>
      </c>
      <c r="D33" s="407"/>
      <c r="E33" s="407"/>
      <c r="F33" s="407"/>
      <c r="G33" s="407"/>
      <c r="H33" s="298"/>
      <c r="I33" s="298"/>
      <c r="J33" s="298"/>
      <c r="K33" s="299"/>
      <c r="L33" s="299"/>
      <c r="M33" s="117"/>
      <c r="N33" s="117"/>
      <c r="P33" s="205" t="str">
        <f>Cen!A263</f>
        <v>Korpusové lišty TIP-ON, 500mm, 40kg</v>
      </c>
      <c r="Q33" s="205" t="str">
        <f>Cen!B263</f>
        <v>750.5001T</v>
      </c>
      <c r="R33" s="205" t="str">
        <f>Cen!C263</f>
        <v>ZN</v>
      </c>
      <c r="S33" s="255">
        <f>I26</f>
        <v>0</v>
      </c>
      <c r="T33" s="256">
        <f>Cen!F263</f>
        <v>967.39513999999997</v>
      </c>
      <c r="U33" s="256">
        <f t="shared" si="1"/>
        <v>0</v>
      </c>
    </row>
    <row r="34" spans="1:21" ht="15.5" x14ac:dyDescent="0.3">
      <c r="B34" s="339"/>
      <c r="C34" s="286"/>
      <c r="D34" s="340"/>
      <c r="E34" s="341"/>
      <c r="F34" s="342"/>
      <c r="G34" s="341"/>
      <c r="H34" s="341"/>
      <c r="I34" s="286"/>
      <c r="J34" s="286"/>
      <c r="K34" s="286"/>
      <c r="L34" s="286"/>
      <c r="M34" s="117"/>
      <c r="N34" s="117"/>
      <c r="P34" s="205" t="str">
        <f>Cen!A264</f>
        <v>Korpusové lišty TIP-ON, 500mm, 70kg</v>
      </c>
      <c r="Q34" s="205" t="str">
        <f>Cen!B264</f>
        <v>753.5001T</v>
      </c>
      <c r="R34" s="205" t="str">
        <f>Cen!C264</f>
        <v>ZN</v>
      </c>
      <c r="S34" s="255">
        <f>I27</f>
        <v>0</v>
      </c>
      <c r="T34" s="256">
        <f>Cen!F264</f>
        <v>1151.7105200000001</v>
      </c>
      <c r="U34" s="256">
        <f t="shared" si="1"/>
        <v>0</v>
      </c>
    </row>
    <row r="35" spans="1:21" ht="13" x14ac:dyDescent="0.3">
      <c r="C35" s="175"/>
      <c r="D35" s="649" t="str">
        <f>List!B312</f>
        <v>Sada jednotek TIP-ON BLUMOTION</v>
      </c>
      <c r="E35" s="175"/>
      <c r="F35" s="175"/>
      <c r="G35" s="175"/>
      <c r="H35" s="175"/>
      <c r="I35" s="723"/>
      <c r="J35" s="723"/>
      <c r="K35" s="723"/>
      <c r="L35" s="723"/>
      <c r="M35" s="117"/>
      <c r="N35" s="117"/>
      <c r="P35" s="205" t="str">
        <f>Cen!A265</f>
        <v>Korpusové lišty TIP-ON, 550mm, 40kg</v>
      </c>
      <c r="Q35" s="205" t="str">
        <f>Cen!B265</f>
        <v>750.5501T</v>
      </c>
      <c r="R35" s="205" t="str">
        <f>Cen!C265</f>
        <v>ZN</v>
      </c>
      <c r="S35" s="255">
        <f>J26</f>
        <v>0</v>
      </c>
      <c r="T35" s="256">
        <f>Cen!F265</f>
        <v>1037.74467</v>
      </c>
      <c r="U35" s="256">
        <f t="shared" si="1"/>
        <v>0</v>
      </c>
    </row>
    <row r="36" spans="1:21" ht="14" x14ac:dyDescent="0.3">
      <c r="B36" s="286"/>
      <c r="C36" s="286"/>
      <c r="D36" s="303" t="s">
        <v>1017</v>
      </c>
      <c r="E36" s="303" t="s">
        <v>946</v>
      </c>
      <c r="F36" s="300" t="s">
        <v>1421</v>
      </c>
      <c r="G36" s="300" t="s">
        <v>948</v>
      </c>
      <c r="H36" s="302" t="s">
        <v>1423</v>
      </c>
      <c r="I36" s="286"/>
      <c r="J36" s="723"/>
      <c r="K36" s="723"/>
      <c r="L36" s="723"/>
      <c r="M36" s="117"/>
      <c r="P36" s="205" t="str">
        <f>Cen!A266</f>
        <v>Korpusové lišty TIP-ON, 550mm, 70kg</v>
      </c>
      <c r="Q36" s="205" t="str">
        <f>Cen!B266</f>
        <v>753.5501T</v>
      </c>
      <c r="R36" s="205" t="str">
        <f>Cen!C266</f>
        <v>ZN</v>
      </c>
      <c r="S36" s="255">
        <f>J27</f>
        <v>0</v>
      </c>
      <c r="T36" s="256">
        <f>Cen!F266</f>
        <v>1199.02684</v>
      </c>
      <c r="U36" s="256">
        <f t="shared" si="1"/>
        <v>0</v>
      </c>
    </row>
    <row r="37" spans="1:21" ht="14.5" thickBot="1" x14ac:dyDescent="0.35">
      <c r="B37" s="175"/>
      <c r="C37" s="286"/>
      <c r="D37" s="294"/>
      <c r="E37" s="294"/>
      <c r="F37" s="294"/>
      <c r="G37" s="294"/>
      <c r="H37" s="295"/>
      <c r="I37" s="652" t="str">
        <f>IF(SUM(F32:K32,H33:L33)=SUM(F37:H37)," ",P86)</f>
        <v xml:space="preserve"> </v>
      </c>
      <c r="M37" s="117"/>
      <c r="P37" s="120" t="str">
        <f>Cen!A267</f>
        <v>Korpusové lišty TIP-ON, 600mm, 40kg</v>
      </c>
      <c r="Q37" s="120" t="str">
        <f>Cen!B267</f>
        <v>750.6001T</v>
      </c>
      <c r="R37" s="120" t="str">
        <f>Cen!C267</f>
        <v>ZN</v>
      </c>
      <c r="S37" s="121">
        <f>K26</f>
        <v>0</v>
      </c>
      <c r="T37" s="116">
        <f>Cen!F267</f>
        <v>1133.14894</v>
      </c>
      <c r="U37" s="256">
        <f t="shared" si="1"/>
        <v>0</v>
      </c>
    </row>
    <row r="38" spans="1:21" x14ac:dyDescent="0.25">
      <c r="C38" s="724" t="str">
        <f>IF(AND(SUM($D$32,$E$32)&gt;0,SUM($D$37,$E$37)=0),$P$85, IF(AND(SUM($D$32,$E$32)=0,SUM($D$37,$E$37)&gt;0),$P$84, " "))&amp;IF(SUM($D$32,$E$32)&lt;&gt;SUM($D$37,$E$37)," "&amp;$P$87," ")</f>
        <v xml:space="preserve">  </v>
      </c>
      <c r="D38" s="650"/>
      <c r="E38" s="286"/>
      <c r="F38" s="286"/>
      <c r="G38" s="286"/>
      <c r="H38" s="286"/>
      <c r="I38" s="286"/>
      <c r="M38" s="117"/>
      <c r="P38" s="120" t="str">
        <f>Cen!A268</f>
        <v>Korpusové lišty TIP-ON, 600mm, 70kg</v>
      </c>
      <c r="Q38" s="120" t="str">
        <f>Cen!B268</f>
        <v>753.6001T</v>
      </c>
      <c r="R38" s="120" t="str">
        <f>Cen!C268</f>
        <v>ZN</v>
      </c>
      <c r="S38" s="121">
        <f>K27</f>
        <v>0</v>
      </c>
      <c r="T38" s="116">
        <f>Cen!F268</f>
        <v>1294.4311299999999</v>
      </c>
      <c r="U38" s="116">
        <f t="shared" si="1"/>
        <v>0</v>
      </c>
    </row>
    <row r="39" spans="1:21" ht="20" customHeight="1" x14ac:dyDescent="0.35">
      <c r="A39"/>
      <c r="D39" s="725" t="str">
        <f>"        ** "&amp;List!$B$325&amp;"!"</f>
        <v xml:space="preserve">        ** Jednotky L1 nelze kombinovat s lištami se zvýšenou nosností (70 kg)!</v>
      </c>
      <c r="I39" s="284"/>
      <c r="J39" s="284"/>
      <c r="K39" s="284"/>
      <c r="L39" s="284"/>
      <c r="M39" s="284"/>
      <c r="P39" s="120" t="str">
        <f>Cen!A269</f>
        <v>Korpusové lišty TIP-ON, 650mm, 70kg</v>
      </c>
      <c r="Q39" s="120" t="str">
        <f>Cen!B269</f>
        <v>753.6501T</v>
      </c>
      <c r="R39" s="120" t="str">
        <f>Cen!C269</f>
        <v>ZN</v>
      </c>
      <c r="S39" s="121">
        <f>L27</f>
        <v>0</v>
      </c>
      <c r="T39" s="116">
        <f>Cen!F269</f>
        <v>1341.74685</v>
      </c>
      <c r="U39" s="116">
        <f>S39*T39</f>
        <v>0</v>
      </c>
    </row>
    <row r="40" spans="1:21" ht="14.5" x14ac:dyDescent="0.35">
      <c r="A40" s="762"/>
      <c r="D40" s="725" t="str">
        <f>"       *** "&amp;List!$B$326&amp;"!"</f>
        <v xml:space="preserve">       *** Jednotky L5 nelze kombinovat s lištami se základní nosností (40 kg)!</v>
      </c>
      <c r="I40" s="284"/>
      <c r="J40" s="284"/>
      <c r="K40" s="284"/>
      <c r="L40" s="284"/>
      <c r="M40" s="284"/>
      <c r="P40" s="142"/>
      <c r="Q40" s="142"/>
      <c r="R40" s="142"/>
      <c r="S40" s="148"/>
      <c r="T40" s="152"/>
      <c r="U40" s="152"/>
    </row>
    <row r="41" spans="1:21" x14ac:dyDescent="0.25">
      <c r="B41" s="651"/>
      <c r="C41" s="651"/>
      <c r="D41" s="650"/>
      <c r="P41" s="120"/>
      <c r="Q41" s="120"/>
      <c r="R41" s="120"/>
      <c r="S41" s="121"/>
      <c r="T41" s="116"/>
      <c r="U41" s="116"/>
    </row>
    <row r="42" spans="1:21" ht="13" x14ac:dyDescent="0.3">
      <c r="B42" s="117"/>
      <c r="C42" s="282"/>
      <c r="D42" s="725" t="str">
        <f>"     "&amp;List!$B$313</f>
        <v xml:space="preserve">     Synchronizace bude přidána automaticky. </v>
      </c>
      <c r="H42" s="286"/>
      <c r="I42" s="286"/>
      <c r="J42" s="286"/>
      <c r="K42" s="286"/>
      <c r="L42" s="286"/>
      <c r="P42" s="120"/>
      <c r="Q42" s="120"/>
      <c r="R42" s="120"/>
      <c r="S42" s="121"/>
      <c r="T42" s="116"/>
      <c r="U42" s="116"/>
    </row>
    <row r="43" spans="1:21" ht="13" x14ac:dyDescent="0.3">
      <c r="B43" s="282"/>
      <c r="C43" s="282"/>
      <c r="D43" s="725" t="str">
        <f>"     "&amp;List!$B$314</f>
        <v xml:space="preserve">     Pozor! Pro každý výsuv je započítána jedna hřídel. Počet hřídelí upravte v objednávce!</v>
      </c>
      <c r="E43" s="117"/>
      <c r="F43" s="117"/>
      <c r="G43" s="117"/>
      <c r="H43" s="142"/>
      <c r="I43" s="142"/>
      <c r="J43" s="117"/>
      <c r="K43" s="117"/>
      <c r="L43" s="117"/>
      <c r="P43" s="142"/>
      <c r="Q43" s="120"/>
      <c r="R43" s="120"/>
      <c r="S43" s="121"/>
      <c r="T43" s="116"/>
      <c r="U43" s="116"/>
    </row>
    <row r="44" spans="1:21" ht="13" x14ac:dyDescent="0.3">
      <c r="B44" s="282"/>
      <c r="C44" s="282"/>
      <c r="D44" s="725"/>
      <c r="E44" s="117"/>
      <c r="F44" s="117"/>
      <c r="G44" s="117"/>
      <c r="H44" s="142"/>
      <c r="I44" s="142"/>
      <c r="J44" s="117"/>
      <c r="K44" s="117"/>
      <c r="L44" s="117"/>
      <c r="P44" s="120"/>
      <c r="Q44" s="120"/>
      <c r="R44" s="120"/>
      <c r="S44" s="121"/>
      <c r="T44" s="116"/>
      <c r="U44" s="116"/>
    </row>
    <row r="45" spans="1:21" ht="13" x14ac:dyDescent="0.3">
      <c r="B45" s="282"/>
      <c r="C45" s="282"/>
      <c r="H45" s="285"/>
      <c r="I45" s="285"/>
      <c r="J45" s="285"/>
      <c r="K45" s="285"/>
      <c r="L45" s="285"/>
      <c r="P45" s="120"/>
      <c r="Q45" s="120"/>
      <c r="R45" s="120"/>
      <c r="S45" s="121"/>
      <c r="T45" s="116"/>
      <c r="U45" s="116"/>
    </row>
    <row r="46" spans="1:21" ht="15.5" x14ac:dyDescent="0.35">
      <c r="B46" s="316" t="str">
        <f>List!$B$66&amp;" - "&amp;List!$B$36</f>
        <v>Přední zásuvné prvky - sklo</v>
      </c>
      <c r="C46" s="282"/>
      <c r="H46" s="283"/>
      <c r="I46" s="283"/>
      <c r="J46" s="283"/>
      <c r="K46" s="283"/>
      <c r="L46" s="283"/>
      <c r="P46" s="120"/>
      <c r="Q46" s="120"/>
      <c r="R46" s="120"/>
      <c r="S46" s="121"/>
      <c r="T46" s="116"/>
      <c r="U46" s="116"/>
    </row>
    <row r="47" spans="1:21" ht="15.5" x14ac:dyDescent="0.3">
      <c r="B47" s="307"/>
      <c r="C47" s="7"/>
      <c r="D47" s="315" t="str">
        <f>List!$B$115&amp;" KB: "</f>
        <v xml:space="preserve">Šířka korpusu KB: </v>
      </c>
      <c r="E47" s="303" t="s">
        <v>111</v>
      </c>
      <c r="F47" s="309" t="s">
        <v>112</v>
      </c>
      <c r="G47" s="300" t="s">
        <v>642</v>
      </c>
      <c r="H47" s="302" t="s">
        <v>643</v>
      </c>
      <c r="I47" s="286"/>
      <c r="J47" s="286"/>
      <c r="K47" s="286"/>
      <c r="L47" s="286"/>
      <c r="P47" s="684"/>
      <c r="Q47" s="684"/>
      <c r="R47" s="684"/>
      <c r="S47" s="685"/>
      <c r="T47" s="686"/>
      <c r="U47" s="686"/>
    </row>
    <row r="48" spans="1:21" ht="14" x14ac:dyDescent="0.3">
      <c r="B48" s="314"/>
      <c r="D48" s="317" t="str">
        <f>List!$B$103&amp;": "</f>
        <v xml:space="preserve">Celkový počet ks: </v>
      </c>
      <c r="E48" s="312"/>
      <c r="F48" s="312"/>
      <c r="G48" s="312"/>
      <c r="H48" s="313"/>
      <c r="I48" s="284"/>
      <c r="J48" s="284"/>
      <c r="K48" s="284"/>
      <c r="L48" s="284"/>
      <c r="P48" s="684"/>
      <c r="Q48" s="684"/>
      <c r="R48" s="684"/>
      <c r="S48" s="685"/>
      <c r="T48" s="686"/>
      <c r="U48" s="686"/>
    </row>
    <row r="49" spans="2:21" ht="14" x14ac:dyDescent="0.3">
      <c r="B49" s="314"/>
      <c r="D49" s="317"/>
      <c r="E49" s="290"/>
      <c r="F49" s="290"/>
      <c r="G49" s="290"/>
      <c r="H49" s="290"/>
      <c r="I49" s="284"/>
      <c r="J49" s="284"/>
      <c r="K49" s="284"/>
      <c r="L49" s="284"/>
      <c r="P49" s="120"/>
      <c r="Q49" s="120"/>
      <c r="R49" s="120"/>
      <c r="S49" s="121"/>
      <c r="T49" s="116"/>
      <c r="U49" s="116"/>
    </row>
    <row r="50" spans="2:21" ht="14" x14ac:dyDescent="0.3">
      <c r="B50" s="310"/>
      <c r="C50" s="311"/>
      <c r="D50" s="290"/>
      <c r="E50" s="290"/>
      <c r="F50" s="290"/>
      <c r="G50" s="290"/>
      <c r="I50" s="285"/>
      <c r="J50" s="285"/>
      <c r="K50" s="285"/>
      <c r="L50" s="285"/>
      <c r="P50" s="120"/>
      <c r="Q50" s="120"/>
      <c r="R50" s="120"/>
      <c r="S50" s="121"/>
      <c r="T50" s="116"/>
      <c r="U50" s="116"/>
    </row>
    <row r="51" spans="2:21" ht="13" x14ac:dyDescent="0.3">
      <c r="B51" s="117" t="str">
        <f>"        "&amp;List!$B$171</f>
        <v xml:space="preserve">        Zadejte celkový počet předních zásuvných prvků pro příslušnou šířku korpusu</v>
      </c>
      <c r="C51" s="282"/>
      <c r="H51" s="283"/>
      <c r="I51" s="283"/>
      <c r="J51" s="283"/>
      <c r="K51" s="283"/>
      <c r="L51" s="283"/>
      <c r="P51" s="120"/>
      <c r="Q51" s="120"/>
      <c r="R51" s="120"/>
      <c r="S51" s="121"/>
      <c r="T51" s="116"/>
      <c r="U51" s="116"/>
    </row>
    <row r="52" spans="2:21" ht="13" x14ac:dyDescent="0.3">
      <c r="B52" s="117" t="str">
        <f>"        "&amp;List!$B$175</f>
        <v xml:space="preserve">        Máte-li zásuvné prvky vlastní, počty nezadávejte</v>
      </c>
      <c r="C52" s="282"/>
      <c r="H52" s="286"/>
      <c r="I52" s="286"/>
      <c r="J52" s="286"/>
      <c r="K52" s="286"/>
      <c r="L52" s="286"/>
      <c r="P52" s="120"/>
      <c r="Q52" s="120"/>
      <c r="R52" s="120"/>
      <c r="S52" s="121"/>
      <c r="T52" s="116"/>
      <c r="U52" s="116"/>
    </row>
    <row r="53" spans="2:21" ht="13" x14ac:dyDescent="0.3">
      <c r="B53" s="117"/>
      <c r="C53" s="282"/>
      <c r="H53" s="286"/>
      <c r="I53" s="286"/>
      <c r="J53" s="286"/>
      <c r="K53" s="286"/>
      <c r="L53" s="286"/>
      <c r="P53" s="120"/>
      <c r="Q53" s="120"/>
      <c r="R53" s="120"/>
      <c r="S53" s="121"/>
      <c r="T53" s="116"/>
      <c r="U53" s="116"/>
    </row>
    <row r="54" spans="2:21" ht="13" x14ac:dyDescent="0.3">
      <c r="B54" s="117" t="str">
        <f>"        "&amp;List!$B$161</f>
        <v xml:space="preserve">        Pro každý výsuv je započítán jeden přední díl</v>
      </c>
      <c r="C54" s="282"/>
      <c r="H54" s="286"/>
      <c r="I54" s="286"/>
      <c r="J54" s="286"/>
      <c r="K54" s="286"/>
      <c r="L54" s="286"/>
      <c r="P54" s="120"/>
      <c r="Q54" s="120"/>
      <c r="R54" s="120"/>
      <c r="S54" s="121"/>
      <c r="T54" s="116"/>
      <c r="U54" s="116"/>
    </row>
    <row r="55" spans="2:21" ht="13" x14ac:dyDescent="0.3">
      <c r="B55" s="117" t="str">
        <f>"        "&amp;List!$B$163</f>
        <v xml:space="preserve">        Potřebný počet předních dílů upravte v objednávce</v>
      </c>
      <c r="C55" s="282"/>
      <c r="H55" s="286"/>
      <c r="I55" s="286"/>
      <c r="J55" s="286"/>
      <c r="K55" s="286"/>
      <c r="L55" s="286"/>
      <c r="P55" s="120" t="str">
        <f>Cen!A287</f>
        <v>Sada jednotek TIP-ON BLUMOTION, S0</v>
      </c>
      <c r="Q55" s="120" t="str">
        <f>Cen!B287</f>
        <v>T60L7040</v>
      </c>
      <c r="R55" s="120" t="str">
        <f>Cen!C287</f>
        <v>ZN</v>
      </c>
      <c r="S55" s="121">
        <f>D37</f>
        <v>0</v>
      </c>
      <c r="T55" s="116">
        <f>Cen!F287</f>
        <v>478.94060000000007</v>
      </c>
      <c r="U55" s="116">
        <f t="shared" ref="U55" si="2">S55*T55</f>
        <v>0</v>
      </c>
    </row>
    <row r="56" spans="2:21" ht="13" x14ac:dyDescent="0.3">
      <c r="C56" s="282"/>
      <c r="H56" s="286"/>
      <c r="I56" s="286"/>
      <c r="J56" s="286"/>
      <c r="K56" s="286"/>
      <c r="L56" s="286"/>
      <c r="P56" s="120" t="str">
        <f>Cen!A288</f>
        <v>Sada jednotek TIP-ON BLUMOTION, S1</v>
      </c>
      <c r="Q56" s="120" t="str">
        <f>Cen!B288</f>
        <v>T60L7140</v>
      </c>
      <c r="R56" s="120" t="str">
        <f>Cen!C288</f>
        <v>ZN</v>
      </c>
      <c r="S56" s="121">
        <f>E37</f>
        <v>0</v>
      </c>
      <c r="T56" s="116">
        <f>Cen!F288</f>
        <v>478.94060000000007</v>
      </c>
      <c r="U56" s="116">
        <f t="shared" ref="U56:U59" si="3">S56*T56</f>
        <v>0</v>
      </c>
    </row>
    <row r="57" spans="2:21" ht="13" x14ac:dyDescent="0.3">
      <c r="B57" s="117" t="str">
        <f>"        "&amp;List!$B$161</f>
        <v xml:space="preserve">        Pro každý výsuv je započítán jeden přední díl</v>
      </c>
      <c r="C57" s="282"/>
      <c r="H57" s="286"/>
      <c r="I57" s="286"/>
      <c r="J57" s="286"/>
      <c r="K57" s="286"/>
      <c r="L57" s="286"/>
      <c r="P57" s="120" t="str">
        <f>Cen!A289</f>
        <v>Sada jednotek TIP-ON BLUMOTION, L1</v>
      </c>
      <c r="Q57" s="120" t="str">
        <f>Cen!B289</f>
        <v>T60L7340</v>
      </c>
      <c r="R57" s="120" t="str">
        <f>Cen!C289</f>
        <v>ZN</v>
      </c>
      <c r="S57" s="121">
        <f>F37</f>
        <v>0</v>
      </c>
      <c r="T57" s="116">
        <f>Cen!F289</f>
        <v>467.80245000000002</v>
      </c>
      <c r="U57" s="116">
        <f t="shared" si="3"/>
        <v>0</v>
      </c>
    </row>
    <row r="58" spans="2:21" ht="13" x14ac:dyDescent="0.3">
      <c r="B58" s="117" t="str">
        <f>"        "&amp;List!$B$163</f>
        <v xml:space="preserve">        Potřebný počet předních dílů upravte v objednávce</v>
      </c>
      <c r="C58" s="282"/>
      <c r="H58" s="286"/>
      <c r="I58" s="286"/>
      <c r="J58" s="286"/>
      <c r="K58" s="286"/>
      <c r="L58" s="286"/>
      <c r="P58" s="120" t="str">
        <f>Cen!A290</f>
        <v>Sada jednotek TIP-ON BLUMOTION, L3</v>
      </c>
      <c r="Q58" s="120" t="str">
        <f>Cen!B290</f>
        <v>T60L7540</v>
      </c>
      <c r="R58" s="120" t="str">
        <f>Cen!C290</f>
        <v>ZN</v>
      </c>
      <c r="S58" s="121">
        <f>G37</f>
        <v>0</v>
      </c>
      <c r="T58" s="116">
        <f>Cen!F290</f>
        <v>467.80245000000002</v>
      </c>
      <c r="U58" s="116">
        <f t="shared" si="3"/>
        <v>0</v>
      </c>
    </row>
    <row r="59" spans="2:21" ht="13" x14ac:dyDescent="0.3">
      <c r="B59" s="117"/>
      <c r="C59" s="282"/>
      <c r="H59" s="286"/>
      <c r="I59" s="286"/>
      <c r="J59" s="286"/>
      <c r="K59" s="286"/>
      <c r="L59" s="286"/>
      <c r="P59" s="120" t="str">
        <f>Cen!A291</f>
        <v>Sada jednotek TIP-ON BLUMOTION, L5</v>
      </c>
      <c r="Q59" s="120" t="str">
        <f>Cen!B291</f>
        <v>T60L7570</v>
      </c>
      <c r="R59" s="120" t="str">
        <f>Cen!C291</f>
        <v>ZN</v>
      </c>
      <c r="S59" s="121">
        <f>H37</f>
        <v>0</v>
      </c>
      <c r="T59" s="116">
        <f>Cen!F291</f>
        <v>467.80245000000002</v>
      </c>
      <c r="U59" s="116">
        <f t="shared" si="3"/>
        <v>0</v>
      </c>
    </row>
    <row r="60" spans="2:21" ht="13" x14ac:dyDescent="0.3">
      <c r="B60" s="117"/>
      <c r="C60" s="282"/>
      <c r="H60" s="286"/>
      <c r="I60" s="286"/>
      <c r="J60" s="286"/>
      <c r="K60" s="286"/>
      <c r="L60" s="286"/>
      <c r="P60" s="142"/>
      <c r="Q60" s="142"/>
      <c r="R60" s="142"/>
      <c r="S60" s="148"/>
      <c r="T60" s="152"/>
      <c r="U60" s="152"/>
    </row>
    <row r="61" spans="2:21" ht="13" x14ac:dyDescent="0.3">
      <c r="B61" s="117"/>
      <c r="C61" s="282"/>
      <c r="H61" s="286"/>
      <c r="I61" s="286"/>
      <c r="J61" s="286"/>
      <c r="K61" s="286"/>
      <c r="L61" s="286"/>
      <c r="P61" s="120" t="str">
        <f>Cen!A306</f>
        <v>TIP-ON BLM synchronizační adaptér</v>
      </c>
      <c r="Q61" s="120" t="str">
        <f>Cen!B306</f>
        <v>T60.000D</v>
      </c>
      <c r="R61" s="120" t="str">
        <f>Cen!C306</f>
        <v>R736</v>
      </c>
      <c r="S61" s="121"/>
      <c r="T61" s="116">
        <f>Cen!$F306</f>
        <v>6.7107799999999997</v>
      </c>
      <c r="U61" s="116">
        <f t="shared" ref="U61" si="4">S61*T61</f>
        <v>0</v>
      </c>
    </row>
    <row r="62" spans="2:21" ht="13" x14ac:dyDescent="0.3">
      <c r="B62" s="117"/>
      <c r="C62" s="282"/>
      <c r="H62" s="286"/>
      <c r="I62" s="286"/>
      <c r="J62" s="286"/>
      <c r="K62" s="286"/>
      <c r="L62" s="286"/>
      <c r="P62" s="120" t="str">
        <f>Cen!A307</f>
        <v>TIP-ON BLM hřídel synchronizace, ke zkrácení</v>
      </c>
      <c r="Q62" s="120" t="str">
        <f>Cen!B307</f>
        <v>T60L1125W</v>
      </c>
      <c r="R62" s="120" t="str">
        <f>Cen!C307</f>
        <v>S</v>
      </c>
      <c r="S62" s="121">
        <f>SUM($S$55:$S$59)</f>
        <v>0</v>
      </c>
      <c r="T62" s="116">
        <f>Cen!$F307</f>
        <v>110.51743999999999</v>
      </c>
      <c r="U62" s="116">
        <f t="shared" ref="U62" si="5">S62*T62</f>
        <v>0</v>
      </c>
    </row>
    <row r="63" spans="2:21" ht="13" x14ac:dyDescent="0.3">
      <c r="C63" s="282"/>
      <c r="H63" s="284"/>
      <c r="I63" s="284"/>
      <c r="J63" s="284"/>
      <c r="K63" s="284"/>
      <c r="L63" s="284"/>
      <c r="P63" s="120"/>
      <c r="Q63" s="120"/>
      <c r="R63" s="120"/>
      <c r="S63" s="121"/>
      <c r="T63" s="116"/>
      <c r="U63" s="116"/>
    </row>
    <row r="64" spans="2:21" x14ac:dyDescent="0.25">
      <c r="H64" s="285"/>
      <c r="I64" s="285"/>
      <c r="J64" s="285"/>
      <c r="K64" s="285"/>
      <c r="L64" s="285"/>
      <c r="P64" s="120" t="str">
        <f>Cen!A329</f>
        <v>Držáky zadní stěny C, Orion šedá</v>
      </c>
      <c r="Q64" s="120" t="str">
        <f>Cen!B329</f>
        <v>ZB7C000S</v>
      </c>
      <c r="R64" s="120" t="str">
        <f>Cen!C329</f>
        <v>OG-M</v>
      </c>
      <c r="S64" s="121">
        <f>SUM(S3:S11)</f>
        <v>0</v>
      </c>
      <c r="T64" s="116">
        <f>Cen!$F329</f>
        <v>47.092230000000001</v>
      </c>
      <c r="U64" s="116">
        <f t="shared" si="1"/>
        <v>0</v>
      </c>
    </row>
    <row r="65" spans="3:21" ht="13" x14ac:dyDescent="0.3">
      <c r="H65" s="283"/>
      <c r="I65" s="283"/>
      <c r="J65" s="283"/>
      <c r="K65" s="283"/>
      <c r="L65" s="283"/>
      <c r="P65" s="120" t="str">
        <f>Cen!A369</f>
        <v>Sada kování vnitř.výs. C, se zás.prvkem, Orion šedá</v>
      </c>
      <c r="Q65" s="120" t="str">
        <f>Cen!B369</f>
        <v>ZI7.2CS0</v>
      </c>
      <c r="R65" s="120" t="str">
        <f>Cen!C369</f>
        <v>OG-M</v>
      </c>
      <c r="S65" s="121">
        <f>SUM(S3:S11)</f>
        <v>0</v>
      </c>
      <c r="T65" s="116">
        <f>Cen!F369</f>
        <v>585.05386999999996</v>
      </c>
      <c r="U65" s="116">
        <f t="shared" si="1"/>
        <v>0</v>
      </c>
    </row>
    <row r="66" spans="3:21" ht="13" x14ac:dyDescent="0.3">
      <c r="C66" s="282"/>
      <c r="H66" s="284"/>
      <c r="I66" s="284"/>
      <c r="J66" s="284"/>
      <c r="K66" s="284"/>
      <c r="L66" s="284"/>
      <c r="P66" s="120"/>
      <c r="Q66" s="120"/>
      <c r="R66" s="120"/>
      <c r="S66" s="121"/>
      <c r="T66" s="116"/>
      <c r="U66" s="116"/>
    </row>
    <row r="67" spans="3:21" x14ac:dyDescent="0.25">
      <c r="H67" s="285"/>
      <c r="I67" s="285"/>
      <c r="J67" s="285"/>
      <c r="K67" s="285"/>
      <c r="L67" s="285"/>
      <c r="P67" s="120" t="str">
        <f>Cen!A384</f>
        <v>Přední díl vnitřní zásuvky, s drážkou, Orion šedá</v>
      </c>
      <c r="Q67" s="120" t="str">
        <f>Cen!B384</f>
        <v>ZV7.1043MN1</v>
      </c>
      <c r="R67" s="120" t="str">
        <f>Cen!C384</f>
        <v>OG-M</v>
      </c>
      <c r="S67" s="329">
        <f>SUM($S$3:$S$11)</f>
        <v>0</v>
      </c>
      <c r="T67" s="116">
        <f>Cen!F384</f>
        <v>446.52434</v>
      </c>
      <c r="U67" s="116">
        <f t="shared" si="1"/>
        <v>0</v>
      </c>
    </row>
    <row r="68" spans="3:21" ht="13" x14ac:dyDescent="0.3">
      <c r="H68" s="283"/>
      <c r="I68" s="283"/>
      <c r="J68" s="283"/>
      <c r="K68" s="283"/>
      <c r="L68" s="283"/>
      <c r="P68" s="120"/>
      <c r="Q68" s="120"/>
      <c r="R68" s="120"/>
      <c r="S68" s="121"/>
      <c r="T68" s="116"/>
      <c r="U68" s="116"/>
    </row>
    <row r="69" spans="3:21" x14ac:dyDescent="0.25">
      <c r="P69" s="124" t="str">
        <f>Cen!A403</f>
        <v>Přední zásuvný prvek vysoký, sklo, KB 450mm</v>
      </c>
      <c r="Q69" s="124" t="str">
        <f>Cen!B403</f>
        <v>ZE7W332G</v>
      </c>
      <c r="R69" s="124" t="str">
        <f>Cen!C403</f>
        <v>KLA</v>
      </c>
      <c r="S69" s="327">
        <f>IF(SUM($S$3:$S$11)&gt;0,E48,0)</f>
        <v>0</v>
      </c>
      <c r="T69" s="328">
        <f>Cen!F403</f>
        <v>389.35672</v>
      </c>
      <c r="U69" s="328">
        <f t="shared" si="1"/>
        <v>0</v>
      </c>
    </row>
    <row r="70" spans="3:21" x14ac:dyDescent="0.25">
      <c r="P70" s="125" t="str">
        <f>Cen!A404</f>
        <v>Přední zásuvný prvek vysoký, sklo, KB 600mm</v>
      </c>
      <c r="Q70" s="125" t="str">
        <f>Cen!B404</f>
        <v>ZE7W482G</v>
      </c>
      <c r="R70" s="125" t="str">
        <f>Cen!C404</f>
        <v>KLA</v>
      </c>
      <c r="S70" s="327">
        <f>IF(SUM($S$3:$S$11)&gt;0,F48,0)</f>
        <v>0</v>
      </c>
      <c r="T70" s="258">
        <f>Cen!F404</f>
        <v>442.47012999999998</v>
      </c>
      <c r="U70" s="258">
        <f t="shared" si="1"/>
        <v>0</v>
      </c>
    </row>
    <row r="71" spans="3:21" x14ac:dyDescent="0.25">
      <c r="P71" s="125" t="str">
        <f>Cen!A405</f>
        <v>Přední zásuvný prvek vysoký, sklo, KB 900mm</v>
      </c>
      <c r="Q71" s="125" t="str">
        <f>Cen!B405</f>
        <v>ZE7W782G</v>
      </c>
      <c r="R71" s="125" t="str">
        <f>Cen!C405</f>
        <v>KLA</v>
      </c>
      <c r="S71" s="327">
        <f>IF(SUM($S$3:$S$11)&gt;0,G48,0)</f>
        <v>0</v>
      </c>
      <c r="T71" s="258">
        <f>Cen!F405</f>
        <v>737.45001999999988</v>
      </c>
      <c r="U71" s="258">
        <f t="shared" si="1"/>
        <v>0</v>
      </c>
    </row>
    <row r="72" spans="3:21" x14ac:dyDescent="0.25">
      <c r="P72" s="202" t="str">
        <f>Cen!A406</f>
        <v>Přední zásuvný prvek vysoký, sklo, KB 1200mm</v>
      </c>
      <c r="Q72" s="202" t="str">
        <f>Cen!B406</f>
        <v>ZE7W1082G</v>
      </c>
      <c r="R72" s="202" t="str">
        <f>Cen!C406</f>
        <v>KLA</v>
      </c>
      <c r="S72" s="259">
        <f>IF(SUM($S$3:$S$11)&gt;0,H48,0)</f>
        <v>0</v>
      </c>
      <c r="T72" s="260">
        <f>Cen!F406</f>
        <v>949.83555999999999</v>
      </c>
      <c r="U72" s="260">
        <f t="shared" si="1"/>
        <v>0</v>
      </c>
    </row>
    <row r="73" spans="3:21" x14ac:dyDescent="0.25">
      <c r="P73" s="117"/>
      <c r="Q73" s="117"/>
    </row>
    <row r="74" spans="3:21" x14ac:dyDescent="0.25">
      <c r="Q74" s="117"/>
      <c r="S74" s="74" t="str">
        <f>List!$B$97</f>
        <v>cena kování</v>
      </c>
      <c r="U74" s="346">
        <f>SUM(U3:U73)</f>
        <v>0</v>
      </c>
    </row>
    <row r="75" spans="3:21" x14ac:dyDescent="0.25">
      <c r="Q75" s="117"/>
    </row>
    <row r="76" spans="3:21" x14ac:dyDescent="0.25">
      <c r="Q76" s="117"/>
    </row>
    <row r="77" spans="3:21" x14ac:dyDescent="0.25">
      <c r="Q77" s="117"/>
    </row>
    <row r="78" spans="3:21" x14ac:dyDescent="0.25">
      <c r="P78" s="117"/>
      <c r="Q78" s="117"/>
    </row>
    <row r="79" spans="3:21" x14ac:dyDescent="0.25">
      <c r="P79" s="117"/>
      <c r="Q79" s="117"/>
    </row>
    <row r="80" spans="3:21" x14ac:dyDescent="0.25">
      <c r="P80" s="117"/>
      <c r="Q80" s="117"/>
    </row>
    <row r="81" spans="16:17" x14ac:dyDescent="0.25">
      <c r="P81" s="117"/>
      <c r="Q81" s="117"/>
    </row>
    <row r="82" spans="16:17" x14ac:dyDescent="0.25">
      <c r="P82" s="117"/>
      <c r="Q82" s="117"/>
    </row>
    <row r="84" spans="16:17" x14ac:dyDescent="0.25">
      <c r="P84" s="117" t="str">
        <f>List!$B$316&amp;"!"</f>
        <v>S0 a S1 pouze pro jmenovitou délku 270 a 300 mm!</v>
      </c>
    </row>
    <row r="85" spans="16:17" x14ac:dyDescent="0.25">
      <c r="P85" s="117" t="str">
        <f>List!$B$317&amp;"!"</f>
        <v>Pro výsuvy délky 270 a 300 mm vyberte jednotky S0 nebo S1!</v>
      </c>
    </row>
    <row r="86" spans="16:17" x14ac:dyDescent="0.25">
      <c r="P86" s="117" t="str">
        <f>List!$B$318&amp;"!"</f>
        <v>Počet jednotek L neodpovídá počtu korpusových lišt!</v>
      </c>
    </row>
    <row r="87" spans="16:17" x14ac:dyDescent="0.25">
      <c r="P87" s="117" t="str">
        <f>List!$B$319&amp;"!"</f>
        <v>Počet jednotek S neodpovídá počtu korpusových lišt!</v>
      </c>
    </row>
    <row r="100" spans="1:14" x14ac:dyDescent="0.25">
      <c r="A100" s="823"/>
    </row>
    <row r="101" spans="1:14" x14ac:dyDescent="0.25">
      <c r="A101" s="823"/>
      <c r="B101" s="852" t="str">
        <f>List!B25</f>
        <v>Informace k objednávání</v>
      </c>
      <c r="C101" s="852"/>
      <c r="D101" s="852"/>
      <c r="E101" s="852"/>
      <c r="F101" s="852"/>
      <c r="G101" s="852"/>
      <c r="H101" s="852"/>
      <c r="I101" s="852"/>
      <c r="J101" s="852"/>
      <c r="K101" s="852"/>
      <c r="L101" s="852"/>
    </row>
    <row r="102" spans="1:14" ht="12.75" customHeight="1" x14ac:dyDescent="0.25">
      <c r="A102" s="823"/>
      <c r="B102" s="852"/>
      <c r="C102" s="852"/>
      <c r="D102" s="852"/>
      <c r="E102" s="852"/>
      <c r="F102" s="852"/>
      <c r="G102" s="852"/>
      <c r="H102" s="852"/>
      <c r="I102" s="852"/>
      <c r="J102" s="852"/>
      <c r="K102" s="852"/>
      <c r="L102" s="852"/>
    </row>
    <row r="103" spans="1:14" ht="6" customHeight="1" x14ac:dyDescent="0.25">
      <c r="A103" s="823"/>
    </row>
    <row r="104" spans="1:14" ht="19.5" customHeight="1" thickBot="1" x14ac:dyDescent="0.3">
      <c r="A104" s="823"/>
      <c r="B104" s="853"/>
      <c r="C104" s="853"/>
      <c r="D104" s="854" t="str">
        <f>List!B312&amp;" "&amp;List!B323</f>
        <v>Sada jednotek TIP-ON BLUMOTION a sada unašečů TIP-ON BLUMOTION</v>
      </c>
      <c r="E104" s="854"/>
      <c r="F104" s="854"/>
      <c r="G104" s="854"/>
      <c r="H104" s="854"/>
      <c r="I104" s="854"/>
      <c r="J104" s="854"/>
      <c r="K104" s="854"/>
      <c r="L104" s="854"/>
    </row>
    <row r="105" spans="1:14" ht="19.5" customHeight="1" thickBot="1" x14ac:dyDescent="0.3">
      <c r="A105" s="823"/>
      <c r="B105" s="833"/>
      <c r="C105" s="834"/>
      <c r="D105" s="855" t="str">
        <f>List!$B$320</f>
        <v>Využití pro</v>
      </c>
      <c r="E105" s="856"/>
      <c r="F105" s="856"/>
      <c r="G105" s="856"/>
      <c r="H105" s="856"/>
      <c r="I105" s="857"/>
      <c r="J105" s="858" t="str">
        <f>List!$B$321&amp;"*"</f>
        <v>Doporučené hodnoty hmotnosti*</v>
      </c>
      <c r="K105" s="859"/>
      <c r="L105" s="859"/>
    </row>
    <row r="106" spans="1:14" ht="19.5" customHeight="1" thickBot="1" x14ac:dyDescent="0.3">
      <c r="A106" s="823"/>
      <c r="B106" s="835"/>
      <c r="C106" s="836"/>
      <c r="D106" s="862" t="str">
        <f>List!B118&amp;" (NL)"</f>
        <v>Jmenovitá délka (NL)</v>
      </c>
      <c r="E106" s="862"/>
      <c r="F106" s="862"/>
      <c r="G106" s="694" t="str">
        <f>List!$B$315</f>
        <v>Jednotka</v>
      </c>
      <c r="H106" s="863" t="str">
        <f>List!$B$99</f>
        <v>Číslo artiklu</v>
      </c>
      <c r="I106" s="864"/>
      <c r="J106" s="860"/>
      <c r="K106" s="861"/>
      <c r="L106" s="861"/>
    </row>
    <row r="107" spans="1:14" ht="19.5" customHeight="1" thickBot="1" x14ac:dyDescent="0.3">
      <c r="A107" s="823"/>
      <c r="B107" s="835"/>
      <c r="C107" s="836"/>
      <c r="D107" s="837" t="s">
        <v>978</v>
      </c>
      <c r="E107" s="838"/>
      <c r="F107" s="839"/>
      <c r="G107" s="721" t="s">
        <v>1017</v>
      </c>
      <c r="H107" s="873" t="s">
        <v>1016</v>
      </c>
      <c r="I107" s="874"/>
      <c r="J107" s="696" t="s">
        <v>1019</v>
      </c>
      <c r="K107" s="720"/>
      <c r="L107" s="720"/>
    </row>
    <row r="108" spans="1:14" ht="19.5" customHeight="1" thickBot="1" x14ac:dyDescent="0.3">
      <c r="A108" s="823"/>
      <c r="B108" s="835"/>
      <c r="C108" s="836"/>
      <c r="D108" s="840"/>
      <c r="E108" s="841"/>
      <c r="F108" s="842"/>
      <c r="G108" s="721" t="s">
        <v>946</v>
      </c>
      <c r="H108" s="873" t="s">
        <v>949</v>
      </c>
      <c r="I108" s="874"/>
      <c r="J108" s="696" t="s">
        <v>1020</v>
      </c>
      <c r="K108" s="697"/>
      <c r="L108" s="697"/>
    </row>
    <row r="109" spans="1:14" ht="19.5" customHeight="1" thickBot="1" x14ac:dyDescent="0.3">
      <c r="A109" s="823"/>
      <c r="B109" s="835"/>
      <c r="C109" s="836"/>
      <c r="D109" s="837" t="s">
        <v>979</v>
      </c>
      <c r="E109" s="838"/>
      <c r="F109" s="839"/>
      <c r="G109" s="801" t="s">
        <v>1421</v>
      </c>
      <c r="H109" s="873" t="s">
        <v>950</v>
      </c>
      <c r="I109" s="874"/>
      <c r="J109" s="696" t="s">
        <v>984</v>
      </c>
      <c r="K109" s="697"/>
      <c r="L109" s="697"/>
    </row>
    <row r="110" spans="1:14" ht="19.5" customHeight="1" thickBot="1" x14ac:dyDescent="0.3">
      <c r="A110" s="823"/>
      <c r="B110" s="835"/>
      <c r="C110" s="836"/>
      <c r="D110" s="843"/>
      <c r="E110" s="844"/>
      <c r="F110" s="845"/>
      <c r="G110" s="801" t="s">
        <v>948</v>
      </c>
      <c r="H110" s="873" t="s">
        <v>951</v>
      </c>
      <c r="I110" s="874"/>
      <c r="J110" s="875" t="s">
        <v>1023</v>
      </c>
      <c r="K110" s="876"/>
      <c r="L110" s="697"/>
    </row>
    <row r="111" spans="1:14" ht="19.5" customHeight="1" thickBot="1" x14ac:dyDescent="0.3">
      <c r="A111" s="823"/>
      <c r="B111" s="835"/>
      <c r="C111" s="836"/>
      <c r="D111" s="840"/>
      <c r="E111" s="841"/>
      <c r="F111" s="842"/>
      <c r="G111" s="801" t="s">
        <v>1423</v>
      </c>
      <c r="H111" s="873" t="s">
        <v>952</v>
      </c>
      <c r="I111" s="874"/>
      <c r="J111" s="698"/>
      <c r="K111" s="876" t="s">
        <v>1024</v>
      </c>
      <c r="L111" s="876"/>
    </row>
    <row r="112" spans="1:14" ht="19.5" customHeight="1" x14ac:dyDescent="0.25">
      <c r="A112" s="823"/>
      <c r="B112" s="835"/>
      <c r="C112" s="836"/>
      <c r="D112" s="692"/>
      <c r="E112" s="692"/>
      <c r="F112" s="692"/>
      <c r="G112" s="699"/>
      <c r="H112" s="851" t="str">
        <f>"* "&amp;List!$B$322</f>
        <v>* Celková hmotnost výsuvu (hmotnost výsuvu včetně náplně)</v>
      </c>
      <c r="I112" s="851"/>
      <c r="J112" s="851"/>
      <c r="K112" s="851"/>
      <c r="L112" s="851"/>
      <c r="N112" s="700" t="str">
        <f>" "&amp;List!$B$112</f>
        <v xml:space="preserve"> Zpět</v>
      </c>
    </row>
    <row r="113" spans="1:12" ht="19.5" customHeight="1" x14ac:dyDescent="0.25">
      <c r="A113" s="823"/>
      <c r="B113" s="835"/>
      <c r="C113" s="836"/>
      <c r="D113" s="692"/>
      <c r="E113" s="692"/>
      <c r="F113" s="692"/>
      <c r="G113" s="693"/>
      <c r="H113" s="851"/>
      <c r="I113" s="851"/>
      <c r="J113" s="851"/>
      <c r="K113" s="851"/>
      <c r="L113" s="851"/>
    </row>
    <row r="114" spans="1:12" ht="12.5" customHeight="1" x14ac:dyDescent="0.25">
      <c r="A114" s="823"/>
    </row>
    <row r="115" spans="1:12" ht="12.5" customHeight="1" x14ac:dyDescent="0.25">
      <c r="A115" s="823"/>
      <c r="E115" s="725" t="str">
        <f>"        ** "&amp;List!$B$325&amp;"!"</f>
        <v xml:space="preserve">        ** Jednotky L1 nelze kombinovat s lištami se zvýšenou nosností (70 kg)!</v>
      </c>
    </row>
    <row r="116" spans="1:12" ht="12.5" customHeight="1" x14ac:dyDescent="0.25">
      <c r="A116" s="823"/>
      <c r="E116" s="725" t="str">
        <f>"       *** "&amp;List!$B$326&amp;"!"</f>
        <v xml:space="preserve">       *** Jednotky L5 nelze kombinovat s lištami se základní nosností (40 kg)!</v>
      </c>
    </row>
    <row r="117" spans="1:12" ht="12.5" customHeight="1" x14ac:dyDescent="0.25">
      <c r="A117" s="823"/>
    </row>
    <row r="118" spans="1:12" x14ac:dyDescent="0.25">
      <c r="A118" s="823"/>
    </row>
    <row r="119" spans="1:12" x14ac:dyDescent="0.25">
      <c r="A119" s="823"/>
    </row>
    <row r="120" spans="1:12" x14ac:dyDescent="0.25">
      <c r="A120" s="823"/>
    </row>
    <row r="121" spans="1:12" x14ac:dyDescent="0.25">
      <c r="A121" s="823"/>
    </row>
    <row r="122" spans="1:12" x14ac:dyDescent="0.25">
      <c r="A122" s="823"/>
    </row>
    <row r="123" spans="1:12" x14ac:dyDescent="0.25">
      <c r="A123" s="823"/>
    </row>
    <row r="124" spans="1:12" x14ac:dyDescent="0.25">
      <c r="A124" s="823"/>
    </row>
    <row r="125" spans="1:12" x14ac:dyDescent="0.25">
      <c r="A125" s="823"/>
    </row>
    <row r="126" spans="1:12" x14ac:dyDescent="0.25">
      <c r="A126" s="823"/>
    </row>
    <row r="127" spans="1:12" x14ac:dyDescent="0.25">
      <c r="A127" s="823"/>
    </row>
    <row r="128" spans="1:12" x14ac:dyDescent="0.25">
      <c r="A128" s="823"/>
    </row>
    <row r="129" spans="1:1" x14ac:dyDescent="0.25">
      <c r="A129" s="823"/>
    </row>
    <row r="130" spans="1:1" x14ac:dyDescent="0.25">
      <c r="A130" s="823"/>
    </row>
    <row r="131" spans="1:1" x14ac:dyDescent="0.25">
      <c r="A131" s="823"/>
    </row>
    <row r="132" spans="1:1" x14ac:dyDescent="0.25">
      <c r="A132" s="823"/>
    </row>
    <row r="133" spans="1:1" x14ac:dyDescent="0.25">
      <c r="A133" s="823"/>
    </row>
    <row r="134" spans="1:1" x14ac:dyDescent="0.25">
      <c r="A134" s="823"/>
    </row>
    <row r="135" spans="1:1" x14ac:dyDescent="0.25">
      <c r="A135" s="823"/>
    </row>
    <row r="136" spans="1:1" x14ac:dyDescent="0.25">
      <c r="A136" s="823"/>
    </row>
    <row r="137" spans="1:1" x14ac:dyDescent="0.25">
      <c r="A137" s="823"/>
    </row>
    <row r="138" spans="1:1" x14ac:dyDescent="0.25">
      <c r="A138" s="823"/>
    </row>
    <row r="139" spans="1:1" x14ac:dyDescent="0.25">
      <c r="A139" s="823"/>
    </row>
    <row r="140" spans="1:1" x14ac:dyDescent="0.25">
      <c r="A140" s="823"/>
    </row>
    <row r="141" spans="1:1" x14ac:dyDescent="0.25">
      <c r="A141" s="823"/>
    </row>
  </sheetData>
  <sheetProtection algorithmName="SHA-512" hashValue="T7SGMLVF7/TCjkCdU23P7fvWmUP4ESRaQWR21g9uXVLVlzJaEeJr2VZBN+N0ajWQdxz3eXlFZKPcx7qSbxm75A==" saltValue="9/WcN/tYJKmIZ7PCOcSwGg==" spinCount="100000" sheet="1" objects="1" scenarios="1"/>
  <mergeCells count="19">
    <mergeCell ref="J110:K110"/>
    <mergeCell ref="H111:I111"/>
    <mergeCell ref="K111:L111"/>
    <mergeCell ref="H112:L113"/>
    <mergeCell ref="A100:A141"/>
    <mergeCell ref="B101:L102"/>
    <mergeCell ref="B104:C104"/>
    <mergeCell ref="D104:L104"/>
    <mergeCell ref="D105:I105"/>
    <mergeCell ref="J105:L106"/>
    <mergeCell ref="D106:F106"/>
    <mergeCell ref="H106:I106"/>
    <mergeCell ref="H107:I107"/>
    <mergeCell ref="H108:I108"/>
    <mergeCell ref="B105:C113"/>
    <mergeCell ref="D107:F108"/>
    <mergeCell ref="D109:F111"/>
    <mergeCell ref="H109:I109"/>
    <mergeCell ref="H110:I110"/>
  </mergeCells>
  <phoneticPr fontId="52" type="noConversion"/>
  <hyperlinks>
    <hyperlink ref="N3" location="Form!A1" tooltip=" " display="Form!A1" xr:uid="{00000000-0004-0000-0800-000000000000}"/>
    <hyperlink ref="N4" location="Menu!A1" tooltip=" " display="Menu!A1" xr:uid="{00000000-0004-0000-0800-000001000000}"/>
    <hyperlink ref="N7" location="Acs!A1" tooltip=" " display="Acs!A1" xr:uid="{00000000-0004-0000-0800-000002000000}"/>
    <hyperlink ref="N8" location="SD!A1" tooltip=" " display="SD!A1" xr:uid="{00000000-0004-0000-0800-000003000000}"/>
    <hyperlink ref="N10" location="Sum!A1" tooltip=" " display="Sum!A1" xr:uid="{00000000-0004-0000-0800-000004000000}"/>
    <hyperlink ref="N11" location="Ord!A1" tooltip=" " display="Ord!A1" xr:uid="{00000000-0004-0000-0800-000005000000}"/>
    <hyperlink ref="N9" location="AL!A1" tooltip=" " display="AL!A1" xr:uid="{00000000-0004-0000-0800-000006000000}"/>
    <hyperlink ref="N31" location="'7C41VP'!A100" tooltip=" " display="'7C41VP'!A100" xr:uid="{00000000-0004-0000-0800-000007000000}"/>
    <hyperlink ref="N112" location="'7C41VP'!A1" tooltip=" " display="'7C41VP'!A1" xr:uid="{00000000-0004-0000-0800-000008000000}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46</vt:i4>
      </vt:variant>
      <vt:variant>
        <vt:lpstr>Pojmenované oblasti</vt:lpstr>
      </vt:variant>
      <vt:variant>
        <vt:i4>14</vt:i4>
      </vt:variant>
    </vt:vector>
  </HeadingPairs>
  <TitlesOfParts>
    <vt:vector size="60" baseType="lpstr">
      <vt:lpstr>Form</vt:lpstr>
      <vt:lpstr>Menu</vt:lpstr>
      <vt:lpstr>7N400P</vt:lpstr>
      <vt:lpstr>7M400P</vt:lpstr>
      <vt:lpstr>7M40VP</vt:lpstr>
      <vt:lpstr>7K400P</vt:lpstr>
      <vt:lpstr>7C410P</vt:lpstr>
      <vt:lpstr>7C410F</vt:lpstr>
      <vt:lpstr>7C41VP</vt:lpstr>
      <vt:lpstr>7C41VF</vt:lpstr>
      <vt:lpstr>7C41NP</vt:lpstr>
      <vt:lpstr>7C41NF</vt:lpstr>
      <vt:lpstr>7C41RP</vt:lpstr>
      <vt:lpstr>7C41RF</vt:lpstr>
      <vt:lpstr>7F410P</vt:lpstr>
      <vt:lpstr>7M442P</vt:lpstr>
      <vt:lpstr>7C442P</vt:lpstr>
      <vt:lpstr>7C442F</vt:lpstr>
      <vt:lpstr>7CM42P</vt:lpstr>
      <vt:lpstr>7CM42F</vt:lpstr>
      <vt:lpstr>7CM52P</vt:lpstr>
      <vt:lpstr>7CM52F</vt:lpstr>
      <vt:lpstr>7STCGP</vt:lpstr>
      <vt:lpstr>7STCGF</vt:lpstr>
      <vt:lpstr>7STCRP</vt:lpstr>
      <vt:lpstr>7STCRF</vt:lpstr>
      <vt:lpstr>7STMGP</vt:lpstr>
      <vt:lpstr>7STMGF</vt:lpstr>
      <vt:lpstr>7STMRP</vt:lpstr>
      <vt:lpstr>7STMRF</vt:lpstr>
      <vt:lpstr>Acs</vt:lpstr>
      <vt:lpstr>SD</vt:lpstr>
      <vt:lpstr>AL</vt:lpstr>
      <vt:lpstr>ALds</vt:lpstr>
      <vt:lpstr>ALpos</vt:lpstr>
      <vt:lpstr>ALbot</vt:lpstr>
      <vt:lpstr>ALdw</vt:lpstr>
      <vt:lpstr>ALpow</vt:lpstr>
      <vt:lpstr>ALrel</vt:lpstr>
      <vt:lpstr>ALkh</vt:lpstr>
      <vt:lpstr>Sum</vt:lpstr>
      <vt:lpstr>Zones</vt:lpstr>
      <vt:lpstr>Ord</vt:lpstr>
      <vt:lpstr>List</vt:lpstr>
      <vt:lpstr>Cen</vt:lpstr>
      <vt:lpstr>Price</vt:lpstr>
      <vt:lpstr>Ord!Názvy_tisku</vt:lpstr>
      <vt:lpstr>Acs!Oblast_tisku</vt:lpstr>
      <vt:lpstr>AL!Oblast_tisku</vt:lpstr>
      <vt:lpstr>ALbot!Oblast_tisku</vt:lpstr>
      <vt:lpstr>ALds!Oblast_tisku</vt:lpstr>
      <vt:lpstr>ALdw!Oblast_tisku</vt:lpstr>
      <vt:lpstr>ALkh!Oblast_tisku</vt:lpstr>
      <vt:lpstr>ALpos!Oblast_tisku</vt:lpstr>
      <vt:lpstr>ALpow!Oblast_tisku</vt:lpstr>
      <vt:lpstr>ALrel!Oblast_tisku</vt:lpstr>
      <vt:lpstr>Menu!Oblast_tisku</vt:lpstr>
      <vt:lpstr>Ord!Oblast_tisku</vt:lpstr>
      <vt:lpstr>SD!Oblast_tisku</vt:lpstr>
      <vt:lpstr>Sum!Oblast_tisku</vt:lpstr>
    </vt:vector>
  </TitlesOfParts>
  <Company>Blum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BOXPLAN LBX</dc:title>
  <dc:creator>Richard Sajdl</dc:creator>
  <cp:lastModifiedBy>Zniszczol Martin</cp:lastModifiedBy>
  <cp:lastPrinted>2015-03-11T14:54:46Z</cp:lastPrinted>
  <dcterms:created xsi:type="dcterms:W3CDTF">2013-03-11T16:03:23Z</dcterms:created>
  <dcterms:modified xsi:type="dcterms:W3CDTF">2019-03-19T09:46:48Z</dcterms:modified>
  <cp:category>BOXPLAN</cp:category>
</cp:coreProperties>
</file>