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drawings/drawing6.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8.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10.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1.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2.xml" ContentType="application/vnd.openxmlformats-officedocument.drawing+xml"/>
  <Override PartName="/xl/ctrlProps/ctrlProp16.xml" ContentType="application/vnd.ms-excel.controlproperties+xml"/>
  <Override PartName="/xl/drawings/drawing13.xml" ContentType="application/vnd.openxmlformats-officedocument.drawing+xml"/>
  <Override PartName="/xl/ctrlProps/ctrlProp17.xml" ContentType="application/vnd.ms-excel.controlproperties+xml"/>
  <Override PartName="/xl/drawings/drawing14.xml" ContentType="application/vnd.openxmlformats-officedocument.drawing+xml"/>
  <Override PartName="/xl/ctrlProps/ctrlProp18.xml" ContentType="application/vnd.ms-excel.controlpropertie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11507\Downloads\"/>
    </mc:Choice>
  </mc:AlternateContent>
  <xr:revisionPtr revIDLastSave="0" documentId="13_ncr:1_{F2D04B12-35B4-4048-80AF-95917AA40C95}" xr6:coauthVersionLast="47" xr6:coauthVersionMax="47" xr10:uidLastSave="{00000000-0000-0000-0000-000000000000}"/>
  <workbookProtection workbookAlgorithmName="SHA-512" workbookHashValue="/EvkrQa5NRa/sxE1IKI63eT2BHE5UJ4K6xwsquO5UixMre+06oRXLEjLVbY5W91TxmOQeTEuYDKOpigJfKREDA==" workbookSaltValue="6XSdizTnPw+AL3G8QoeopQ==" workbookSpinCount="100000" lockStructure="1"/>
  <bookViews>
    <workbookView showSheetTabs="0" xWindow="-120" yWindow="-120" windowWidth="29040" windowHeight="15720" activeTab="18" xr2:uid="{C91BA66C-072E-422D-86DB-335067BF3425}"/>
  </bookViews>
  <sheets>
    <sheet name="Hlavní" sheetId="97" r:id="rId1"/>
    <sheet name="Zakaznik" sheetId="80" r:id="rId2"/>
    <sheet name="cennik transportu PL" sheetId="105" r:id="rId3"/>
    <sheet name="Sklo" sheetId="96" r:id="rId4"/>
    <sheet name="rozpad závěsů bez prázdn. řádků" sheetId="52" state="hidden" r:id="rId5"/>
    <sheet name="Translate&amp;Prices&amp;Logo" sheetId="53" state="hidden" r:id="rId6"/>
    <sheet name="Potvrzení" sheetId="100" r:id="rId7"/>
    <sheet name="závěsy dle výklopu" sheetId="51" state="hidden" r:id="rId8"/>
    <sheet name="Ram_1" sheetId="32" r:id="rId9"/>
    <sheet name="kombinace_1" sheetId="50" state="hidden" r:id="rId10"/>
    <sheet name="Ram_2" sheetId="91" r:id="rId11"/>
    <sheet name="kombinace_2" sheetId="55" state="hidden" r:id="rId12"/>
    <sheet name="Ram_3" sheetId="92" r:id="rId13"/>
    <sheet name="kombinace_3" sheetId="57" state="hidden" r:id="rId14"/>
    <sheet name="Ram_4" sheetId="93" r:id="rId15"/>
    <sheet name="kombinace_4" sheetId="59" state="hidden" r:id="rId16"/>
    <sheet name="Ram_5" sheetId="94" r:id="rId17"/>
    <sheet name="kombinace_5" sheetId="61" state="hidden" r:id="rId18"/>
    <sheet name="Ram_6" sheetId="95" r:id="rId19"/>
    <sheet name="kombinace_6" sheetId="63" state="hidden" r:id="rId20"/>
    <sheet name="Posuv" sheetId="73" r:id="rId21"/>
    <sheet name="Doprava Posun" sheetId="109" state="hidden" r:id="rId22"/>
    <sheet name="Typy profilů" sheetId="21" r:id="rId23"/>
    <sheet name="_souhrn" sheetId="71" r:id="rId24"/>
    <sheet name="Barevnice" sheetId="44" r:id="rId25"/>
    <sheet name="_souhrn (2)" sheetId="99" r:id="rId26"/>
    <sheet name="kalkulace dopravy" sheetId="106" state="hidden" r:id="rId27"/>
    <sheet name="doprava demont" sheetId="107" state="hidden" r:id="rId28"/>
  </sheets>
  <definedNames>
    <definedName name="_1">'závěsy dle výklopu'!$A$75:$A$76</definedName>
    <definedName name="_2">'závěsy dle výklopu'!$B$75:$B$77</definedName>
    <definedName name="_2_strany">'závěsy dle výklopu'!$AP$2:$AP$3</definedName>
    <definedName name="_3">'závěsy dle výklopu'!$C$75</definedName>
    <definedName name="_4_strany">'závěsy dle výklopu'!$AO$2:$AO$5</definedName>
    <definedName name="_A1">'závěsy dle výklopu'!$B$96:$B$111</definedName>
    <definedName name="_A2">'závěsy dle výklopu'!$D$96</definedName>
    <definedName name="_A3">'závěsy dle výklopu'!$F$96:$F$111</definedName>
    <definedName name="_corleone">'závěsy dle výklopu'!$A$97:$A$139</definedName>
    <definedName name="_xlnm._FilterDatabase" localSheetId="25" hidden="1">'_souhrn (2)'!$CK$1:$CL$119</definedName>
    <definedName name="_xlnm._FilterDatabase" localSheetId="9" hidden="1">kombinace_1!$ED$1:$EF$657</definedName>
    <definedName name="_xlnm._FilterDatabase" localSheetId="4" hidden="1">'rozpad závěsů bez prázdn. řádků'!$A$1:$F$66</definedName>
    <definedName name="_kombinovane_profily">kombinace_1!$F$18:$F$19</definedName>
    <definedName name="_N1">'závěsy dle výklopu'!$A$96:$A$139</definedName>
    <definedName name="_N2">'závěsy dle výklopu'!$C$96:$C$121</definedName>
    <definedName name="_N3">'závěsy dle výklopu'!$E$96:$E$111</definedName>
    <definedName name="_obrazek" localSheetId="11">IF(kombinace_2!$H$1="PRAVDA",kombinace_2!$G$23,IF(kombinace_2!$H$1="NEPRAVDA",kombinace_2!$G$31,0))</definedName>
    <definedName name="_obrazek" localSheetId="13">IF(kombinace_3!$H$1="PRAVDA",kombinace_3!$G$23,IF(kombinace_3!$H$1="NEPRAVDA",kombinace_3!$G$31,0))</definedName>
    <definedName name="_obrazek" localSheetId="15">IF(kombinace_4!$H$1="PRAVDA",kombinace_4!$G$23,IF(kombinace_4!$H$1="NEPRAVDA",kombinace_4!$G$31,0))</definedName>
    <definedName name="_obrazek" localSheetId="17">IF(kombinace_5!$H$1="PRAVDA",kombinace_5!$G$23,IF(kombinace_5!$H$1="NEPRAVDA",kombinace_5!$G$31,0))</definedName>
    <definedName name="_obrazek" localSheetId="19">IF(kombinace_6!$H$1="PRAVDA",kombinace_6!$G$23,IF(kombinace_6!$H$1="NEPRAVDA",kombinace_6!$G$31,0))</definedName>
    <definedName name="_obrazek">IF(kombinace_1!$H$1="PRAVDA",kombinace_1!$G$23,IF(kombinace_1!$H$1="NEPRAVDA",kombinace_1!$G$31,0))</definedName>
    <definedName name="_profily_síťka">'závěsy dle výklopu'!$A$81:$A$90</definedName>
    <definedName name="_ramena_HL">'Translate&amp;Prices&amp;Logo'!$B$618:$B$626</definedName>
    <definedName name="_Salice_naložený">kombinace_1!$FA$2:$FA$9</definedName>
    <definedName name="_strong_vzpera_horni">'Translate&amp;Prices&amp;Logo'!$B$595:$B$614</definedName>
    <definedName name="_stronglift_klopna">'Translate&amp;Prices&amp;Logo'!$B$616:$B$617</definedName>
    <definedName name="_široký_BLUM_naložený">'rozpad závěsů bez prázdn. řádků'!$G$24:$G$28</definedName>
    <definedName name="_široký_BLUM_polonaložený">'rozpad závěsů bez prázdn. řádků'!$G$29:$G$32</definedName>
    <definedName name="_široký_BLUM_vložený">'rozpad závěsů bez prázdn. řádků'!$G$33:$G$36</definedName>
    <definedName name="_široký_HETTICH_naložený">'rozpad závěsů bez prázdn. řádků'!$G$37:$G$41</definedName>
    <definedName name="_široký_HETTICH_polonaložený">'rozpad závěsů bez prázdn. řádků'!$G$42:$G$46</definedName>
    <definedName name="_široký_HETTICH_vložený">'rozpad závěsů bez prázdn. řádků'!$G$47:$G$51</definedName>
    <definedName name="_široký_STRONGHINGESS3_naložený">'rozpad závěsů bez prázdn. řádků'!$G$58:$G$60</definedName>
    <definedName name="_široký_STRONGHINGESS3_polonaložený">'rozpad závěsů bez prázdn. řádků'!$G$61:$G$63</definedName>
    <definedName name="_široký_STRONGHINGESS3_vložený">'rozpad závěsů bez prázdn. řádků'!$G$64:$G$66</definedName>
    <definedName name="_široký_STRONGHINGESS5_naložený">'rozpad závěsů bez prázdn. řádků'!$G$52:$G$53</definedName>
    <definedName name="_široký_STRONGHINGESS5_polonaložený">'rozpad závěsů bez prázdn. řádků'!$G$54:$G$55</definedName>
    <definedName name="_široký_STRONGHINGESS5_vložený">'rozpad závěsů bez prázdn. řádků'!$G$56:$G$57</definedName>
    <definedName name="_úzký_BLUM_naložený">'rozpad závěsů bez prázdn. řádků'!$G$2:$G$6</definedName>
    <definedName name="_úzký_BLUM_naložený_Rocca">'rozpad závěsů bez prázdn. řádků'!$G$3:$G$6</definedName>
    <definedName name="_úzký_BLUM_polonaložený">'rozpad závěsů bez prázdn. řádků'!$G$7:$G$8</definedName>
    <definedName name="_úzký_BLUM_polonaložený_Rocca">'rozpad závěsů bez prázdn. řádků'!$G$8</definedName>
    <definedName name="_úzký_BLUM_vložený">'rozpad závěsů bez prázdn. řádků'!$G$9:$G$10</definedName>
    <definedName name="_úzký_BLUM_vložený_Rocca">'rozpad závěsů bez prázdn. řádků'!$G$10</definedName>
    <definedName name="_úzký_HETTICH_naložený">'rozpad závěsů bez prázdn. řádků'!$G$11:$G$14</definedName>
    <definedName name="_úzký_HETTICH_polonaložený">'rozpad závěsů bez prázdn. řádků'!$G$15:$G$17</definedName>
    <definedName name="_úzký_HETTICH_vložený">'rozpad závěsů bez prázdn. řádků'!$G$18:$G$20</definedName>
    <definedName name="_úzký_STRONGHINGESS3_naložený">'rozpad závěsů bez prázdn. řádků'!$G$23</definedName>
    <definedName name="_úzký_STRONGHINGESS5_naložený">'rozpad závěsů bez prázdn. řádků'!$G$21:$I$21</definedName>
    <definedName name="_vše_profily">kombinace_1!$A$3:$A$68</definedName>
    <definedName name="_vyklopy_blum" localSheetId="11">kombinace_2!$AB$4:$AB$10</definedName>
    <definedName name="_vyklopy_blum" localSheetId="13">kombinace_3!$AB$4:$AB$10</definedName>
    <definedName name="_vyklopy_blum" localSheetId="15">kombinace_4!$AB$4:$AB$10</definedName>
    <definedName name="_vyklopy_blum" localSheetId="17">kombinace_5!$AB$4:$AB$10</definedName>
    <definedName name="_vyklopy_blum" localSheetId="19">kombinace_6!$AB$4:$AB$10</definedName>
    <definedName name="_vyklopy_blum">kombinace_1!$AB$4:$AB$10</definedName>
    <definedName name="_vyklopy_blum_kombo">kombinace_1!$AB$50:$AB$53</definedName>
    <definedName name="_vyklopy_hettich" localSheetId="11">kombinace_2!$AB$43:$AB$45</definedName>
    <definedName name="_vyklopy_hettich" localSheetId="13">kombinace_3!$AB$43:$AB$45</definedName>
    <definedName name="_vyklopy_hettich" localSheetId="15">kombinace_4!$AB$43:$AB$45</definedName>
    <definedName name="_vyklopy_hettich" localSheetId="17">kombinace_5!$AB$43:$AB$45</definedName>
    <definedName name="_vyklopy_hettich" localSheetId="19">kombinace_6!$AB$43:$AB$45</definedName>
    <definedName name="_vyklopy_hettich">kombinace_1!$AB$43:$AB$45</definedName>
    <definedName name="_vyklopy_italiana" localSheetId="11">kombinace_2!$AB$29:$AB$34</definedName>
    <definedName name="_vyklopy_italiana" localSheetId="13">kombinace_3!$AB$29:$AB$34</definedName>
    <definedName name="_vyklopy_italiana" localSheetId="15">kombinace_4!$AB$29:$AB$34</definedName>
    <definedName name="_vyklopy_italiana" localSheetId="17">kombinace_5!$AB$29:$AB$34</definedName>
    <definedName name="_vyklopy_italiana" localSheetId="19">kombinace_6!$AB$29:$AB$34</definedName>
    <definedName name="_vyklopy_italiana">kombinace_1!$AB$29:$AB$34</definedName>
    <definedName name="_vyklopy_kesse" localSheetId="11">kombinace_2!$AB$15:$AB$23</definedName>
    <definedName name="_vyklopy_kesse" localSheetId="13">kombinace_3!$AB$15:$AB$23</definedName>
    <definedName name="_vyklopy_kesse" localSheetId="15">kombinace_4!$AB$15:$AB$23</definedName>
    <definedName name="_vyklopy_kesse" localSheetId="17">kombinace_5!$AB$15:$AB$23</definedName>
    <definedName name="_vyklopy_kesse" localSheetId="19">kombinace_6!$AB$15:$AB$23</definedName>
    <definedName name="_vyklopy_kesse">kombinace_1!$AB$15:$AB$23</definedName>
    <definedName name="_vyklopy_kesse_kombo">kombinace_1!$AB$60:$AB$63</definedName>
    <definedName name="_vyklopy_strong" localSheetId="11">kombinace_2!$AB$40:$AB$41</definedName>
    <definedName name="_vyklopy_strong" localSheetId="13">kombinace_3!$AB$40:$AB$41</definedName>
    <definedName name="_vyklopy_strong" localSheetId="15">kombinace_4!$AB$40:$AB$41</definedName>
    <definedName name="_vyklopy_strong" localSheetId="17">kombinace_5!$AB$40:$AB$41</definedName>
    <definedName name="_vyklopy_strong" localSheetId="19">kombinace_6!$AB$40:$AB$41</definedName>
    <definedName name="_vyklopy_stronglift">kombinace_1!$AB$40:$AB$41</definedName>
    <definedName name="_zavesy_blum" localSheetId="11">kombinace_2!$AZ$10:$AZ$14</definedName>
    <definedName name="_zavesy_blum" localSheetId="13">kombinace_3!$AZ$10:$AZ$14</definedName>
    <definedName name="_zavesy_blum" localSheetId="15">kombinace_4!$AZ$10:$AZ$14</definedName>
    <definedName name="_zavesy_blum" localSheetId="17">kombinace_5!$AZ$10:$AZ$14</definedName>
    <definedName name="_zavesy_blum" localSheetId="19">kombinace_6!$AZ$10:$AZ$14</definedName>
    <definedName name="_zavesy_blum">kombinace_1!$AZ$10:$AZ$14</definedName>
    <definedName name="_zavesy_hettich" localSheetId="11">kombinace_2!$AZ$4:$AZ$8</definedName>
    <definedName name="_zavesy_hettich" localSheetId="13">kombinace_3!$AZ$4:$AZ$8</definedName>
    <definedName name="_zavesy_hettich" localSheetId="15">kombinace_4!$AZ$4:$AZ$8</definedName>
    <definedName name="_zavesy_hettich" localSheetId="17">kombinace_5!$AZ$4:$AZ$8</definedName>
    <definedName name="_zavesy_hettich" localSheetId="19">kombinace_6!$AZ$4:$AZ$8</definedName>
    <definedName name="_zavesy_hettich">kombinace_1!$AZ$4:$AZ$8</definedName>
    <definedName name="_zavesy_kombo">kombinace_1!$BY$32:$BY$33</definedName>
    <definedName name="_zavesy_strong" localSheetId="11">kombinace_2!$AZ$16:$AZ$20</definedName>
    <definedName name="_zavesy_strong" localSheetId="13">kombinace_3!$AZ$16:$AZ$20</definedName>
    <definedName name="_zavesy_strong" localSheetId="15">kombinace_4!$AZ$16:$AZ$20</definedName>
    <definedName name="_zavesy_strong" localSheetId="17">kombinace_5!$AZ$16:$AZ$20</definedName>
    <definedName name="_zavesy_strong" localSheetId="19">kombinace_6!$AZ$16:$AZ$20</definedName>
    <definedName name="_zavesy_stronghingesS5">kombinace_1!$AZ$16:$AZ$20</definedName>
    <definedName name="_znacka_vyklopy">'závěsy dle výklopu'!$BR$3:$BR$7</definedName>
    <definedName name="_znacka_zavesy">'závěsy dle výklopu'!$BQ$3:$BQ$7</definedName>
    <definedName name="_znacka_zavesy_proROMA">kombinace_1!$BQ$11</definedName>
    <definedName name="_xlnm.Print_Area" localSheetId="23">_souhrn!$A$1:$AP$173</definedName>
    <definedName name="_xlnm.Print_Area" localSheetId="25">'_souhrn (2)'!$A$4:$AR$224</definedName>
    <definedName name="_xlnm.Print_Area" localSheetId="8">Ram_1!$A$1:$AS$33</definedName>
    <definedName name="_xlnm.Print_Area" localSheetId="10">Ram_2!$A$1:$AS$33</definedName>
    <definedName name="_xlnm.Print_Area" localSheetId="12">Ram_3!$A$1:$AS$33</definedName>
    <definedName name="_xlnm.Print_Area" localSheetId="14">Ram_4!$A$1:$AS$33</definedName>
    <definedName name="_xlnm.Print_Area" localSheetId="16">Ram_5!$A$1:$AS$33</definedName>
    <definedName name="_xlnm.Print_Area" localSheetId="18">Ram_6!$A$1:$AS$33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7" i="95" l="1"/>
  <c r="AE17" i="94"/>
  <c r="AE17" i="93"/>
  <c r="AE17" i="92"/>
  <c r="AE17" i="91"/>
  <c r="R249" i="53"/>
  <c r="Q249" i="53"/>
  <c r="P249" i="53"/>
  <c r="O249" i="53"/>
  <c r="N249" i="53"/>
  <c r="M249" i="53"/>
  <c r="B249" i="53" s="1"/>
  <c r="AL1" i="99" s="1"/>
  <c r="AC191" i="99"/>
  <c r="AC155" i="99"/>
  <c r="AC119" i="99"/>
  <c r="AC83" i="99"/>
  <c r="AC47" i="99"/>
  <c r="AC11" i="99"/>
  <c r="D1" i="53"/>
  <c r="B561" i="53" s="1"/>
  <c r="BY14" i="63" s="1"/>
  <c r="B14" i="53"/>
  <c r="A8" i="63" s="1"/>
  <c r="B45" i="53"/>
  <c r="A25" i="63" s="1"/>
  <c r="B25" i="53"/>
  <c r="U82" i="73" s="1"/>
  <c r="B47" i="53"/>
  <c r="A59" i="61" s="1"/>
  <c r="B232" i="53"/>
  <c r="BY32" i="57" s="1"/>
  <c r="B231" i="53"/>
  <c r="BY33" i="63" s="1"/>
  <c r="B229" i="53"/>
  <c r="BY34" i="61" s="1"/>
  <c r="B230" i="53"/>
  <c r="BY35" i="61" s="1"/>
  <c r="B675" i="53"/>
  <c r="B594" i="53"/>
  <c r="B592" i="53"/>
  <c r="B591" i="53"/>
  <c r="B593" i="53"/>
  <c r="B244" i="53"/>
  <c r="C66" i="53"/>
  <c r="D66" i="53"/>
  <c r="C67" i="53"/>
  <c r="D67" i="53"/>
  <c r="C68" i="53"/>
  <c r="D68" i="53"/>
  <c r="C69" i="53"/>
  <c r="D70" i="53"/>
  <c r="B642" i="53"/>
  <c r="B657" i="53"/>
  <c r="B50" i="53"/>
  <c r="A41" i="57" s="1"/>
  <c r="B640" i="53"/>
  <c r="EN3" i="61" s="1"/>
  <c r="B641" i="53"/>
  <c r="EN4" i="61" s="1"/>
  <c r="T55" i="94" s="1"/>
  <c r="AM1" i="71"/>
  <c r="AO1" i="99" s="1"/>
  <c r="AC209" i="99"/>
  <c r="AC173" i="99"/>
  <c r="AC137" i="99"/>
  <c r="AC101" i="99"/>
  <c r="AC65" i="99"/>
  <c r="AC29" i="99"/>
  <c r="B557" i="53"/>
  <c r="C51" i="52" s="1"/>
  <c r="D51" i="52" s="1"/>
  <c r="B556" i="53"/>
  <c r="C32" i="52" s="1"/>
  <c r="D32" i="52" s="1"/>
  <c r="BU2" i="63"/>
  <c r="BU2" i="61"/>
  <c r="BU3" i="61" s="1"/>
  <c r="BU2" i="59"/>
  <c r="BU3" i="59" s="1"/>
  <c r="BU2" i="57"/>
  <c r="BU3" i="57" s="1"/>
  <c r="B661" i="53"/>
  <c r="CD16" i="63" s="1"/>
  <c r="B188" i="53"/>
  <c r="H61" i="91" s="1"/>
  <c r="B565" i="53"/>
  <c r="X3" i="63" s="1"/>
  <c r="X54" i="95" s="1"/>
  <c r="B566" i="53"/>
  <c r="X4" i="61" s="1"/>
  <c r="X55" i="94" s="1"/>
  <c r="B567" i="53"/>
  <c r="X5" i="59" s="1"/>
  <c r="X56" i="93" s="1"/>
  <c r="T54" i="95" a="1"/>
  <c r="AA29" i="95"/>
  <c r="J14" i="63"/>
  <c r="J15" i="63"/>
  <c r="T47" i="95"/>
  <c r="AJ36" i="95" a="1"/>
  <c r="AJ36" i="95"/>
  <c r="AJ37" i="95"/>
  <c r="AJ38" i="95"/>
  <c r="AJ39" i="95"/>
  <c r="AJ40" i="95"/>
  <c r="B555" i="53"/>
  <c r="C12" i="52" s="1"/>
  <c r="D12" i="52" s="1"/>
  <c r="AU30" i="95"/>
  <c r="B175" i="53"/>
  <c r="B21" i="93" s="1"/>
  <c r="B666" i="53"/>
  <c r="CD13" i="61" s="1"/>
  <c r="AV17" i="95"/>
  <c r="B234" i="53"/>
  <c r="B220" i="53"/>
  <c r="AT11" i="95"/>
  <c r="G7" i="95"/>
  <c r="B171" i="53"/>
  <c r="A2" i="94" s="1"/>
  <c r="T54" i="94" a="1"/>
  <c r="AA29" i="94"/>
  <c r="J14" i="61"/>
  <c r="J15" i="61"/>
  <c r="T47" i="94"/>
  <c r="AJ36" i="94" a="1"/>
  <c r="AJ36" i="94"/>
  <c r="AJ37" i="94"/>
  <c r="AJ38" i="94"/>
  <c r="AJ39" i="94"/>
  <c r="AJ40" i="94"/>
  <c r="AU30" i="94"/>
  <c r="AV17" i="94"/>
  <c r="AT11" i="94"/>
  <c r="G7" i="94"/>
  <c r="B584" i="53"/>
  <c r="E7" i="52" s="1"/>
  <c r="B587" i="53"/>
  <c r="F8" i="52" s="1"/>
  <c r="B585" i="53"/>
  <c r="E3" i="52" s="1"/>
  <c r="B586" i="53"/>
  <c r="E5" i="52" s="1"/>
  <c r="B630" i="53"/>
  <c r="K1" i="52" s="1"/>
  <c r="B631" i="53"/>
  <c r="M1" i="52" s="1"/>
  <c r="N49" i="52" s="1"/>
  <c r="B632" i="53"/>
  <c r="O1" i="52" s="1"/>
  <c r="P65" i="52" s="1"/>
  <c r="B633" i="53"/>
  <c r="Q1" i="52" s="1"/>
  <c r="B634" i="53"/>
  <c r="S1" i="52" s="1"/>
  <c r="B635" i="53"/>
  <c r="U1" i="52" s="1"/>
  <c r="V52" i="52" s="1"/>
  <c r="B636" i="53"/>
  <c r="W1" i="52" s="1"/>
  <c r="X19" i="52" s="1"/>
  <c r="B588" i="53"/>
  <c r="F12" i="52" s="1"/>
  <c r="X3" i="59"/>
  <c r="X54" i="93" s="1"/>
  <c r="X4" i="59"/>
  <c r="X55" i="93" s="1"/>
  <c r="T54" i="93" a="1"/>
  <c r="AA29" i="93"/>
  <c r="J14" i="59"/>
  <c r="J15" i="59"/>
  <c r="T47" i="93"/>
  <c r="AJ36" i="93" a="1"/>
  <c r="AJ36" i="93"/>
  <c r="AJ37" i="93"/>
  <c r="AJ38" i="93"/>
  <c r="AJ39" i="93"/>
  <c r="AJ40" i="93"/>
  <c r="AU30" i="93"/>
  <c r="B579" i="53"/>
  <c r="BY3" i="59"/>
  <c r="BY4" i="59"/>
  <c r="B225" i="53"/>
  <c r="AV17" i="93"/>
  <c r="B240" i="53"/>
  <c r="B224" i="53"/>
  <c r="AT11" i="93"/>
  <c r="BY14" i="59"/>
  <c r="G7" i="93"/>
  <c r="T54" i="92" a="1"/>
  <c r="AA29" i="92"/>
  <c r="J14" i="57"/>
  <c r="J15" i="57"/>
  <c r="T47" i="92"/>
  <c r="AJ36" i="92" a="1"/>
  <c r="AJ36" i="92"/>
  <c r="AJ37" i="92"/>
  <c r="AJ38" i="92"/>
  <c r="AJ39" i="92"/>
  <c r="AJ40" i="92"/>
  <c r="AU30" i="92"/>
  <c r="BY3" i="57"/>
  <c r="BY4" i="57"/>
  <c r="AV17" i="92"/>
  <c r="AT11" i="92"/>
  <c r="BY14" i="57"/>
  <c r="G7" i="92"/>
  <c r="EF65" i="63"/>
  <c r="F17" i="63"/>
  <c r="F16" i="63"/>
  <c r="F15" i="63"/>
  <c r="F14" i="63"/>
  <c r="B653" i="53"/>
  <c r="FA9" i="55" s="1"/>
  <c r="B652" i="53"/>
  <c r="FA8" i="59" s="1"/>
  <c r="B651" i="53"/>
  <c r="FA7" i="55" s="1"/>
  <c r="B650" i="53"/>
  <c r="FA6" i="55" s="1"/>
  <c r="B649" i="53"/>
  <c r="FA5" i="57" s="1"/>
  <c r="B169" i="53"/>
  <c r="EY5" i="63" s="1"/>
  <c r="B648" i="53"/>
  <c r="FA4" i="63" s="1"/>
  <c r="B168" i="53"/>
  <c r="EY4" i="61" s="1"/>
  <c r="B647" i="53"/>
  <c r="FA3" i="59" s="1"/>
  <c r="B167" i="53"/>
  <c r="EY3" i="61" s="1"/>
  <c r="BU3" i="63"/>
  <c r="B646" i="53"/>
  <c r="FA2" i="57" s="1"/>
  <c r="B166" i="53"/>
  <c r="EY2" i="55" s="1"/>
  <c r="EF65" i="61"/>
  <c r="F17" i="61"/>
  <c r="F16" i="61"/>
  <c r="F15" i="61"/>
  <c r="F14" i="61"/>
  <c r="EF65" i="59"/>
  <c r="F17" i="59"/>
  <c r="F16" i="59"/>
  <c r="F15" i="59"/>
  <c r="F14" i="59"/>
  <c r="EF65" i="57"/>
  <c r="F17" i="57"/>
  <c r="F16" i="57"/>
  <c r="F15" i="57"/>
  <c r="F14" i="57"/>
  <c r="M11" i="55"/>
  <c r="N11" i="55" s="1"/>
  <c r="BU2" i="55"/>
  <c r="BU3" i="55" s="1"/>
  <c r="EF65" i="55"/>
  <c r="F17" i="55"/>
  <c r="F16" i="55"/>
  <c r="J15" i="55"/>
  <c r="F15" i="55"/>
  <c r="BY14" i="55"/>
  <c r="J14" i="55"/>
  <c r="F14" i="55"/>
  <c r="BY4" i="55"/>
  <c r="BY3" i="55"/>
  <c r="X54" i="91" a="1"/>
  <c r="T54" i="91" a="1"/>
  <c r="AA29" i="91"/>
  <c r="T47" i="91"/>
  <c r="AJ36" i="91" a="1"/>
  <c r="AJ36" i="91"/>
  <c r="AJ37" i="91"/>
  <c r="AJ38" i="91"/>
  <c r="AJ39" i="91"/>
  <c r="AJ40" i="91"/>
  <c r="AU30" i="91"/>
  <c r="AV17" i="91"/>
  <c r="G7" i="91"/>
  <c r="B233" i="53"/>
  <c r="K61" i="92" s="1"/>
  <c r="H61" i="95"/>
  <c r="AT43" i="95"/>
  <c r="B27" i="53"/>
  <c r="C81" i="53" s="1"/>
  <c r="B32" i="53"/>
  <c r="C79" i="53" s="1"/>
  <c r="B49" i="53"/>
  <c r="D82" i="53" s="1"/>
  <c r="B51" i="53"/>
  <c r="C6" i="53"/>
  <c r="D6" i="53"/>
  <c r="C7" i="53"/>
  <c r="D7" i="53"/>
  <c r="C8" i="53"/>
  <c r="D8" i="53"/>
  <c r="C9" i="53"/>
  <c r="D9" i="53"/>
  <c r="C10" i="53"/>
  <c r="D10" i="53"/>
  <c r="C11" i="53"/>
  <c r="D11" i="53"/>
  <c r="C12" i="53"/>
  <c r="D12" i="53"/>
  <c r="C13" i="53"/>
  <c r="D13" i="53"/>
  <c r="C14" i="53"/>
  <c r="D14" i="53"/>
  <c r="C15" i="53"/>
  <c r="D15" i="53"/>
  <c r="C16" i="53"/>
  <c r="D16" i="53"/>
  <c r="C17" i="53"/>
  <c r="D17" i="53"/>
  <c r="C18" i="53"/>
  <c r="D18" i="53"/>
  <c r="C19" i="53"/>
  <c r="D19" i="53"/>
  <c r="C20" i="53"/>
  <c r="D20" i="53"/>
  <c r="C21" i="53"/>
  <c r="D21" i="53"/>
  <c r="C22" i="53"/>
  <c r="D22" i="53"/>
  <c r="C23" i="53"/>
  <c r="D23" i="53"/>
  <c r="C24" i="53"/>
  <c r="D24" i="53"/>
  <c r="C25" i="53"/>
  <c r="D25" i="53"/>
  <c r="C26" i="53"/>
  <c r="D26" i="53"/>
  <c r="C27" i="53"/>
  <c r="D27" i="53"/>
  <c r="C28" i="53"/>
  <c r="D28" i="53"/>
  <c r="C29" i="53"/>
  <c r="D29" i="53"/>
  <c r="C30" i="53"/>
  <c r="D30" i="53"/>
  <c r="C31" i="53"/>
  <c r="D31" i="53"/>
  <c r="C32" i="53"/>
  <c r="D32" i="53"/>
  <c r="C33" i="53"/>
  <c r="D33" i="53"/>
  <c r="C34" i="53"/>
  <c r="D34" i="53"/>
  <c r="C35" i="53"/>
  <c r="D35" i="53"/>
  <c r="C36" i="53"/>
  <c r="D36" i="53"/>
  <c r="C37" i="53"/>
  <c r="D37" i="53"/>
  <c r="C38" i="53"/>
  <c r="D38" i="53"/>
  <c r="C39" i="53"/>
  <c r="D39" i="53"/>
  <c r="C40" i="53"/>
  <c r="D40" i="53"/>
  <c r="C41" i="53"/>
  <c r="D41" i="53"/>
  <c r="C42" i="53"/>
  <c r="D42" i="53"/>
  <c r="C43" i="53"/>
  <c r="D43" i="53"/>
  <c r="C44" i="53"/>
  <c r="D44" i="53"/>
  <c r="C45" i="53"/>
  <c r="D45" i="53"/>
  <c r="C46" i="53"/>
  <c r="D46" i="53"/>
  <c r="C47" i="53"/>
  <c r="D47" i="53"/>
  <c r="C48" i="53"/>
  <c r="D48" i="53"/>
  <c r="C49" i="53"/>
  <c r="D49" i="53"/>
  <c r="C50" i="53"/>
  <c r="D50" i="53"/>
  <c r="C52" i="53"/>
  <c r="D52" i="53"/>
  <c r="C53" i="53"/>
  <c r="D53" i="53"/>
  <c r="B54" i="53"/>
  <c r="D83" i="53" s="1"/>
  <c r="C54" i="53"/>
  <c r="D54" i="53"/>
  <c r="C55" i="53"/>
  <c r="D55" i="53"/>
  <c r="C56" i="53"/>
  <c r="D56" i="53"/>
  <c r="C57" i="53"/>
  <c r="D57" i="53"/>
  <c r="C58" i="53"/>
  <c r="D58" i="53"/>
  <c r="C59" i="53"/>
  <c r="D59" i="53"/>
  <c r="C60" i="53"/>
  <c r="D60" i="53"/>
  <c r="C61" i="53"/>
  <c r="D61" i="53"/>
  <c r="C62" i="53"/>
  <c r="D62" i="53"/>
  <c r="C63" i="53"/>
  <c r="D63" i="53"/>
  <c r="C64" i="53"/>
  <c r="D64" i="53"/>
  <c r="C65" i="53"/>
  <c r="D65" i="53"/>
  <c r="C71" i="53"/>
  <c r="D71" i="53"/>
  <c r="C72" i="53"/>
  <c r="D72" i="53"/>
  <c r="C73" i="53"/>
  <c r="D73" i="53"/>
  <c r="C74" i="53"/>
  <c r="D74" i="53"/>
  <c r="C75" i="53"/>
  <c r="D75" i="53"/>
  <c r="C76" i="53"/>
  <c r="D76" i="53"/>
  <c r="B183" i="53"/>
  <c r="AE41" i="95"/>
  <c r="U41" i="95"/>
  <c r="B101" i="53"/>
  <c r="A96" i="51" s="1"/>
  <c r="B104" i="53"/>
  <c r="B105" i="53"/>
  <c r="B106" i="53"/>
  <c r="C105" i="51" s="1"/>
  <c r="C101" i="53"/>
  <c r="C102" i="53"/>
  <c r="C103" i="53"/>
  <c r="C104" i="53"/>
  <c r="C105" i="53"/>
  <c r="C106" i="53"/>
  <c r="B107" i="53"/>
  <c r="A100" i="51" s="1"/>
  <c r="C107" i="53"/>
  <c r="B108" i="53"/>
  <c r="A98" i="51" s="1"/>
  <c r="C108" i="53"/>
  <c r="B109" i="53"/>
  <c r="C109" i="53"/>
  <c r="B110" i="53"/>
  <c r="C108" i="51" s="1"/>
  <c r="C110" i="53"/>
  <c r="B111" i="53"/>
  <c r="C109" i="51" s="1"/>
  <c r="C111" i="53"/>
  <c r="B112" i="53"/>
  <c r="A107" i="51" s="1"/>
  <c r="C112" i="53"/>
  <c r="B113" i="53"/>
  <c r="A120" i="51" s="1"/>
  <c r="C113" i="53"/>
  <c r="B115" i="53"/>
  <c r="A108" i="51" s="1"/>
  <c r="C115" i="53"/>
  <c r="B116" i="53"/>
  <c r="C116" i="53"/>
  <c r="B117" i="53"/>
  <c r="A110" i="51" s="1"/>
  <c r="C117" i="53"/>
  <c r="B118" i="53"/>
  <c r="E97" i="51" s="1"/>
  <c r="C118" i="53"/>
  <c r="B119" i="53"/>
  <c r="A112" i="51" s="1"/>
  <c r="C119" i="53"/>
  <c r="B120" i="53"/>
  <c r="A113" i="51" s="1"/>
  <c r="C120" i="53"/>
  <c r="B121" i="53"/>
  <c r="A117" i="51" s="1"/>
  <c r="C121" i="53"/>
  <c r="B122" i="53"/>
  <c r="C114" i="51" s="1"/>
  <c r="C122" i="53"/>
  <c r="B123" i="53"/>
  <c r="A102" i="51" s="1"/>
  <c r="C123" i="53"/>
  <c r="B124" i="53"/>
  <c r="C117" i="51" s="1"/>
  <c r="C124" i="53"/>
  <c r="B125" i="53"/>
  <c r="A119" i="51" s="1"/>
  <c r="C125" i="53"/>
  <c r="B127" i="53"/>
  <c r="A103" i="51" s="1"/>
  <c r="C127" i="53"/>
  <c r="B128" i="53"/>
  <c r="A121" i="51" s="1"/>
  <c r="C128" i="53"/>
  <c r="B129" i="53"/>
  <c r="C129" i="53"/>
  <c r="B130" i="53"/>
  <c r="C104" i="51" s="1"/>
  <c r="C130" i="53"/>
  <c r="B131" i="53"/>
  <c r="A114" i="51" s="1"/>
  <c r="C131" i="53"/>
  <c r="B132" i="53"/>
  <c r="A116" i="51" s="1"/>
  <c r="C132" i="53"/>
  <c r="B133" i="53"/>
  <c r="A115" i="51" s="1"/>
  <c r="C133" i="53"/>
  <c r="B135" i="53"/>
  <c r="A123" i="51" s="1"/>
  <c r="C135" i="53"/>
  <c r="B137" i="53"/>
  <c r="C137" i="53"/>
  <c r="B138" i="53"/>
  <c r="F103" i="51" s="1"/>
  <c r="C138" i="53"/>
  <c r="B139" i="53"/>
  <c r="B104" i="51" s="1"/>
  <c r="C139" i="53"/>
  <c r="B140" i="53"/>
  <c r="A127" i="51" s="1"/>
  <c r="C140" i="53"/>
  <c r="B141" i="53"/>
  <c r="A128" i="51" s="1"/>
  <c r="C141" i="53"/>
  <c r="B142" i="53"/>
  <c r="A136" i="51" s="1"/>
  <c r="C142" i="53"/>
  <c r="B143" i="53"/>
  <c r="C143" i="53"/>
  <c r="B146" i="53"/>
  <c r="A138" i="51" s="1"/>
  <c r="C146" i="53"/>
  <c r="B147" i="53"/>
  <c r="A139" i="51" s="1"/>
  <c r="C147" i="53"/>
  <c r="B156" i="53"/>
  <c r="A129" i="51" s="1"/>
  <c r="C156" i="53"/>
  <c r="B157" i="53"/>
  <c r="A130" i="51" s="1"/>
  <c r="C157" i="53"/>
  <c r="B162" i="53"/>
  <c r="A131" i="51" s="1"/>
  <c r="C162" i="53"/>
  <c r="B163" i="53"/>
  <c r="A134" i="51" s="1"/>
  <c r="C163" i="53"/>
  <c r="B164" i="53"/>
  <c r="B110" i="51" s="1"/>
  <c r="C164" i="53"/>
  <c r="B165" i="53"/>
  <c r="A133" i="51" s="1"/>
  <c r="C165" i="53"/>
  <c r="C166" i="53"/>
  <c r="C167" i="53"/>
  <c r="C168" i="53"/>
  <c r="C169" i="53"/>
  <c r="B558" i="53"/>
  <c r="B559" i="53"/>
  <c r="B643" i="53"/>
  <c r="B33" i="94" s="1"/>
  <c r="B173" i="53"/>
  <c r="B32" i="95" s="1"/>
  <c r="B569" i="53"/>
  <c r="AO31" i="94" s="1"/>
  <c r="B177" i="53"/>
  <c r="AF30" i="94" s="1"/>
  <c r="P30" i="95"/>
  <c r="AT15" i="95"/>
  <c r="AW24" i="95"/>
  <c r="B180" i="53"/>
  <c r="B30" i="93" s="1"/>
  <c r="B227" i="53"/>
  <c r="S22" i="73" s="1"/>
  <c r="B243" i="53"/>
  <c r="B176" i="53"/>
  <c r="B28" i="95" s="1"/>
  <c r="B552" i="53"/>
  <c r="B27" i="94" s="1"/>
  <c r="B551" i="53"/>
  <c r="B26" i="95" s="1"/>
  <c r="B550" i="53"/>
  <c r="AF9" i="95" s="1"/>
  <c r="B627" i="53"/>
  <c r="B25" i="95" s="1"/>
  <c r="AS24" i="95"/>
  <c r="B179" i="53"/>
  <c r="S24" i="95" s="1"/>
  <c r="B564" i="53"/>
  <c r="B24" i="95" s="1"/>
  <c r="B575" i="53"/>
  <c r="H23" i="93" s="1"/>
  <c r="B178" i="53"/>
  <c r="AR19" i="94" s="1"/>
  <c r="B638" i="53"/>
  <c r="AL19" i="95" s="1"/>
  <c r="AU15" i="95"/>
  <c r="AU16" i="95"/>
  <c r="AV15" i="95"/>
  <c r="AV16" i="95"/>
  <c r="AW16" i="95"/>
  <c r="AW15" i="95"/>
  <c r="B547" i="53"/>
  <c r="B15" i="91" s="1"/>
  <c r="S13" i="95"/>
  <c r="B546" i="53"/>
  <c r="B13" i="93" s="1"/>
  <c r="B260" i="53"/>
  <c r="B12" i="94" s="1"/>
  <c r="B545" i="53"/>
  <c r="B639" i="53"/>
  <c r="AC8" i="95"/>
  <c r="B174" i="53"/>
  <c r="E8" i="94" s="1"/>
  <c r="B655" i="53"/>
  <c r="B8" i="94" s="1"/>
  <c r="B574" i="53"/>
  <c r="S7" i="93" s="1"/>
  <c r="B544" i="53"/>
  <c r="B7" i="32" s="1"/>
  <c r="R5" i="95"/>
  <c r="BI3" i="95"/>
  <c r="BD3" i="95"/>
  <c r="B542" i="53"/>
  <c r="AP2" i="92" s="1"/>
  <c r="H66" i="94"/>
  <c r="AT43" i="94"/>
  <c r="AE41" i="94"/>
  <c r="U41" i="94"/>
  <c r="P30" i="94"/>
  <c r="AT15" i="94"/>
  <c r="AW24" i="94"/>
  <c r="AS24" i="94"/>
  <c r="AU15" i="94"/>
  <c r="AU16" i="94"/>
  <c r="AV15" i="94"/>
  <c r="AV16" i="94"/>
  <c r="AW16" i="94"/>
  <c r="AW15" i="94"/>
  <c r="B577" i="53"/>
  <c r="S13" i="94"/>
  <c r="J5" i="94"/>
  <c r="BI3" i="94"/>
  <c r="BD3" i="94"/>
  <c r="H67" i="93"/>
  <c r="AT43" i="93"/>
  <c r="AE41" i="93"/>
  <c r="U41" i="93"/>
  <c r="P30" i="93"/>
  <c r="AT15" i="93"/>
  <c r="AW24" i="93"/>
  <c r="AS24" i="93"/>
  <c r="AU15" i="93"/>
  <c r="AU16" i="93"/>
  <c r="AV15" i="93"/>
  <c r="AV16" i="93"/>
  <c r="AW16" i="93"/>
  <c r="AW15" i="93"/>
  <c r="B548" i="53"/>
  <c r="S13" i="93"/>
  <c r="AC8" i="93"/>
  <c r="V5" i="93"/>
  <c r="BI3" i="93"/>
  <c r="BD3" i="93"/>
  <c r="H67" i="92"/>
  <c r="AT43" i="92"/>
  <c r="AE41" i="92"/>
  <c r="U41" i="92"/>
  <c r="P30" i="92"/>
  <c r="AT15" i="92"/>
  <c r="AW24" i="92"/>
  <c r="AS24" i="92"/>
  <c r="AU15" i="92"/>
  <c r="AU16" i="92"/>
  <c r="AV15" i="92"/>
  <c r="AV16" i="92"/>
  <c r="AW16" i="92"/>
  <c r="AW15" i="92"/>
  <c r="S13" i="92"/>
  <c r="F5" i="92"/>
  <c r="BI3" i="92"/>
  <c r="BD3" i="92"/>
  <c r="H67" i="91"/>
  <c r="AT43" i="91"/>
  <c r="AE41" i="91"/>
  <c r="U41" i="91"/>
  <c r="P30" i="91"/>
  <c r="AT15" i="91"/>
  <c r="AW24" i="91"/>
  <c r="AF25" i="91"/>
  <c r="AS24" i="91"/>
  <c r="AU15" i="91"/>
  <c r="AU16" i="91"/>
  <c r="AV15" i="91"/>
  <c r="AV16" i="91"/>
  <c r="AW16" i="91"/>
  <c r="AW15" i="91"/>
  <c r="AD14" i="91"/>
  <c r="S13" i="91"/>
  <c r="N5" i="91"/>
  <c r="BI3" i="91"/>
  <c r="BD3" i="91"/>
  <c r="U90" i="73"/>
  <c r="B664" i="53"/>
  <c r="CU9" i="51" s="1"/>
  <c r="B665" i="53"/>
  <c r="CQ9" i="51" s="1"/>
  <c r="BY3" i="50"/>
  <c r="BY4" i="50"/>
  <c r="AA29" i="32"/>
  <c r="BU2" i="50"/>
  <c r="BU3" i="50" s="1"/>
  <c r="AJ9" i="96"/>
  <c r="G27" i="109"/>
  <c r="H27" i="109"/>
  <c r="J27" i="109"/>
  <c r="I27" i="109"/>
  <c r="M27" i="109"/>
  <c r="R27" i="109"/>
  <c r="G28" i="109"/>
  <c r="H28" i="109"/>
  <c r="J28" i="109"/>
  <c r="I28" i="109"/>
  <c r="M28" i="109"/>
  <c r="R28" i="109"/>
  <c r="AD7" i="96"/>
  <c r="AC7" i="96"/>
  <c r="AG7" i="96"/>
  <c r="AE28" i="109"/>
  <c r="AE27" i="109"/>
  <c r="AE26" i="109"/>
  <c r="W19" i="107"/>
  <c r="S19" i="107" s="1"/>
  <c r="X19" i="107"/>
  <c r="W20" i="107"/>
  <c r="X20" i="107"/>
  <c r="S20" i="107"/>
  <c r="O20" i="107" s="1"/>
  <c r="N20" i="107"/>
  <c r="AC189" i="99"/>
  <c r="AC153" i="99"/>
  <c r="AC117" i="99"/>
  <c r="AC81" i="99"/>
  <c r="AC45" i="99"/>
  <c r="AC9" i="99"/>
  <c r="AT43" i="32"/>
  <c r="C93" i="53"/>
  <c r="B94" i="53"/>
  <c r="V24" i="96" s="1"/>
  <c r="C94" i="53"/>
  <c r="B95" i="53"/>
  <c r="V25" i="96" s="1"/>
  <c r="C95" i="53"/>
  <c r="C96" i="53"/>
  <c r="B97" i="53"/>
  <c r="V12" i="96" s="1"/>
  <c r="C97" i="53"/>
  <c r="B98" i="53"/>
  <c r="V13" i="96" s="1"/>
  <c r="C98" i="53"/>
  <c r="C99" i="53"/>
  <c r="B172" i="53"/>
  <c r="B181" i="53"/>
  <c r="B182" i="53"/>
  <c r="AC39" i="73" s="1"/>
  <c r="B184" i="53"/>
  <c r="B185" i="53"/>
  <c r="B186" i="53"/>
  <c r="B189" i="53"/>
  <c r="B190" i="53"/>
  <c r="B191" i="53"/>
  <c r="B192" i="53"/>
  <c r="B193" i="53"/>
  <c r="B194" i="53"/>
  <c r="B195" i="53"/>
  <c r="B196" i="53"/>
  <c r="B197" i="53"/>
  <c r="B198" i="53"/>
  <c r="B199" i="53"/>
  <c r="B200" i="53"/>
  <c r="B201" i="53"/>
  <c r="B202" i="53"/>
  <c r="B203" i="53"/>
  <c r="B204" i="53"/>
  <c r="B205" i="53"/>
  <c r="B206" i="53"/>
  <c r="B207" i="53"/>
  <c r="B208" i="53"/>
  <c r="B209" i="53"/>
  <c r="B210" i="53"/>
  <c r="B211" i="53"/>
  <c r="B212" i="53"/>
  <c r="B213" i="53"/>
  <c r="B214" i="53"/>
  <c r="B215" i="53"/>
  <c r="B216" i="53"/>
  <c r="B217" i="53"/>
  <c r="B218" i="53"/>
  <c r="B219" i="53"/>
  <c r="B221" i="53"/>
  <c r="B222" i="53"/>
  <c r="B223" i="53"/>
  <c r="B226" i="53"/>
  <c r="B228" i="53"/>
  <c r="B235" i="53"/>
  <c r="B8" i="21" s="1"/>
  <c r="B236" i="53"/>
  <c r="B37" i="21" s="1"/>
  <c r="B237" i="53"/>
  <c r="B238" i="53"/>
  <c r="B239" i="53"/>
  <c r="B241" i="53"/>
  <c r="B242" i="53"/>
  <c r="B245" i="53"/>
  <c r="B246" i="53"/>
  <c r="B247" i="53"/>
  <c r="K4" i="97" s="1"/>
  <c r="B248" i="53"/>
  <c r="B250" i="53"/>
  <c r="B251" i="53"/>
  <c r="B5" i="71" s="1"/>
  <c r="B252" i="53"/>
  <c r="B7" i="71" s="1"/>
  <c r="B253" i="53"/>
  <c r="E19" i="80" s="1"/>
  <c r="B254" i="53"/>
  <c r="B255" i="53"/>
  <c r="C11" i="73" s="1"/>
  <c r="B256" i="53"/>
  <c r="C15" i="73" s="1"/>
  <c r="B257" i="53"/>
  <c r="B258" i="53"/>
  <c r="B259" i="53"/>
  <c r="BC37" i="44" s="1"/>
  <c r="B261" i="53"/>
  <c r="B262" i="53"/>
  <c r="B263" i="53"/>
  <c r="B264" i="53"/>
  <c r="B265" i="53"/>
  <c r="B266" i="53"/>
  <c r="B267" i="53"/>
  <c r="B268" i="53"/>
  <c r="B269" i="53"/>
  <c r="B270" i="53"/>
  <c r="B271" i="53"/>
  <c r="B272" i="53"/>
  <c r="B273" i="53"/>
  <c r="B274" i="53"/>
  <c r="B275" i="53"/>
  <c r="B276" i="53"/>
  <c r="B277" i="53"/>
  <c r="S7" i="73" s="1"/>
  <c r="B278" i="53"/>
  <c r="B279" i="53"/>
  <c r="B280" i="53"/>
  <c r="P2" i="73" s="1"/>
  <c r="B281" i="53"/>
  <c r="B28" i="97" s="1"/>
  <c r="B282" i="53"/>
  <c r="B283" i="53"/>
  <c r="B284" i="53"/>
  <c r="B285" i="53"/>
  <c r="B286" i="53"/>
  <c r="B287" i="53"/>
  <c r="B288" i="53"/>
  <c r="B289" i="53"/>
  <c r="B290" i="53"/>
  <c r="B291" i="53"/>
  <c r="B292" i="53"/>
  <c r="B293" i="53"/>
  <c r="B294" i="53"/>
  <c r="B295" i="53"/>
  <c r="B296" i="53"/>
  <c r="V68" i="21" s="1"/>
  <c r="B297" i="53"/>
  <c r="B298" i="53"/>
  <c r="B299" i="53"/>
  <c r="B300" i="53"/>
  <c r="B301" i="53"/>
  <c r="B302" i="53"/>
  <c r="B24" i="100" s="1"/>
  <c r="B303" i="53"/>
  <c r="B18" i="100" s="1"/>
  <c r="B304" i="53"/>
  <c r="F5" i="80" s="1"/>
  <c r="B305" i="53"/>
  <c r="B306" i="53"/>
  <c r="B307" i="53"/>
  <c r="B308" i="53"/>
  <c r="E10" i="80" s="1"/>
  <c r="B309" i="53"/>
  <c r="B310" i="53"/>
  <c r="B14" i="97" s="1"/>
  <c r="B311" i="53"/>
  <c r="Q14" i="97" s="1"/>
  <c r="B312" i="53"/>
  <c r="K2" i="21" s="1"/>
  <c r="B313" i="53"/>
  <c r="B21" i="100" s="1"/>
  <c r="B314" i="53"/>
  <c r="B315" i="53"/>
  <c r="B316" i="53"/>
  <c r="B317" i="53"/>
  <c r="B318" i="53"/>
  <c r="B319" i="53"/>
  <c r="B320" i="53"/>
  <c r="S26" i="73" s="1"/>
  <c r="B321" i="53"/>
  <c r="AM51" i="73" s="1"/>
  <c r="B322" i="53"/>
  <c r="AM50" i="73" s="1"/>
  <c r="B323" i="53"/>
  <c r="S28" i="73" s="1"/>
  <c r="B324" i="53"/>
  <c r="S30" i="73" s="1"/>
  <c r="B325" i="53"/>
  <c r="S32" i="73" s="1"/>
  <c r="B326" i="53"/>
  <c r="S34" i="73" s="1"/>
  <c r="B327" i="53"/>
  <c r="AG22" i="73" s="1"/>
  <c r="B328" i="53"/>
  <c r="AC22" i="73" s="1"/>
  <c r="B329" i="53"/>
  <c r="B330" i="53"/>
  <c r="B331" i="53"/>
  <c r="B332" i="53"/>
  <c r="AM52" i="73" s="1"/>
  <c r="B333" i="53"/>
  <c r="B334" i="53"/>
  <c r="B335" i="53"/>
  <c r="B336" i="53"/>
  <c r="B337" i="53"/>
  <c r="B338" i="53"/>
  <c r="B339" i="53"/>
  <c r="B340" i="53"/>
  <c r="B341" i="53"/>
  <c r="B342" i="53"/>
  <c r="B343" i="53"/>
  <c r="B344" i="53"/>
  <c r="B345" i="53"/>
  <c r="B346" i="53"/>
  <c r="B347" i="53"/>
  <c r="B348" i="53"/>
  <c r="B349" i="53"/>
  <c r="B350" i="53"/>
  <c r="B351"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78" i="53"/>
  <c r="B379" i="53"/>
  <c r="B380" i="53"/>
  <c r="B381" i="53"/>
  <c r="B382" i="53"/>
  <c r="B383" i="53"/>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413" i="53"/>
  <c r="B414" i="53"/>
  <c r="B415" i="53"/>
  <c r="B416" i="53"/>
  <c r="B417" i="53"/>
  <c r="B418" i="53"/>
  <c r="B419" i="53"/>
  <c r="B420" i="53"/>
  <c r="B421" i="53"/>
  <c r="B422" i="53"/>
  <c r="B423" i="53"/>
  <c r="B424" i="53"/>
  <c r="B425" i="53"/>
  <c r="B426" i="53"/>
  <c r="B427" i="53"/>
  <c r="B428" i="53"/>
  <c r="B429" i="53"/>
  <c r="B430" i="53"/>
  <c r="B431" i="53"/>
  <c r="B432" i="53"/>
  <c r="B433" i="53"/>
  <c r="B434" i="53"/>
  <c r="B435" i="53"/>
  <c r="B436" i="53"/>
  <c r="B437" i="53"/>
  <c r="B438" i="53"/>
  <c r="B439" i="53"/>
  <c r="B440" i="53"/>
  <c r="B441" i="53"/>
  <c r="B442" i="53"/>
  <c r="B443" i="53"/>
  <c r="B444" i="53"/>
  <c r="B445" i="53"/>
  <c r="B446" i="53"/>
  <c r="B447" i="53"/>
  <c r="B448" i="53"/>
  <c r="B449" i="53"/>
  <c r="B450" i="53"/>
  <c r="B451" i="53"/>
  <c r="B452" i="53"/>
  <c r="B453" i="53"/>
  <c r="B454" i="53"/>
  <c r="B455" i="53"/>
  <c r="B456" i="53"/>
  <c r="B457" i="53"/>
  <c r="B458" i="53"/>
  <c r="B459" i="53"/>
  <c r="B460" i="53"/>
  <c r="B461" i="53"/>
  <c r="B462" i="53"/>
  <c r="B463" i="53"/>
  <c r="B464" i="53"/>
  <c r="B465" i="53"/>
  <c r="B466" i="53"/>
  <c r="B467" i="53"/>
  <c r="B468" i="53"/>
  <c r="B469" i="53"/>
  <c r="B470" i="53"/>
  <c r="B471" i="53"/>
  <c r="B472" i="53"/>
  <c r="B473" i="53"/>
  <c r="B474" i="53"/>
  <c r="B475" i="53"/>
  <c r="B476" i="53"/>
  <c r="B477" i="53"/>
  <c r="B478" i="53"/>
  <c r="B479" i="53"/>
  <c r="B480" i="53"/>
  <c r="B481" i="53"/>
  <c r="B482" i="53"/>
  <c r="B483" i="53"/>
  <c r="B484" i="53"/>
  <c r="B485" i="53"/>
  <c r="B486" i="53"/>
  <c r="B487" i="53"/>
  <c r="B488" i="53"/>
  <c r="B489" i="53"/>
  <c r="B490" i="53"/>
  <c r="B491" i="53"/>
  <c r="B492" i="53"/>
  <c r="B493" i="53"/>
  <c r="B494" i="53"/>
  <c r="B495" i="53"/>
  <c r="B496" i="53"/>
  <c r="B497" i="53"/>
  <c r="B498" i="53"/>
  <c r="B499" i="53"/>
  <c r="B500" i="53"/>
  <c r="B501" i="53"/>
  <c r="B502" i="53"/>
  <c r="B503" i="53"/>
  <c r="B504" i="53"/>
  <c r="B505" i="53"/>
  <c r="B506" i="53"/>
  <c r="B507" i="53"/>
  <c r="B508" i="53"/>
  <c r="B509" i="53"/>
  <c r="B510" i="53"/>
  <c r="B511" i="53"/>
  <c r="B512" i="53"/>
  <c r="B513" i="53"/>
  <c r="B514" i="53"/>
  <c r="B515" i="53"/>
  <c r="B516" i="53"/>
  <c r="B517" i="53"/>
  <c r="B518" i="53"/>
  <c r="B519" i="53"/>
  <c r="B520" i="53"/>
  <c r="B521" i="53"/>
  <c r="B522" i="53"/>
  <c r="B523" i="53"/>
  <c r="B524" i="53"/>
  <c r="B525" i="53"/>
  <c r="B526" i="53"/>
  <c r="B527" i="53"/>
  <c r="B528" i="53"/>
  <c r="B529" i="53"/>
  <c r="B530" i="53"/>
  <c r="B531" i="53"/>
  <c r="B532" i="53"/>
  <c r="B533" i="53"/>
  <c r="B534" i="53"/>
  <c r="B535" i="53"/>
  <c r="B536" i="53"/>
  <c r="B537" i="53"/>
  <c r="B538" i="53"/>
  <c r="B539" i="53"/>
  <c r="B540" i="53"/>
  <c r="B541" i="53"/>
  <c r="B543" i="53"/>
  <c r="B549" i="53"/>
  <c r="B563" i="53"/>
  <c r="B568" i="53"/>
  <c r="R34" i="80" s="1"/>
  <c r="B570" i="53"/>
  <c r="B571" i="53"/>
  <c r="B572" i="53"/>
  <c r="B573" i="53"/>
  <c r="B576" i="53"/>
  <c r="B31" i="100" s="1"/>
  <c r="B578" i="53"/>
  <c r="B580" i="53"/>
  <c r="B581" i="53"/>
  <c r="B582" i="53"/>
  <c r="B583" i="53"/>
  <c r="J21" i="97" s="1"/>
  <c r="B589" i="53"/>
  <c r="B595" i="53"/>
  <c r="B596" i="53"/>
  <c r="B597" i="53"/>
  <c r="B598" i="53"/>
  <c r="B599" i="53"/>
  <c r="B601" i="53"/>
  <c r="B602" i="53"/>
  <c r="B603" i="53"/>
  <c r="B604" i="53"/>
  <c r="B605" i="53"/>
  <c r="B606" i="53"/>
  <c r="B608" i="53"/>
  <c r="B609" i="53"/>
  <c r="B610" i="53"/>
  <c r="B611" i="53"/>
  <c r="B612" i="53"/>
  <c r="B613" i="53"/>
  <c r="B614" i="53"/>
  <c r="B616" i="53"/>
  <c r="B617" i="53"/>
  <c r="B618" i="53"/>
  <c r="B619" i="53"/>
  <c r="B620" i="53"/>
  <c r="B621" i="53"/>
  <c r="B622" i="53"/>
  <c r="B623" i="53"/>
  <c r="B624" i="53"/>
  <c r="B625" i="53"/>
  <c r="B626" i="53"/>
  <c r="B628" i="53"/>
  <c r="B629" i="53"/>
  <c r="D96" i="51" s="1"/>
  <c r="B637" i="53"/>
  <c r="B644" i="53"/>
  <c r="B656" i="53"/>
  <c r="B658" i="53"/>
  <c r="B659" i="53"/>
  <c r="B660" i="53"/>
  <c r="B663" i="53"/>
  <c r="B667" i="53"/>
  <c r="B668" i="53"/>
  <c r="B670" i="53"/>
  <c r="B671" i="53"/>
  <c r="B67" i="44" s="1"/>
  <c r="B672" i="53"/>
  <c r="B673" i="53"/>
  <c r="B14" i="100" s="1"/>
  <c r="B682" i="53"/>
  <c r="B5" i="100" s="1"/>
  <c r="B683" i="53"/>
  <c r="B7" i="100" s="1"/>
  <c r="B684" i="53"/>
  <c r="B9" i="100" s="1"/>
  <c r="B685" i="53"/>
  <c r="B10" i="100" s="1"/>
  <c r="B686" i="53"/>
  <c r="B687" i="53"/>
  <c r="B13" i="100" s="1"/>
  <c r="B688" i="53"/>
  <c r="B689" i="53"/>
  <c r="B22" i="100" s="1"/>
  <c r="B690" i="53"/>
  <c r="B691" i="53"/>
  <c r="B25" i="100" s="1"/>
  <c r="B692" i="53"/>
  <c r="B27" i="100" s="1"/>
  <c r="B693" i="53"/>
  <c r="B694" i="53"/>
  <c r="AL22" i="73" s="1"/>
  <c r="B695" i="53"/>
  <c r="AC37" i="73" s="1"/>
  <c r="B696" i="53"/>
  <c r="B26" i="100" s="1"/>
  <c r="B725" i="53"/>
  <c r="C14" i="96" s="1"/>
  <c r="AT11" i="32"/>
  <c r="AU15" i="32"/>
  <c r="AV15" i="32"/>
  <c r="AW15" i="32" s="1"/>
  <c r="AU16" i="32"/>
  <c r="AW24" i="32"/>
  <c r="M33" i="106"/>
  <c r="N33" i="106" s="1"/>
  <c r="X42" i="106"/>
  <c r="Y42" i="106"/>
  <c r="X43" i="106"/>
  <c r="S43" i="106" s="1"/>
  <c r="Y43" i="106"/>
  <c r="W42" i="106"/>
  <c r="AF4" i="99"/>
  <c r="P80" i="109"/>
  <c r="P81" i="109"/>
  <c r="Q82" i="109"/>
  <c r="Q81" i="109"/>
  <c r="Q80" i="109"/>
  <c r="P82" i="109"/>
  <c r="O82" i="109"/>
  <c r="O81" i="109"/>
  <c r="O80" i="109"/>
  <c r="AD28" i="109"/>
  <c r="AG28" i="109"/>
  <c r="AD27" i="109"/>
  <c r="AG27" i="109"/>
  <c r="AD26" i="109"/>
  <c r="AG26" i="109"/>
  <c r="K28" i="109"/>
  <c r="K27" i="109"/>
  <c r="K26" i="109"/>
  <c r="H26" i="109"/>
  <c r="G26" i="109"/>
  <c r="J26" i="109"/>
  <c r="AB18" i="109"/>
  <c r="V81" i="109" s="1"/>
  <c r="T19" i="109"/>
  <c r="M2" i="107"/>
  <c r="AD17" i="107" s="1"/>
  <c r="M16" i="100"/>
  <c r="X21" i="107"/>
  <c r="W21" i="107"/>
  <c r="S21" i="107"/>
  <c r="N21" i="107" s="1"/>
  <c r="O21" i="107"/>
  <c r="X18" i="107"/>
  <c r="W18" i="107"/>
  <c r="S18" i="107" s="1"/>
  <c r="X17" i="107"/>
  <c r="W17" i="107"/>
  <c r="S17" i="107" s="1"/>
  <c r="N17" i="107" s="1"/>
  <c r="X16" i="107"/>
  <c r="W16" i="107"/>
  <c r="V21" i="107"/>
  <c r="V20" i="107"/>
  <c r="V19" i="107"/>
  <c r="V18" i="107"/>
  <c r="V17" i="107"/>
  <c r="V16" i="107"/>
  <c r="Q7" i="106"/>
  <c r="T8" i="106" s="1"/>
  <c r="P7" i="106"/>
  <c r="S7" i="106" s="1"/>
  <c r="Q6" i="106"/>
  <c r="Q5" i="106"/>
  <c r="Q4" i="106"/>
  <c r="Q3" i="106"/>
  <c r="Q2" i="106"/>
  <c r="P6" i="106"/>
  <c r="S6" i="106" s="1"/>
  <c r="P5" i="106"/>
  <c r="S5" i="106" s="1"/>
  <c r="P4" i="106"/>
  <c r="S4" i="106"/>
  <c r="P3" i="106"/>
  <c r="S3" i="106"/>
  <c r="P2" i="106"/>
  <c r="S2" i="106"/>
  <c r="W43" i="106"/>
  <c r="E29" i="80"/>
  <c r="AU10" i="71"/>
  <c r="AU9" i="71"/>
  <c r="Y47" i="106"/>
  <c r="X47" i="106"/>
  <c r="T47" i="106"/>
  <c r="W47" i="106"/>
  <c r="Y46" i="106"/>
  <c r="X46" i="106"/>
  <c r="T46" i="106" s="1"/>
  <c r="W46" i="106"/>
  <c r="Y45" i="106"/>
  <c r="X45" i="106"/>
  <c r="T45" i="106" s="1"/>
  <c r="S45" i="106"/>
  <c r="W45" i="106"/>
  <c r="Y44" i="106"/>
  <c r="X44" i="106"/>
  <c r="S44" i="106" s="1"/>
  <c r="W44" i="106"/>
  <c r="AB53" i="106"/>
  <c r="AB51" i="106"/>
  <c r="AB59" i="106"/>
  <c r="AB49" i="106"/>
  <c r="AB54" i="106"/>
  <c r="AC201" i="99"/>
  <c r="AC165" i="99"/>
  <c r="AC129" i="99"/>
  <c r="AC93" i="99"/>
  <c r="AC57" i="99"/>
  <c r="AC21" i="99"/>
  <c r="B697" i="53"/>
  <c r="C17" i="96"/>
  <c r="V2" i="97"/>
  <c r="AC206" i="99"/>
  <c r="AC170" i="99"/>
  <c r="AC134" i="99"/>
  <c r="AC98" i="99"/>
  <c r="AC62" i="99"/>
  <c r="AC26" i="99"/>
  <c r="AC198" i="99"/>
  <c r="AJ198" i="99" s="1"/>
  <c r="AC162" i="99"/>
  <c r="AJ162" i="99" s="1"/>
  <c r="AC126" i="99"/>
  <c r="AJ126" i="99" s="1"/>
  <c r="AC90" i="99"/>
  <c r="AJ90" i="99" s="1"/>
  <c r="AC54" i="99"/>
  <c r="AJ54" i="99" s="1"/>
  <c r="AC18" i="99"/>
  <c r="AJ18" i="99" s="1"/>
  <c r="AJ199" i="99"/>
  <c r="AJ163" i="99"/>
  <c r="AJ127" i="99"/>
  <c r="AK91" i="99"/>
  <c r="AJ55" i="99"/>
  <c r="AJ19" i="99"/>
  <c r="AB199" i="99"/>
  <c r="AB163" i="99"/>
  <c r="AB127" i="99"/>
  <c r="AB91" i="99"/>
  <c r="AB55" i="99"/>
  <c r="AB19" i="99"/>
  <c r="AC197" i="99"/>
  <c r="AC161" i="99"/>
  <c r="AC125" i="99"/>
  <c r="AC89" i="99"/>
  <c r="AC53" i="99"/>
  <c r="AC17" i="99"/>
  <c r="AC207" i="99"/>
  <c r="AC171" i="99"/>
  <c r="AC135" i="99"/>
  <c r="AC99" i="99"/>
  <c r="AC63" i="99"/>
  <c r="AC27" i="99"/>
  <c r="U41" i="32"/>
  <c r="B16" i="100"/>
  <c r="U5" i="71"/>
  <c r="AO5" i="71" s="1"/>
  <c r="S37" i="73"/>
  <c r="C35" i="96"/>
  <c r="P21" i="105"/>
  <c r="K18" i="73"/>
  <c r="R17" i="96"/>
  <c r="P2" i="105"/>
  <c r="AC42" i="73"/>
  <c r="AC44" i="73"/>
  <c r="AE9" i="96"/>
  <c r="H9" i="71"/>
  <c r="W153" i="99"/>
  <c r="W189" i="99"/>
  <c r="AB7" i="71"/>
  <c r="B10" i="71"/>
  <c r="D5" i="99"/>
  <c r="Q7" i="99" s="1"/>
  <c r="D8" i="99"/>
  <c r="D7" i="99"/>
  <c r="D6" i="99"/>
  <c r="AB6" i="71"/>
  <c r="U8" i="71"/>
  <c r="U7" i="71"/>
  <c r="C18" i="73"/>
  <c r="AS24" i="32"/>
  <c r="AV21" i="99"/>
  <c r="U6" i="71"/>
  <c r="H7" i="71"/>
  <c r="H6" i="71"/>
  <c r="H5" i="71"/>
  <c r="C19" i="73"/>
  <c r="C17" i="73"/>
  <c r="C18" i="96"/>
  <c r="C16" i="96"/>
  <c r="V34" i="80"/>
  <c r="E25" i="80"/>
  <c r="E23" i="80"/>
  <c r="AV17" i="32"/>
  <c r="O55" i="73"/>
  <c r="K55" i="73"/>
  <c r="G55" i="73"/>
  <c r="W14" i="99"/>
  <c r="W17" i="99"/>
  <c r="C32" i="51"/>
  <c r="C31" i="51"/>
  <c r="C30" i="51"/>
  <c r="C29" i="51"/>
  <c r="C28" i="51"/>
  <c r="C27" i="51"/>
  <c r="C26" i="51"/>
  <c r="C25" i="51"/>
  <c r="C24" i="51"/>
  <c r="C23" i="51"/>
  <c r="C22" i="51"/>
  <c r="C21" i="51"/>
  <c r="C20" i="51"/>
  <c r="C19" i="51"/>
  <c r="C18" i="51"/>
  <c r="C17" i="51"/>
  <c r="C16" i="51"/>
  <c r="C15" i="51"/>
  <c r="C14" i="51"/>
  <c r="C13" i="51"/>
  <c r="C12" i="51"/>
  <c r="C11" i="51"/>
  <c r="C10" i="51"/>
  <c r="C9" i="51"/>
  <c r="C8" i="51"/>
  <c r="C7" i="51"/>
  <c r="C6" i="51"/>
  <c r="C5" i="51"/>
  <c r="C4" i="51"/>
  <c r="C3" i="51"/>
  <c r="C34" i="51"/>
  <c r="C33" i="51"/>
  <c r="AC59" i="99"/>
  <c r="AC95" i="99"/>
  <c r="AC204" i="99"/>
  <c r="AC168" i="99"/>
  <c r="AC132" i="99"/>
  <c r="AC96" i="99"/>
  <c r="AC60" i="99"/>
  <c r="W204" i="99"/>
  <c r="W168" i="99"/>
  <c r="W132" i="99"/>
  <c r="W96" i="99"/>
  <c r="W60" i="99"/>
  <c r="W210" i="99"/>
  <c r="W174" i="99"/>
  <c r="W138" i="99"/>
  <c r="W102" i="99"/>
  <c r="W66" i="99"/>
  <c r="EF65" i="50"/>
  <c r="AU30" i="32"/>
  <c r="AC16" i="99"/>
  <c r="AC24" i="99"/>
  <c r="W24" i="99"/>
  <c r="BY194" i="99"/>
  <c r="BY121" i="99"/>
  <c r="AC22" i="99"/>
  <c r="W19" i="99"/>
  <c r="W9" i="99"/>
  <c r="W10" i="99"/>
  <c r="AC10" i="99"/>
  <c r="W11" i="99"/>
  <c r="W12" i="99"/>
  <c r="AV12" i="99"/>
  <c r="BA12" i="99"/>
  <c r="BY12" i="99"/>
  <c r="AV13" i="99"/>
  <c r="BA13" i="99"/>
  <c r="AC14" i="99"/>
  <c r="AJ14" i="99"/>
  <c r="AV14" i="99"/>
  <c r="BY14" i="99"/>
  <c r="W15" i="99"/>
  <c r="AV15" i="99"/>
  <c r="W16" i="99"/>
  <c r="S18" i="99"/>
  <c r="W18" i="99"/>
  <c r="S19" i="99"/>
  <c r="AG19" i="99"/>
  <c r="S20" i="99"/>
  <c r="S21" i="99"/>
  <c r="S22" i="99"/>
  <c r="W22" i="99"/>
  <c r="S23" i="99"/>
  <c r="AB23" i="99"/>
  <c r="AL23" i="99"/>
  <c r="S24" i="99"/>
  <c r="S25" i="99"/>
  <c r="W25" i="99"/>
  <c r="S26" i="99"/>
  <c r="W26" i="99"/>
  <c r="S27" i="99"/>
  <c r="W27" i="99"/>
  <c r="W28" i="99"/>
  <c r="AC28" i="99"/>
  <c r="W29" i="99"/>
  <c r="W30" i="99"/>
  <c r="AC30" i="99"/>
  <c r="D37" i="99"/>
  <c r="G40" i="99"/>
  <c r="H40" i="99"/>
  <c r="I40" i="99"/>
  <c r="J40" i="99"/>
  <c r="K40" i="99"/>
  <c r="L40" i="99"/>
  <c r="W45" i="99"/>
  <c r="W46" i="99"/>
  <c r="AC46" i="99"/>
  <c r="W47" i="99"/>
  <c r="W48" i="99"/>
  <c r="AV48" i="99"/>
  <c r="BA48" i="99"/>
  <c r="BY48" i="99"/>
  <c r="AC49" i="99"/>
  <c r="AJ49" i="99"/>
  <c r="AV49" i="99"/>
  <c r="BA49" i="99"/>
  <c r="W50" i="99"/>
  <c r="AC50" i="99"/>
  <c r="AJ50" i="99"/>
  <c r="AV50" i="99"/>
  <c r="BY50" i="99"/>
  <c r="W51" i="99"/>
  <c r="AV51" i="99"/>
  <c r="W52" i="99"/>
  <c r="AC52" i="99"/>
  <c r="W53" i="99"/>
  <c r="S54" i="99"/>
  <c r="W54" i="99"/>
  <c r="S55" i="99"/>
  <c r="W55" i="99"/>
  <c r="AG55" i="99"/>
  <c r="S56" i="99"/>
  <c r="S57" i="99"/>
  <c r="S58" i="99"/>
  <c r="W58" i="99"/>
  <c r="AC58" i="99"/>
  <c r="S59" i="99"/>
  <c r="AL59" i="99"/>
  <c r="S60" i="99"/>
  <c r="S61" i="99"/>
  <c r="W61" i="99"/>
  <c r="S62" i="99"/>
  <c r="W62" i="99"/>
  <c r="S63" i="99"/>
  <c r="W63" i="99"/>
  <c r="W64" i="99"/>
  <c r="AC64" i="99"/>
  <c r="W65" i="99"/>
  <c r="AC66" i="99"/>
  <c r="D73" i="99"/>
  <c r="G76" i="99"/>
  <c r="H76" i="99"/>
  <c r="I76" i="99"/>
  <c r="J76" i="99"/>
  <c r="K76" i="99"/>
  <c r="L76" i="99"/>
  <c r="W81" i="99"/>
  <c r="W82" i="99"/>
  <c r="AC82" i="99"/>
  <c r="W83" i="99"/>
  <c r="W84" i="99"/>
  <c r="AV84" i="99"/>
  <c r="BA84" i="99"/>
  <c r="BY84" i="99"/>
  <c r="AC85" i="99"/>
  <c r="AJ85" i="99"/>
  <c r="AV85" i="99"/>
  <c r="BA85" i="99"/>
  <c r="BY85" i="99"/>
  <c r="W86" i="99"/>
  <c r="AC86" i="99"/>
  <c r="AJ86" i="99"/>
  <c r="AV86" i="99"/>
  <c r="BY86" i="99"/>
  <c r="W87" i="99"/>
  <c r="AV87" i="99"/>
  <c r="W88" i="99"/>
  <c r="AC88" i="99"/>
  <c r="W89" i="99"/>
  <c r="S90" i="99"/>
  <c r="W90" i="99"/>
  <c r="S91" i="99"/>
  <c r="W91" i="99"/>
  <c r="AG91" i="99"/>
  <c r="S92" i="99"/>
  <c r="S93" i="99"/>
  <c r="S94" i="99"/>
  <c r="W94" i="99"/>
  <c r="AC94" i="99"/>
  <c r="S95" i="99"/>
  <c r="AL95" i="99"/>
  <c r="S96" i="99"/>
  <c r="S97" i="99"/>
  <c r="W97" i="99"/>
  <c r="S98" i="99"/>
  <c r="W98" i="99"/>
  <c r="S99" i="99"/>
  <c r="W99" i="99"/>
  <c r="W100" i="99"/>
  <c r="AC100" i="99"/>
  <c r="W101" i="99"/>
  <c r="AC102" i="99"/>
  <c r="D109" i="99"/>
  <c r="G112" i="99"/>
  <c r="H112" i="99"/>
  <c r="I112" i="99"/>
  <c r="J112" i="99"/>
  <c r="K112" i="99"/>
  <c r="L112" i="99"/>
  <c r="W117" i="99"/>
  <c r="W118" i="99"/>
  <c r="AC118" i="99"/>
  <c r="W119" i="99"/>
  <c r="W120" i="99"/>
  <c r="AV120" i="99"/>
  <c r="BA120" i="99"/>
  <c r="BY120" i="99"/>
  <c r="AC121" i="99"/>
  <c r="AJ121" i="99"/>
  <c r="AV121" i="99"/>
  <c r="BA121" i="99"/>
  <c r="W122" i="99"/>
  <c r="AC122" i="99"/>
  <c r="AJ122" i="99"/>
  <c r="AV122" i="99"/>
  <c r="BY122" i="99"/>
  <c r="W123" i="99"/>
  <c r="AV123" i="99"/>
  <c r="W124" i="99"/>
  <c r="AC124" i="99"/>
  <c r="W125" i="99"/>
  <c r="S126" i="99"/>
  <c r="W126" i="99"/>
  <c r="S127" i="99"/>
  <c r="W127" i="99"/>
  <c r="AG127" i="99"/>
  <c r="S128" i="99"/>
  <c r="S129" i="99"/>
  <c r="S130" i="99"/>
  <c r="W130" i="99"/>
  <c r="AC130" i="99"/>
  <c r="S131" i="99"/>
  <c r="AB131" i="99"/>
  <c r="AL131" i="99"/>
  <c r="S132" i="99"/>
  <c r="S133" i="99"/>
  <c r="W133" i="99"/>
  <c r="S134" i="99"/>
  <c r="W134" i="99"/>
  <c r="S135" i="99"/>
  <c r="W135" i="99"/>
  <c r="W136" i="99"/>
  <c r="AC136" i="99"/>
  <c r="W137" i="99"/>
  <c r="AC138" i="99"/>
  <c r="D145" i="99"/>
  <c r="G148" i="99"/>
  <c r="H148" i="99"/>
  <c r="I148" i="99"/>
  <c r="J148" i="99"/>
  <c r="K148" i="99"/>
  <c r="L148" i="99"/>
  <c r="W154" i="99"/>
  <c r="AC154" i="99"/>
  <c r="W155" i="99"/>
  <c r="W156" i="99"/>
  <c r="AV156" i="99"/>
  <c r="BA156" i="99"/>
  <c r="BY156" i="99"/>
  <c r="AC157" i="99"/>
  <c r="AJ157" i="99"/>
  <c r="AV157" i="99"/>
  <c r="BA157" i="99"/>
  <c r="W158" i="99"/>
  <c r="AC158" i="99"/>
  <c r="AJ158" i="99"/>
  <c r="AV158" i="99"/>
  <c r="BY158" i="99"/>
  <c r="W159" i="99"/>
  <c r="AV159" i="99"/>
  <c r="W160" i="99"/>
  <c r="AC160" i="99"/>
  <c r="W161" i="99"/>
  <c r="S162" i="99"/>
  <c r="W162" i="99"/>
  <c r="S163" i="99"/>
  <c r="W163" i="99"/>
  <c r="AG163" i="99"/>
  <c r="S164" i="99"/>
  <c r="S165" i="99"/>
  <c r="S166" i="99"/>
  <c r="W166" i="99"/>
  <c r="AC166" i="99"/>
  <c r="S167" i="99"/>
  <c r="AB167" i="99"/>
  <c r="AL167" i="99"/>
  <c r="S168" i="99"/>
  <c r="S169" i="99"/>
  <c r="W169" i="99"/>
  <c r="S170" i="99"/>
  <c r="W170" i="99"/>
  <c r="S171" i="99"/>
  <c r="W171" i="99"/>
  <c r="W172" i="99"/>
  <c r="AC172" i="99"/>
  <c r="W173" i="99"/>
  <c r="AC174" i="99"/>
  <c r="D181" i="99"/>
  <c r="G184" i="99"/>
  <c r="H184" i="99"/>
  <c r="I184" i="99"/>
  <c r="J184" i="99"/>
  <c r="K184" i="99"/>
  <c r="L184" i="99"/>
  <c r="W190" i="99"/>
  <c r="AC190" i="99"/>
  <c r="W191" i="99"/>
  <c r="W192" i="99"/>
  <c r="AV192" i="99"/>
  <c r="BA192" i="99"/>
  <c r="BY192" i="99"/>
  <c r="AC193" i="99"/>
  <c r="AJ193" i="99"/>
  <c r="AV193" i="99"/>
  <c r="BA193" i="99"/>
  <c r="W194" i="99"/>
  <c r="AC194" i="99"/>
  <c r="AJ194" i="99"/>
  <c r="AV194" i="99"/>
  <c r="W195" i="99"/>
  <c r="AV195" i="99"/>
  <c r="W196" i="99"/>
  <c r="AC196" i="99"/>
  <c r="W197" i="99"/>
  <c r="S198" i="99"/>
  <c r="W198" i="99"/>
  <c r="S199" i="99"/>
  <c r="W199" i="99"/>
  <c r="AG199" i="99"/>
  <c r="S200" i="99"/>
  <c r="S201" i="99"/>
  <c r="S202" i="99"/>
  <c r="W202" i="99"/>
  <c r="AC202" i="99"/>
  <c r="S203" i="99"/>
  <c r="AB203" i="99"/>
  <c r="AL203" i="99"/>
  <c r="S204" i="99"/>
  <c r="S205" i="99"/>
  <c r="W205" i="99"/>
  <c r="S206" i="99"/>
  <c r="W206" i="99"/>
  <c r="S207" i="99"/>
  <c r="W207" i="99"/>
  <c r="W208" i="99"/>
  <c r="AC208" i="99"/>
  <c r="W209" i="99"/>
  <c r="AC210" i="99"/>
  <c r="D217" i="99"/>
  <c r="G220" i="99"/>
  <c r="H220" i="99"/>
  <c r="I220" i="99"/>
  <c r="J220" i="99"/>
  <c r="K220" i="99"/>
  <c r="L220" i="99"/>
  <c r="R23" i="73"/>
  <c r="AK25" i="73"/>
  <c r="AK27" i="73"/>
  <c r="AD42" i="73"/>
  <c r="AE42" i="73"/>
  <c r="AF42" i="73"/>
  <c r="AC43" i="73"/>
  <c r="AC45" i="73"/>
  <c r="AD43" i="73"/>
  <c r="AE43" i="73"/>
  <c r="AF43" i="73"/>
  <c r="AD44" i="73"/>
  <c r="AE44" i="73"/>
  <c r="AF44" i="73"/>
  <c r="J14" i="50"/>
  <c r="J15" i="50"/>
  <c r="T47" i="32"/>
  <c r="BD3" i="32"/>
  <c r="BI3" i="32"/>
  <c r="AJ36" i="32" a="1"/>
  <c r="AJ36" i="32"/>
  <c r="BY193" i="99"/>
  <c r="BY157" i="99"/>
  <c r="BY13" i="99"/>
  <c r="BY49" i="99"/>
  <c r="R35" i="96"/>
  <c r="AM5" i="71"/>
  <c r="AP34" i="73"/>
  <c r="AL34" i="73" s="1"/>
  <c r="R32" i="96"/>
  <c r="AP32" i="73"/>
  <c r="AP26" i="73"/>
  <c r="AL26" i="73" s="1"/>
  <c r="AP24" i="73"/>
  <c r="AL24" i="73" s="1"/>
  <c r="AP30" i="73"/>
  <c r="AL30" i="73" s="1"/>
  <c r="AP28" i="73"/>
  <c r="AL28" i="73" s="1"/>
  <c r="AM39" i="73"/>
  <c r="AM37" i="73"/>
  <c r="O48" i="73"/>
  <c r="K48" i="73"/>
  <c r="AM34" i="73"/>
  <c r="AM32" i="73"/>
  <c r="AM30" i="73"/>
  <c r="AM28" i="73"/>
  <c r="AM26" i="73"/>
  <c r="AM24" i="73"/>
  <c r="G48" i="73"/>
  <c r="P30" i="32"/>
  <c r="B111" i="51"/>
  <c r="B23" i="100"/>
  <c r="C29" i="96"/>
  <c r="V8" i="21"/>
  <c r="S24" i="73"/>
  <c r="BC38" i="44"/>
  <c r="B11" i="100"/>
  <c r="B19" i="100"/>
  <c r="B100" i="51"/>
  <c r="B106" i="51"/>
  <c r="AA37" i="73"/>
  <c r="W35" i="80"/>
  <c r="U34" i="80"/>
  <c r="S13" i="32"/>
  <c r="AJ37" i="32"/>
  <c r="AJ38" i="32"/>
  <c r="AJ40" i="32"/>
  <c r="AJ39" i="32"/>
  <c r="AP3" i="51"/>
  <c r="AP2" i="51"/>
  <c r="DH6" i="51"/>
  <c r="B17" i="100"/>
  <c r="B6" i="71"/>
  <c r="R31" i="100"/>
  <c r="BW3" i="51"/>
  <c r="BW2" i="51"/>
  <c r="CI5" i="51"/>
  <c r="CT8" i="51"/>
  <c r="CR8" i="51"/>
  <c r="CS6" i="51"/>
  <c r="CQ6" i="51"/>
  <c r="CR10" i="51"/>
  <c r="CQ10" i="51"/>
  <c r="CT10" i="51"/>
  <c r="CR6" i="51"/>
  <c r="CS10" i="51"/>
  <c r="CT6" i="51"/>
  <c r="E103" i="51"/>
  <c r="C103" i="51"/>
  <c r="C97" i="51"/>
  <c r="C98" i="51"/>
  <c r="C118" i="51"/>
  <c r="C99" i="51"/>
  <c r="E108" i="51"/>
  <c r="F108" i="51"/>
  <c r="E101" i="51"/>
  <c r="B76" i="51"/>
  <c r="A76" i="51"/>
  <c r="C75" i="51"/>
  <c r="B77" i="51"/>
  <c r="B39" i="73"/>
  <c r="B27" i="32"/>
  <c r="B33" i="32"/>
  <c r="C27" i="96"/>
  <c r="B62" i="44"/>
  <c r="F5" i="32"/>
  <c r="FA4" i="50"/>
  <c r="FA2" i="50"/>
  <c r="F15" i="50"/>
  <c r="C21" i="96"/>
  <c r="X5" i="50"/>
  <c r="X56" i="32" s="1"/>
  <c r="B24" i="32"/>
  <c r="V7" i="96"/>
  <c r="F14" i="50"/>
  <c r="B5" i="32"/>
  <c r="B30" i="32"/>
  <c r="FA8" i="50"/>
  <c r="J5" i="32"/>
  <c r="EY3" i="50"/>
  <c r="AC8" i="32"/>
  <c r="C80" i="53"/>
  <c r="S7" i="32"/>
  <c r="M11" i="50"/>
  <c r="N11" i="50" s="1"/>
  <c r="AC24" i="32"/>
  <c r="N5" i="32"/>
  <c r="H61" i="32"/>
  <c r="AO31" i="32"/>
  <c r="EY4" i="50"/>
  <c r="FA9" i="50"/>
  <c r="AC7" i="52"/>
  <c r="EY5" i="50"/>
  <c r="H70" i="32"/>
  <c r="FA3" i="50"/>
  <c r="DN2" i="50"/>
  <c r="C84" i="53"/>
  <c r="M24" i="73"/>
  <c r="R5" i="32"/>
  <c r="V5" i="32"/>
  <c r="F17" i="50"/>
  <c r="F16" i="50"/>
  <c r="E42" i="73"/>
  <c r="E44" i="73"/>
  <c r="X54" i="32" a="1"/>
  <c r="I42" i="73"/>
  <c r="I43" i="73"/>
  <c r="T54" i="32" a="1"/>
  <c r="M42" i="73"/>
  <c r="M43" i="73"/>
  <c r="G7" i="32"/>
  <c r="AE41" i="32"/>
  <c r="C9" i="73"/>
  <c r="H67" i="32"/>
  <c r="AC3" i="52"/>
  <c r="L80" i="109"/>
  <c r="AH7" i="96"/>
  <c r="AE7" i="96"/>
  <c r="AF7" i="96"/>
  <c r="M5" i="99"/>
  <c r="L82" i="109"/>
  <c r="H82" i="109"/>
  <c r="L81" i="109"/>
  <c r="H81" i="109"/>
  <c r="H80" i="109"/>
  <c r="G80" i="109"/>
  <c r="G82" i="109"/>
  <c r="G81" i="109"/>
  <c r="E43" i="73"/>
  <c r="O43" i="73"/>
  <c r="AC26" i="73"/>
  <c r="AD45" i="73"/>
  <c r="O83" i="109"/>
  <c r="P77" i="109"/>
  <c r="S16" i="107"/>
  <c r="N16" i="107" s="1"/>
  <c r="AF45" i="73"/>
  <c r="P27" i="109"/>
  <c r="AE45" i="73"/>
  <c r="AK29" i="73"/>
  <c r="AC28" i="73"/>
  <c r="I26" i="109"/>
  <c r="P26" i="109"/>
  <c r="M44" i="73"/>
  <c r="I44" i="73"/>
  <c r="AG29" i="109"/>
  <c r="K29" i="109"/>
  <c r="AE29" i="109"/>
  <c r="S47" i="106"/>
  <c r="Q47" i="106" s="1"/>
  <c r="T43" i="106"/>
  <c r="P43" i="106" s="1"/>
  <c r="O5" i="99"/>
  <c r="A89" i="51"/>
  <c r="M80" i="109"/>
  <c r="AI7" i="96"/>
  <c r="AJ8" i="96"/>
  <c r="AJ10" i="96"/>
  <c r="M81" i="109"/>
  <c r="AK33" i="73"/>
  <c r="AC32" i="73"/>
  <c r="AL32" i="73"/>
  <c r="O26" i="109"/>
  <c r="M82" i="109"/>
  <c r="O27" i="109"/>
  <c r="AK35" i="73"/>
  <c r="AC34" i="73"/>
  <c r="N27" i="109"/>
  <c r="AK31" i="73"/>
  <c r="AC30" i="73"/>
  <c r="N26" i="109"/>
  <c r="M26" i="109"/>
  <c r="O44" i="73"/>
  <c r="AC24" i="73"/>
  <c r="P28" i="109"/>
  <c r="O28" i="109"/>
  <c r="AH29" i="109"/>
  <c r="N28" i="109"/>
  <c r="P47" i="106"/>
  <c r="O47" i="106"/>
  <c r="AC18" i="107"/>
  <c r="R26" i="109"/>
  <c r="AJ7" i="96"/>
  <c r="AJ11" i="96"/>
  <c r="M35" i="96"/>
  <c r="S26" i="109"/>
  <c r="N81" i="109"/>
  <c r="Z26" i="109"/>
  <c r="Z27" i="109"/>
  <c r="N80" i="109"/>
  <c r="N82" i="109"/>
  <c r="AD20" i="107"/>
  <c r="AC16" i="107"/>
  <c r="S27" i="109"/>
  <c r="R29" i="109"/>
  <c r="J29" i="109"/>
  <c r="S28" i="109"/>
  <c r="S29" i="109"/>
  <c r="W28" i="109"/>
  <c r="W37" i="73"/>
  <c r="AP37" i="73" s="1"/>
  <c r="X54" i="92" a="1"/>
  <c r="X54" i="93" a="1"/>
  <c r="X54" i="94" a="1"/>
  <c r="X54" i="95" a="1"/>
  <c r="T21" i="107" l="1"/>
  <c r="U21" i="107" s="1"/>
  <c r="N47" i="106"/>
  <c r="U47" i="106" s="1"/>
  <c r="V47" i="106" s="1"/>
  <c r="N46" i="106"/>
  <c r="U46" i="106" s="1"/>
  <c r="V46" i="106" s="1"/>
  <c r="S46" i="106"/>
  <c r="P46" i="106" s="1"/>
  <c r="T20" i="107"/>
  <c r="U20" i="107" s="1"/>
  <c r="O46" i="106"/>
  <c r="Q46" i="106"/>
  <c r="Q45" i="106"/>
  <c r="N45" i="106"/>
  <c r="U45" i="106" s="1"/>
  <c r="V45" i="106" s="1"/>
  <c r="N18" i="107"/>
  <c r="T18" i="107" s="1"/>
  <c r="U18" i="107" s="1"/>
  <c r="O18" i="107"/>
  <c r="T44" i="106"/>
  <c r="N43" i="106"/>
  <c r="U43" i="106" s="1"/>
  <c r="V43" i="106" s="1"/>
  <c r="O43" i="106"/>
  <c r="V14" i="107"/>
  <c r="V13" i="107" s="1"/>
  <c r="W13" i="107" s="1"/>
  <c r="Q43" i="106"/>
  <c r="O17" i="107"/>
  <c r="T17" i="107" s="1"/>
  <c r="U17" i="107" s="1"/>
  <c r="W40" i="106"/>
  <c r="W39" i="106" s="1"/>
  <c r="X39" i="106" s="1"/>
  <c r="C24" i="96"/>
  <c r="E107" i="51"/>
  <c r="F107" i="51"/>
  <c r="B12" i="32"/>
  <c r="B98" i="51"/>
  <c r="AD47" i="106"/>
  <c r="B21" i="32"/>
  <c r="E98" i="51"/>
  <c r="AD46" i="106"/>
  <c r="E105" i="51"/>
  <c r="F98" i="51"/>
  <c r="B105" i="51"/>
  <c r="B56" i="53"/>
  <c r="A55" i="63" s="1"/>
  <c r="F105" i="51"/>
  <c r="B63" i="53"/>
  <c r="A43" i="63" s="1"/>
  <c r="AA45" i="106"/>
  <c r="H71" i="32"/>
  <c r="C110" i="51"/>
  <c r="X4" i="50"/>
  <c r="X55" i="32" s="1"/>
  <c r="C101" i="51"/>
  <c r="B107" i="51"/>
  <c r="H23" i="32"/>
  <c r="V5" i="91"/>
  <c r="J5" i="92"/>
  <c r="V5" i="94"/>
  <c r="I24" i="73"/>
  <c r="N5" i="92"/>
  <c r="A2" i="91"/>
  <c r="BW5" i="51"/>
  <c r="B25" i="32"/>
  <c r="AD14" i="93"/>
  <c r="H61" i="92"/>
  <c r="H61" i="94"/>
  <c r="H61" i="93"/>
  <c r="C115" i="51"/>
  <c r="B103" i="51"/>
  <c r="A2" i="32"/>
  <c r="C28" i="96"/>
  <c r="I26" i="96" s="1"/>
  <c r="B5" i="93"/>
  <c r="E24" i="73"/>
  <c r="F5" i="93"/>
  <c r="B5" i="94"/>
  <c r="B5" i="95"/>
  <c r="B9" i="53"/>
  <c r="F5" i="91"/>
  <c r="B5" i="92"/>
  <c r="J5" i="93"/>
  <c r="F5" i="94"/>
  <c r="F5" i="95"/>
  <c r="BY4" i="61"/>
  <c r="S8" i="106"/>
  <c r="U8" i="106" s="1"/>
  <c r="F101" i="51"/>
  <c r="CN6" i="51"/>
  <c r="E109" i="51"/>
  <c r="C113" i="51"/>
  <c r="CJ9" i="51"/>
  <c r="C111" i="51"/>
  <c r="E8" i="32"/>
  <c r="F109" i="51"/>
  <c r="CJ10" i="51"/>
  <c r="B109" i="51"/>
  <c r="U92" i="73"/>
  <c r="C96" i="51"/>
  <c r="A126" i="51"/>
  <c r="BY32" i="63"/>
  <c r="E99" i="51"/>
  <c r="F99" i="51"/>
  <c r="B101" i="51"/>
  <c r="B35" i="73"/>
  <c r="B30" i="73"/>
  <c r="B99" i="51"/>
  <c r="B28" i="32"/>
  <c r="CP10" i="51"/>
  <c r="B187" i="53"/>
  <c r="C70" i="53"/>
  <c r="B645" i="53"/>
  <c r="B24" i="53"/>
  <c r="A54" i="61" s="1"/>
  <c r="C30" i="96"/>
  <c r="C106" i="51"/>
  <c r="CV6" i="51"/>
  <c r="DI9" i="51"/>
  <c r="B662" i="53"/>
  <c r="AB41" i="59" s="1"/>
  <c r="D69" i="53"/>
  <c r="B674" i="53"/>
  <c r="BZ34" i="57" s="1"/>
  <c r="B35" i="53"/>
  <c r="AE18" i="32"/>
  <c r="T42" i="106"/>
  <c r="S42" i="106"/>
  <c r="P42" i="106" s="1"/>
  <c r="O16" i="107"/>
  <c r="T16" i="107" s="1"/>
  <c r="U16" i="107" s="1"/>
  <c r="N19" i="107"/>
  <c r="O19" i="107"/>
  <c r="O45" i="106"/>
  <c r="P45" i="106"/>
  <c r="N42" i="106"/>
  <c r="O42" i="106"/>
  <c r="CK10" i="51"/>
  <c r="A111" i="51"/>
  <c r="CD16" i="50"/>
  <c r="AF30" i="32"/>
  <c r="CL6" i="51"/>
  <c r="CY10" i="51"/>
  <c r="CJ7" i="51"/>
  <c r="DH10" i="51"/>
  <c r="AF30" i="91"/>
  <c r="CD16" i="55"/>
  <c r="AB40" i="50"/>
  <c r="F97" i="51"/>
  <c r="CZ6" i="51"/>
  <c r="CO10" i="51"/>
  <c r="DI6" i="51"/>
  <c r="A106" i="51"/>
  <c r="E60" i="52"/>
  <c r="E13" i="80"/>
  <c r="B97" i="51"/>
  <c r="CV8" i="51"/>
  <c r="CU6" i="51"/>
  <c r="DI10" i="51"/>
  <c r="A104" i="51"/>
  <c r="B15" i="94"/>
  <c r="AB40" i="55"/>
  <c r="U103" i="73"/>
  <c r="DH8" i="51"/>
  <c r="DJ10" i="51"/>
  <c r="E111" i="51"/>
  <c r="CM10" i="51"/>
  <c r="CJ5" i="51"/>
  <c r="DJ8" i="51"/>
  <c r="C100" i="51"/>
  <c r="B15" i="32"/>
  <c r="CU10" i="51"/>
  <c r="F111" i="51"/>
  <c r="CN10" i="51"/>
  <c r="CP8" i="51"/>
  <c r="CO6" i="51"/>
  <c r="DJ6" i="51"/>
  <c r="C121" i="51"/>
  <c r="CJ6" i="51"/>
  <c r="CZ8" i="51"/>
  <c r="E104" i="51"/>
  <c r="FA6" i="50"/>
  <c r="B28" i="73"/>
  <c r="CY6" i="51"/>
  <c r="CV10" i="51"/>
  <c r="CL10" i="51"/>
  <c r="E17" i="80"/>
  <c r="A25" i="55"/>
  <c r="CP6" i="51"/>
  <c r="CN8" i="51"/>
  <c r="CZ10" i="51"/>
  <c r="B57" i="53"/>
  <c r="CK6" i="51"/>
  <c r="FA7" i="50"/>
  <c r="F104" i="51"/>
  <c r="CL8" i="51"/>
  <c r="CM6" i="51"/>
  <c r="CJ8" i="51"/>
  <c r="B25" i="92"/>
  <c r="B12" i="100"/>
  <c r="AL19" i="32"/>
  <c r="AE42" i="106"/>
  <c r="B108" i="51"/>
  <c r="E106" i="51"/>
  <c r="V50" i="52"/>
  <c r="D13" i="71"/>
  <c r="F106" i="51"/>
  <c r="FA3" i="63"/>
  <c r="E32" i="52"/>
  <c r="E16" i="52"/>
  <c r="C13" i="73"/>
  <c r="B13" i="32"/>
  <c r="B13" i="92"/>
  <c r="B60" i="53"/>
  <c r="C12" i="96"/>
  <c r="C102" i="51"/>
  <c r="A101" i="51"/>
  <c r="C116" i="51"/>
  <c r="AD14" i="92"/>
  <c r="B13" i="94"/>
  <c r="B68" i="53"/>
  <c r="Y26" i="109"/>
  <c r="B8" i="32"/>
  <c r="B75" i="51"/>
  <c r="AL19" i="92"/>
  <c r="V82" i="109"/>
  <c r="A75" i="51"/>
  <c r="DC8" i="51"/>
  <c r="Y28" i="109"/>
  <c r="EY2" i="50"/>
  <c r="CQ7" i="51"/>
  <c r="CS9" i="51"/>
  <c r="U108" i="73"/>
  <c r="B11" i="94"/>
  <c r="F46" i="52"/>
  <c r="BY33" i="50"/>
  <c r="V27" i="109"/>
  <c r="CD13" i="50"/>
  <c r="DL6" i="51"/>
  <c r="B25" i="93"/>
  <c r="EY3" i="57"/>
  <c r="E46" i="52"/>
  <c r="W27" i="109"/>
  <c r="CR5" i="51"/>
  <c r="DE9" i="51"/>
  <c r="B27" i="93"/>
  <c r="V43" i="52"/>
  <c r="Z28" i="109"/>
  <c r="Z39" i="109" s="1"/>
  <c r="W82" i="109"/>
  <c r="V80" i="109"/>
  <c r="Y27" i="109"/>
  <c r="DK6" i="51"/>
  <c r="F41" i="52"/>
  <c r="A5" i="55"/>
  <c r="W81" i="109"/>
  <c r="W26" i="109"/>
  <c r="W80" i="109"/>
  <c r="AL19" i="91"/>
  <c r="E36" i="52"/>
  <c r="V26" i="109"/>
  <c r="E21" i="80"/>
  <c r="DK10" i="51"/>
  <c r="E28" i="52"/>
  <c r="A5" i="59"/>
  <c r="V28" i="109"/>
  <c r="V16" i="96"/>
  <c r="W16" i="96" s="1"/>
  <c r="DD10" i="51"/>
  <c r="E8" i="91"/>
  <c r="B25" i="91"/>
  <c r="FA2" i="59"/>
  <c r="E23" i="52"/>
  <c r="AD44" i="106"/>
  <c r="AC44" i="106"/>
  <c r="AD19" i="107"/>
  <c r="AC19" i="107"/>
  <c r="AC17" i="107"/>
  <c r="AD42" i="106"/>
  <c r="AA43" i="106"/>
  <c r="AC20" i="107"/>
  <c r="AC45" i="106"/>
  <c r="AC21" i="107"/>
  <c r="AC47" i="106"/>
  <c r="AD21" i="107"/>
  <c r="AC43" i="106"/>
  <c r="AA46" i="106"/>
  <c r="AD43" i="106"/>
  <c r="AE43" i="106"/>
  <c r="AD16" i="107"/>
  <c r="AC42" i="106"/>
  <c r="AE44" i="106"/>
  <c r="AD18" i="107"/>
  <c r="AA42" i="106"/>
  <c r="AM14" i="32"/>
  <c r="CS7" i="51"/>
  <c r="CT7" i="51"/>
  <c r="DE8" i="51"/>
  <c r="AP2" i="94"/>
  <c r="H71" i="95"/>
  <c r="CD13" i="55"/>
  <c r="BY5" i="57"/>
  <c r="BY5" i="59"/>
  <c r="X58" i="52"/>
  <c r="X22" i="52"/>
  <c r="CD11" i="57"/>
  <c r="B26" i="73"/>
  <c r="AC8" i="52"/>
  <c r="DK5" i="51"/>
  <c r="DD6" i="51"/>
  <c r="DK8" i="51"/>
  <c r="H23" i="91"/>
  <c r="B32" i="92"/>
  <c r="FA5" i="59"/>
  <c r="V58" i="52"/>
  <c r="E41" i="52"/>
  <c r="CD11" i="59"/>
  <c r="AR19" i="32"/>
  <c r="AT2" i="44"/>
  <c r="AF25" i="32"/>
  <c r="X3" i="50"/>
  <c r="X54" i="32" s="1"/>
  <c r="K61" i="32"/>
  <c r="CQ5" i="51"/>
  <c r="DF7" i="51"/>
  <c r="DF9" i="51"/>
  <c r="BW4" i="51"/>
  <c r="AF9" i="91"/>
  <c r="AB30" i="63"/>
  <c r="X53" i="52"/>
  <c r="X40" i="52"/>
  <c r="AP2" i="32"/>
  <c r="CT5" i="51"/>
  <c r="DD8" i="51"/>
  <c r="DL9" i="51"/>
  <c r="AJ2" i="73"/>
  <c r="BY5" i="50"/>
  <c r="B12" i="91"/>
  <c r="FA2" i="55"/>
  <c r="AB30" i="61"/>
  <c r="AB32" i="63"/>
  <c r="X3" i="57"/>
  <c r="X54" i="92" s="1"/>
  <c r="V53" i="52"/>
  <c r="E40" i="52"/>
  <c r="E6" i="52"/>
  <c r="B11" i="32"/>
  <c r="FA5" i="50"/>
  <c r="Q2" i="80"/>
  <c r="AD14" i="32"/>
  <c r="AF9" i="32"/>
  <c r="CT9" i="51"/>
  <c r="DL7" i="51"/>
  <c r="DL10" i="51"/>
  <c r="DC9" i="51"/>
  <c r="H67" i="94"/>
  <c r="X3" i="55"/>
  <c r="X54" i="91" s="1"/>
  <c r="AB32" i="61"/>
  <c r="FA5" i="63"/>
  <c r="X52" i="52"/>
  <c r="V39" i="52"/>
  <c r="X4" i="52"/>
  <c r="AO2" i="51"/>
  <c r="CA33" i="61"/>
  <c r="A21" i="63"/>
  <c r="AC2" i="21"/>
  <c r="DD7" i="51"/>
  <c r="CR7" i="51"/>
  <c r="DF10" i="51"/>
  <c r="DC7" i="51"/>
  <c r="AM14" i="93"/>
  <c r="AB30" i="59"/>
  <c r="X66" i="52"/>
  <c r="X48" i="52"/>
  <c r="Q2" i="100"/>
  <c r="CS5" i="51"/>
  <c r="CR9" i="51"/>
  <c r="DD9" i="51"/>
  <c r="DE7" i="51"/>
  <c r="AP2" i="93"/>
  <c r="AF9" i="94"/>
  <c r="B25" i="94"/>
  <c r="AB32" i="59"/>
  <c r="FA2" i="63"/>
  <c r="P66" i="52"/>
  <c r="F48" i="52"/>
  <c r="V31" i="52"/>
  <c r="CD11" i="61"/>
  <c r="BY5" i="63"/>
  <c r="Q2" i="96"/>
  <c r="AL2" i="71"/>
  <c r="AB32" i="50"/>
  <c r="DC5" i="51"/>
  <c r="DC6" i="51"/>
  <c r="DK7" i="51"/>
  <c r="DK9" i="51"/>
  <c r="BY5" i="55"/>
  <c r="X62" i="52"/>
  <c r="X30" i="52"/>
  <c r="BY5" i="61"/>
  <c r="C22" i="96"/>
  <c r="B92" i="21"/>
  <c r="E15" i="80"/>
  <c r="AB30" i="50"/>
  <c r="DE5" i="51"/>
  <c r="DE6" i="51"/>
  <c r="B93" i="53"/>
  <c r="V23" i="96" s="1"/>
  <c r="CQ8" i="51"/>
  <c r="DC10" i="51"/>
  <c r="AF25" i="92"/>
  <c r="FA5" i="55"/>
  <c r="AB30" i="55"/>
  <c r="AB30" i="57"/>
  <c r="X61" i="52"/>
  <c r="BY33" i="59"/>
  <c r="B560" i="53"/>
  <c r="BY13" i="59" s="1"/>
  <c r="C10" i="96"/>
  <c r="CD11" i="50"/>
  <c r="DL8" i="51"/>
  <c r="DF6" i="51"/>
  <c r="DF8" i="51"/>
  <c r="CS8" i="51"/>
  <c r="DE10" i="51"/>
  <c r="CD11" i="55"/>
  <c r="AB32" i="55"/>
  <c r="FA5" i="61"/>
  <c r="CD13" i="57"/>
  <c r="X60" i="52"/>
  <c r="X44" i="52"/>
  <c r="X23" i="52"/>
  <c r="A21" i="50"/>
  <c r="B28" i="94"/>
  <c r="BZ33" i="63"/>
  <c r="X5" i="63"/>
  <c r="X56" i="95" s="1"/>
  <c r="B11" i="91"/>
  <c r="F52" i="52"/>
  <c r="F30" i="52"/>
  <c r="F22" i="52"/>
  <c r="AD45" i="106"/>
  <c r="B24" i="91"/>
  <c r="R5" i="92"/>
  <c r="N5" i="93"/>
  <c r="N5" i="94"/>
  <c r="J5" i="95"/>
  <c r="AB32" i="57"/>
  <c r="CD16" i="59"/>
  <c r="E66" i="52"/>
  <c r="X59" i="52"/>
  <c r="C52" i="52"/>
  <c r="D52" i="52" s="1"/>
  <c r="C46" i="52"/>
  <c r="G46" i="52" s="1"/>
  <c r="E30" i="52"/>
  <c r="C22" i="52"/>
  <c r="D22" i="52" s="1"/>
  <c r="A43" i="50"/>
  <c r="AE47" i="106"/>
  <c r="AA44" i="106"/>
  <c r="V5" i="92"/>
  <c r="R5" i="93"/>
  <c r="R5" i="94"/>
  <c r="N5" i="95"/>
  <c r="C82" i="53"/>
  <c r="FA2" i="61"/>
  <c r="FA6" i="63"/>
  <c r="A2" i="92"/>
  <c r="X5" i="57"/>
  <c r="X56" i="92" s="1"/>
  <c r="CD13" i="59"/>
  <c r="X65" i="52"/>
  <c r="C59" i="52"/>
  <c r="X51" i="52"/>
  <c r="E45" i="52"/>
  <c r="P38" i="52"/>
  <c r="X29" i="52"/>
  <c r="E21" i="52"/>
  <c r="CD16" i="61"/>
  <c r="A41" i="59"/>
  <c r="E8" i="92"/>
  <c r="F65" i="52"/>
  <c r="F51" i="52"/>
  <c r="F38" i="52"/>
  <c r="F20" i="52"/>
  <c r="B5" i="91"/>
  <c r="AM14" i="91"/>
  <c r="K61" i="91"/>
  <c r="AF9" i="92"/>
  <c r="B24" i="92"/>
  <c r="E8" i="93"/>
  <c r="S7" i="94"/>
  <c r="V5" i="95"/>
  <c r="AD14" i="95"/>
  <c r="EY5" i="61"/>
  <c r="AB40" i="57"/>
  <c r="X64" i="52"/>
  <c r="E51" i="52"/>
  <c r="X37" i="52"/>
  <c r="E27" i="52"/>
  <c r="E20" i="52"/>
  <c r="CD11" i="63"/>
  <c r="CM9" i="51"/>
  <c r="B24" i="93"/>
  <c r="AL19" i="94"/>
  <c r="EY5" i="57"/>
  <c r="A2" i="93"/>
  <c r="E64" i="52"/>
  <c r="X57" i="52"/>
  <c r="F43" i="52"/>
  <c r="X36" i="52"/>
  <c r="C26" i="52"/>
  <c r="X18" i="52"/>
  <c r="BY32" i="50"/>
  <c r="BY32" i="59"/>
  <c r="AE45" i="106"/>
  <c r="CO9" i="51"/>
  <c r="J5" i="91"/>
  <c r="B27" i="91"/>
  <c r="H71" i="91"/>
  <c r="H71" i="92"/>
  <c r="AF9" i="93"/>
  <c r="H71" i="93"/>
  <c r="B24" i="94"/>
  <c r="X5" i="55"/>
  <c r="X56" i="91" s="1"/>
  <c r="FA6" i="57"/>
  <c r="FA6" i="59"/>
  <c r="FA6" i="61"/>
  <c r="C64" i="52"/>
  <c r="D64" i="52" s="1"/>
  <c r="X56" i="52"/>
  <c r="E50" i="52"/>
  <c r="X42" i="52"/>
  <c r="V36" i="52"/>
  <c r="N25" i="52"/>
  <c r="E17" i="52"/>
  <c r="BY3" i="61"/>
  <c r="AO5" i="51"/>
  <c r="CA33" i="55"/>
  <c r="AC46" i="106"/>
  <c r="AA47" i="106"/>
  <c r="AE46" i="106"/>
  <c r="B28" i="91"/>
  <c r="H71" i="94"/>
  <c r="FA8" i="57"/>
  <c r="X63" i="52"/>
  <c r="X55" i="52"/>
  <c r="C50" i="52"/>
  <c r="D50" i="52" s="1"/>
  <c r="E42" i="52"/>
  <c r="F25" i="52"/>
  <c r="X5" i="61"/>
  <c r="X56" i="94" s="1"/>
  <c r="CA33" i="57"/>
  <c r="R5" i="91"/>
  <c r="AM14" i="92"/>
  <c r="B28" i="92"/>
  <c r="AF25" i="93"/>
  <c r="E8" i="95"/>
  <c r="K61" i="95"/>
  <c r="EY5" i="55"/>
  <c r="CD16" i="57"/>
  <c r="E63" i="52"/>
  <c r="X54" i="52"/>
  <c r="X49" i="52"/>
  <c r="X41" i="52"/>
  <c r="F34" i="52"/>
  <c r="X24" i="52"/>
  <c r="E14" i="52"/>
  <c r="AB40" i="61"/>
  <c r="BY3" i="63"/>
  <c r="B39" i="53"/>
  <c r="W34" i="80"/>
  <c r="M7" i="99"/>
  <c r="T2" i="52"/>
  <c r="T7" i="52"/>
  <c r="T35" i="52"/>
  <c r="T38" i="52"/>
  <c r="T42" i="52"/>
  <c r="T53" i="52"/>
  <c r="T60" i="52"/>
  <c r="T66" i="52"/>
  <c r="T8" i="52"/>
  <c r="T16" i="52"/>
  <c r="T25" i="52"/>
  <c r="T30" i="52"/>
  <c r="T50" i="52"/>
  <c r="T64" i="52"/>
  <c r="T9" i="52"/>
  <c r="T36" i="52"/>
  <c r="T39" i="52"/>
  <c r="T46" i="52"/>
  <c r="T57" i="52"/>
  <c r="T10" i="52"/>
  <c r="T17" i="52"/>
  <c r="T22" i="52"/>
  <c r="T26" i="52"/>
  <c r="T31" i="52"/>
  <c r="T43" i="52"/>
  <c r="T47" i="52"/>
  <c r="T54" i="52"/>
  <c r="T61" i="52"/>
  <c r="H69" i="94"/>
  <c r="H69" i="92"/>
  <c r="T11" i="52"/>
  <c r="T27" i="52"/>
  <c r="T40" i="52"/>
  <c r="T51" i="52"/>
  <c r="T58" i="52"/>
  <c r="H69" i="91"/>
  <c r="T19" i="52"/>
  <c r="T23" i="52"/>
  <c r="T62" i="52"/>
  <c r="T65" i="52"/>
  <c r="T3" i="52"/>
  <c r="T12" i="52"/>
  <c r="T28" i="52"/>
  <c r="T32" i="52"/>
  <c r="T37" i="52"/>
  <c r="T44" i="52"/>
  <c r="T48" i="52"/>
  <c r="T55" i="52"/>
  <c r="H69" i="95"/>
  <c r="T4" i="52"/>
  <c r="T13" i="52"/>
  <c r="T33" i="52"/>
  <c r="AC5" i="52"/>
  <c r="T24" i="52"/>
  <c r="T29" i="52"/>
  <c r="T41" i="52"/>
  <c r="T49" i="52"/>
  <c r="T59" i="52"/>
  <c r="T63" i="52"/>
  <c r="T14" i="52"/>
  <c r="T20" i="52"/>
  <c r="T45" i="52"/>
  <c r="T52" i="52"/>
  <c r="T56" i="52"/>
  <c r="H69" i="93"/>
  <c r="H69" i="32"/>
  <c r="T6" i="52"/>
  <c r="T15" i="52"/>
  <c r="T34" i="52"/>
  <c r="B32" i="94"/>
  <c r="Q28" i="97"/>
  <c r="A125" i="51"/>
  <c r="BY6" i="50"/>
  <c r="AU23" i="32" s="1"/>
  <c r="CK9" i="51"/>
  <c r="B8" i="91"/>
  <c r="B12" i="92"/>
  <c r="H23" i="92"/>
  <c r="B33" i="92"/>
  <c r="B26" i="93"/>
  <c r="B11" i="93"/>
  <c r="B27" i="95"/>
  <c r="B33" i="95"/>
  <c r="EY3" i="55"/>
  <c r="EY4" i="57"/>
  <c r="N66" i="52"/>
  <c r="BY6" i="61"/>
  <c r="BY13" i="63"/>
  <c r="BY4" i="63"/>
  <c r="AB40" i="63"/>
  <c r="A25" i="50"/>
  <c r="BZ34" i="63"/>
  <c r="A21" i="55"/>
  <c r="A25" i="57"/>
  <c r="A5" i="61"/>
  <c r="A54" i="63"/>
  <c r="B34" i="53"/>
  <c r="B19" i="53"/>
  <c r="U76" i="73" s="1"/>
  <c r="B11" i="53"/>
  <c r="B676" i="53"/>
  <c r="A41" i="61"/>
  <c r="C120" i="51"/>
  <c r="A105" i="51"/>
  <c r="U79" i="73"/>
  <c r="EY3" i="59"/>
  <c r="BY6" i="59"/>
  <c r="E56" i="52"/>
  <c r="E38" i="52"/>
  <c r="C34" i="52"/>
  <c r="D34" i="52" s="1"/>
  <c r="A41" i="63"/>
  <c r="AR19" i="95"/>
  <c r="EY4" i="55"/>
  <c r="AB41" i="55"/>
  <c r="EY4" i="59"/>
  <c r="FA4" i="61"/>
  <c r="EY2" i="63"/>
  <c r="C66" i="52"/>
  <c r="D66" i="52" s="1"/>
  <c r="E52" i="52"/>
  <c r="E29" i="52"/>
  <c r="E24" i="52"/>
  <c r="CA35" i="59"/>
  <c r="B114" i="53"/>
  <c r="A135" i="51" s="1"/>
  <c r="C32" i="96"/>
  <c r="FA4" i="55"/>
  <c r="BY6" i="57"/>
  <c r="AU25" i="92" s="1"/>
  <c r="C20" i="52"/>
  <c r="CA34" i="57"/>
  <c r="BY33" i="55"/>
  <c r="A45" i="59"/>
  <c r="B31" i="53"/>
  <c r="A61" i="63" s="1"/>
  <c r="B65" i="53"/>
  <c r="B30" i="53"/>
  <c r="B59" i="53"/>
  <c r="B6" i="53"/>
  <c r="A3" i="55" s="1"/>
  <c r="C114" i="53"/>
  <c r="A118" i="51"/>
  <c r="B32" i="91"/>
  <c r="E55" i="52"/>
  <c r="E44" i="52"/>
  <c r="N37" i="52"/>
  <c r="AB40" i="59"/>
  <c r="A45" i="50"/>
  <c r="BZ34" i="59"/>
  <c r="BY32" i="55"/>
  <c r="A45" i="55"/>
  <c r="B62" i="53"/>
  <c r="B53" i="53"/>
  <c r="B18" i="53"/>
  <c r="B75" i="53"/>
  <c r="B26" i="32"/>
  <c r="CY9" i="51"/>
  <c r="U62" i="73"/>
  <c r="B26" i="92"/>
  <c r="B8" i="93"/>
  <c r="B32" i="93"/>
  <c r="B26" i="94"/>
  <c r="B15" i="95"/>
  <c r="FA7" i="63"/>
  <c r="N65" i="52"/>
  <c r="E48" i="52"/>
  <c r="E37" i="52"/>
  <c r="X3" i="61"/>
  <c r="X54" i="94" s="1"/>
  <c r="CD17" i="63"/>
  <c r="BY35" i="57"/>
  <c r="A8" i="55"/>
  <c r="A8" i="59"/>
  <c r="B48" i="53"/>
  <c r="B41" i="53"/>
  <c r="B52" i="53"/>
  <c r="A32" i="57" s="1"/>
  <c r="B13" i="53"/>
  <c r="U70" i="73" s="1"/>
  <c r="A132" i="51"/>
  <c r="B27" i="92"/>
  <c r="B33" i="93"/>
  <c r="M10" i="55"/>
  <c r="N10" i="55" s="1"/>
  <c r="FA8" i="61"/>
  <c r="E58" i="52"/>
  <c r="F18" i="52"/>
  <c r="F11" i="52"/>
  <c r="AB41" i="61"/>
  <c r="A59" i="50"/>
  <c r="A8" i="50"/>
  <c r="CA32" i="63"/>
  <c r="BY34" i="57"/>
  <c r="A59" i="55"/>
  <c r="A45" i="57"/>
  <c r="A8" i="57"/>
  <c r="A25" i="61"/>
  <c r="A59" i="63"/>
  <c r="B40" i="53"/>
  <c r="A50" i="57" s="1"/>
  <c r="B29" i="53"/>
  <c r="B64" i="53"/>
  <c r="A15" i="57" s="1"/>
  <c r="B74" i="53"/>
  <c r="E110" i="51"/>
  <c r="U104" i="73"/>
  <c r="C65" i="52"/>
  <c r="D65" i="52" s="1"/>
  <c r="N61" i="52"/>
  <c r="E54" i="52"/>
  <c r="E47" i="52"/>
  <c r="N31" i="52"/>
  <c r="F110" i="51"/>
  <c r="B15" i="100"/>
  <c r="B96" i="51"/>
  <c r="BY6" i="55"/>
  <c r="AU25" i="91" s="1"/>
  <c r="BY13" i="57"/>
  <c r="E61" i="52"/>
  <c r="E43" i="52"/>
  <c r="B46" i="53"/>
  <c r="B38" i="53"/>
  <c r="A48" i="63" s="1"/>
  <c r="B23" i="53"/>
  <c r="B16" i="53"/>
  <c r="B67" i="53"/>
  <c r="A37" i="61" s="1"/>
  <c r="A41" i="50"/>
  <c r="W83" i="109"/>
  <c r="B32" i="32"/>
  <c r="E96" i="51"/>
  <c r="B26" i="91"/>
  <c r="B8" i="92"/>
  <c r="B12" i="93"/>
  <c r="FA8" i="55"/>
  <c r="EY2" i="57"/>
  <c r="AB41" i="57"/>
  <c r="K54" i="92" s="1" a="1"/>
  <c r="CD17" i="59"/>
  <c r="AV19" i="93" s="1"/>
  <c r="N57" i="52"/>
  <c r="E39" i="52"/>
  <c r="E22" i="52"/>
  <c r="CD17" i="61"/>
  <c r="AO4" i="51"/>
  <c r="BY35" i="50"/>
  <c r="BY33" i="61"/>
  <c r="A59" i="59"/>
  <c r="A62" i="61"/>
  <c r="B44" i="53"/>
  <c r="A57" i="61" s="1"/>
  <c r="B36" i="53"/>
  <c r="U96" i="73" s="1"/>
  <c r="B10" i="53"/>
  <c r="B66" i="53"/>
  <c r="A36" i="63" s="1"/>
  <c r="A41" i="55"/>
  <c r="F96" i="51"/>
  <c r="CD17" i="55"/>
  <c r="B18" i="91" s="1"/>
  <c r="C57" i="52"/>
  <c r="D57" i="52" s="1"/>
  <c r="BY6" i="63"/>
  <c r="AB41" i="63"/>
  <c r="K54" i="95" s="1" a="1"/>
  <c r="AO3" i="51"/>
  <c r="A55" i="50"/>
  <c r="BY34" i="50"/>
  <c r="CA34" i="63"/>
  <c r="BY32" i="61"/>
  <c r="A55" i="55"/>
  <c r="A59" i="57"/>
  <c r="A25" i="59"/>
  <c r="A8" i="61"/>
  <c r="B43" i="53"/>
  <c r="B37" i="53"/>
  <c r="A46" i="63" s="1"/>
  <c r="B22" i="53"/>
  <c r="B15" i="53"/>
  <c r="B562" i="53"/>
  <c r="A38" i="97"/>
  <c r="AV16" i="32"/>
  <c r="AW16" i="32" s="1"/>
  <c r="AT15" i="32" s="1"/>
  <c r="D81" i="53"/>
  <c r="A50" i="55"/>
  <c r="R27" i="52"/>
  <c r="R37" i="52"/>
  <c r="H68" i="32"/>
  <c r="R2" i="52"/>
  <c r="R20" i="52"/>
  <c r="R28" i="52"/>
  <c r="R49" i="52"/>
  <c r="R56" i="52"/>
  <c r="R60" i="52"/>
  <c r="R65" i="52"/>
  <c r="R39" i="52"/>
  <c r="H68" i="92"/>
  <c r="R16" i="52"/>
  <c r="R34" i="52"/>
  <c r="R64" i="52"/>
  <c r="H68" i="95"/>
  <c r="R55" i="52"/>
  <c r="R59" i="52"/>
  <c r="R50" i="52"/>
  <c r="R41" i="52"/>
  <c r="R46" i="52"/>
  <c r="R48" i="52"/>
  <c r="R51" i="52"/>
  <c r="R66" i="52"/>
  <c r="R63" i="52"/>
  <c r="AC4" i="52"/>
  <c r="R33" i="52"/>
  <c r="R45" i="52"/>
  <c r="R21" i="52"/>
  <c r="R58" i="52"/>
  <c r="H68" i="94"/>
  <c r="R53" i="52"/>
  <c r="R15" i="52"/>
  <c r="R38" i="52"/>
  <c r="R62" i="52"/>
  <c r="R57" i="52"/>
  <c r="R61" i="52"/>
  <c r="H68" i="93"/>
  <c r="H68" i="91"/>
  <c r="L2" i="52"/>
  <c r="L18" i="52"/>
  <c r="L20" i="52"/>
  <c r="L22" i="52"/>
  <c r="L42" i="52"/>
  <c r="L52" i="52"/>
  <c r="L14" i="52"/>
  <c r="L36" i="52"/>
  <c r="L39" i="52"/>
  <c r="L44" i="52"/>
  <c r="L64" i="52"/>
  <c r="H65" i="93"/>
  <c r="H65" i="91"/>
  <c r="L9" i="52"/>
  <c r="L16" i="52"/>
  <c r="L24" i="52"/>
  <c r="L26" i="52"/>
  <c r="L30" i="52"/>
  <c r="L34" i="52"/>
  <c r="L55" i="52"/>
  <c r="L59" i="52"/>
  <c r="L60" i="52"/>
  <c r="L12" i="52"/>
  <c r="L32" i="52"/>
  <c r="L46" i="52"/>
  <c r="L48" i="52"/>
  <c r="L51" i="52"/>
  <c r="L56" i="52"/>
  <c r="L41" i="52"/>
  <c r="L54" i="52"/>
  <c r="L63" i="52"/>
  <c r="L58" i="52"/>
  <c r="H65" i="95"/>
  <c r="H65" i="92"/>
  <c r="H65" i="32"/>
  <c r="L3" i="52"/>
  <c r="L7" i="52"/>
  <c r="L10" i="52"/>
  <c r="L19" i="52"/>
  <c r="L21" i="52"/>
  <c r="L23" i="52"/>
  <c r="L29" i="52"/>
  <c r="L38" i="52"/>
  <c r="L43" i="52"/>
  <c r="L62" i="52"/>
  <c r="AC1" i="52"/>
  <c r="L47" i="52"/>
  <c r="L15" i="52"/>
  <c r="L35" i="52"/>
  <c r="L50" i="52"/>
  <c r="L53" i="52"/>
  <c r="L4" i="52"/>
  <c r="L13" i="52"/>
  <c r="L25" i="52"/>
  <c r="L27" i="52"/>
  <c r="L31" i="52"/>
  <c r="L33" i="52"/>
  <c r="L40" i="52"/>
  <c r="L45" i="52"/>
  <c r="L57" i="52"/>
  <c r="L61" i="52"/>
  <c r="L66" i="52"/>
  <c r="L17" i="52"/>
  <c r="L8" i="52"/>
  <c r="L11" i="52"/>
  <c r="L37" i="52"/>
  <c r="L65" i="52"/>
  <c r="H65" i="94"/>
  <c r="L5" i="52"/>
  <c r="L49" i="52"/>
  <c r="AL37" i="73"/>
  <c r="D26" i="52"/>
  <c r="B48" i="73"/>
  <c r="S24" i="91"/>
  <c r="S7" i="92"/>
  <c r="AC24" i="95"/>
  <c r="D29" i="95"/>
  <c r="V62" i="52"/>
  <c r="F60" i="52"/>
  <c r="F56" i="52"/>
  <c r="C55" i="52"/>
  <c r="F49" i="52"/>
  <c r="N47" i="52"/>
  <c r="C44" i="52"/>
  <c r="D44" i="52" s="1"/>
  <c r="F42" i="52"/>
  <c r="V40" i="52"/>
  <c r="C39" i="52"/>
  <c r="V35" i="52"/>
  <c r="C30" i="52"/>
  <c r="C28" i="52"/>
  <c r="C24" i="52"/>
  <c r="C16" i="52"/>
  <c r="C14" i="52"/>
  <c r="C3" i="52"/>
  <c r="D3" i="52" s="1"/>
  <c r="DN2" i="63"/>
  <c r="EN3" i="63"/>
  <c r="T54" i="95" s="1"/>
  <c r="CA32" i="59"/>
  <c r="A28" i="61"/>
  <c r="A27" i="63"/>
  <c r="A15" i="63"/>
  <c r="S24" i="32"/>
  <c r="B9" i="71"/>
  <c r="H70" i="91"/>
  <c r="AL19" i="93"/>
  <c r="AF30" i="93"/>
  <c r="H70" i="93"/>
  <c r="B21" i="92"/>
  <c r="E65" i="52"/>
  <c r="G65" i="52" s="1"/>
  <c r="V63" i="52"/>
  <c r="C60" i="52"/>
  <c r="C56" i="52"/>
  <c r="D56" i="52" s="1"/>
  <c r="V54" i="52"/>
  <c r="N53" i="52"/>
  <c r="P50" i="52"/>
  <c r="F47" i="52"/>
  <c r="C42" i="52"/>
  <c r="F37" i="52"/>
  <c r="N35" i="52"/>
  <c r="V29" i="52"/>
  <c r="V23" i="52"/>
  <c r="T21" i="52"/>
  <c r="C11" i="52"/>
  <c r="D11" i="52" s="1"/>
  <c r="C8" i="52"/>
  <c r="D8" i="52" s="1"/>
  <c r="E2" i="52"/>
  <c r="A2" i="95"/>
  <c r="D148" i="71" s="1"/>
  <c r="EN3" i="50"/>
  <c r="T54" i="32" s="1"/>
  <c r="CA34" i="59"/>
  <c r="A54" i="57"/>
  <c r="A15" i="55"/>
  <c r="C8" i="96"/>
  <c r="U81" i="73"/>
  <c r="B33" i="91"/>
  <c r="AC8" i="92"/>
  <c r="AC8" i="94"/>
  <c r="DN2" i="59"/>
  <c r="F66" i="52"/>
  <c r="G66" i="52" s="1"/>
  <c r="N62" i="52"/>
  <c r="F61" i="52"/>
  <c r="F57" i="52"/>
  <c r="V51" i="52"/>
  <c r="V48" i="52"/>
  <c r="F45" i="52"/>
  <c r="N43" i="52"/>
  <c r="F40" i="52"/>
  <c r="F33" i="52"/>
  <c r="F31" i="52"/>
  <c r="F17" i="52"/>
  <c r="F13" i="52"/>
  <c r="B21" i="94"/>
  <c r="EN4" i="55"/>
  <c r="T55" i="91" s="1"/>
  <c r="CA34" i="50"/>
  <c r="CA32" i="61"/>
  <c r="A27" i="57"/>
  <c r="E49" i="52"/>
  <c r="A81" i="51"/>
  <c r="S7" i="91"/>
  <c r="S24" i="93"/>
  <c r="AF25" i="95"/>
  <c r="X4" i="55"/>
  <c r="X55" i="91" s="1"/>
  <c r="FA3" i="57"/>
  <c r="EY3" i="63"/>
  <c r="V59" i="52"/>
  <c r="N58" i="52"/>
  <c r="E57" i="52"/>
  <c r="V55" i="52"/>
  <c r="P54" i="52"/>
  <c r="F50" i="52"/>
  <c r="G50" i="52" s="1"/>
  <c r="C37" i="52"/>
  <c r="F35" i="52"/>
  <c r="E33" i="52"/>
  <c r="E31" i="52"/>
  <c r="F27" i="52"/>
  <c r="E25" i="52"/>
  <c r="F15" i="52"/>
  <c r="E13" i="52"/>
  <c r="F5" i="52"/>
  <c r="C2" i="52"/>
  <c r="D2" i="52" s="1"/>
  <c r="EN3" i="55"/>
  <c r="T54" i="91" s="1"/>
  <c r="CA32" i="50"/>
  <c r="A62" i="59"/>
  <c r="E8" i="52"/>
  <c r="V83" i="109"/>
  <c r="B34" i="80"/>
  <c r="A97" i="51"/>
  <c r="B30" i="92"/>
  <c r="AC24" i="93"/>
  <c r="H70" i="94"/>
  <c r="S7" i="95"/>
  <c r="AF30" i="95"/>
  <c r="B21" i="91"/>
  <c r="EY2" i="59"/>
  <c r="V64" i="52"/>
  <c r="N63" i="52"/>
  <c r="C61" i="52"/>
  <c r="N54" i="52"/>
  <c r="F53" i="52"/>
  <c r="C45" i="52"/>
  <c r="D45" i="52" s="1"/>
  <c r="C40" i="52"/>
  <c r="D40" i="52" s="1"/>
  <c r="E35" i="52"/>
  <c r="C31" i="52"/>
  <c r="D31" i="52" s="1"/>
  <c r="F29" i="52"/>
  <c r="C25" i="52"/>
  <c r="D25" i="52" s="1"/>
  <c r="F23" i="52"/>
  <c r="F21" i="52"/>
  <c r="F19" i="52"/>
  <c r="C17" i="52"/>
  <c r="E15" i="52"/>
  <c r="C13" i="52"/>
  <c r="F10" i="52"/>
  <c r="F7" i="52"/>
  <c r="B21" i="95"/>
  <c r="X4" i="63"/>
  <c r="X55" i="95" s="1"/>
  <c r="EN4" i="57"/>
  <c r="T55" i="92" s="1"/>
  <c r="A54" i="50"/>
  <c r="CA32" i="55"/>
  <c r="CA34" i="61"/>
  <c r="A54" i="55"/>
  <c r="A15" i="61"/>
  <c r="H66" i="92"/>
  <c r="H66" i="95"/>
  <c r="F62" i="52"/>
  <c r="F58" i="52"/>
  <c r="E53" i="52"/>
  <c r="N51" i="52"/>
  <c r="N48" i="52"/>
  <c r="N46" i="52"/>
  <c r="N32" i="52"/>
  <c r="C27" i="52"/>
  <c r="E19" i="52"/>
  <c r="C15" i="52"/>
  <c r="D15" i="52" s="1"/>
  <c r="E10" i="52"/>
  <c r="C7" i="52"/>
  <c r="C5" i="52"/>
  <c r="D5" i="52" s="1"/>
  <c r="EN3" i="57"/>
  <c r="T54" i="92" s="1"/>
  <c r="B8" i="100"/>
  <c r="B32" i="73"/>
  <c r="V79" i="109"/>
  <c r="H66" i="32"/>
  <c r="U69" i="73"/>
  <c r="AC8" i="91"/>
  <c r="B8" i="95"/>
  <c r="AM14" i="95"/>
  <c r="AO31" i="95"/>
  <c r="V65" i="52"/>
  <c r="E62" i="52"/>
  <c r="V60" i="52"/>
  <c r="N59" i="52"/>
  <c r="V56" i="52"/>
  <c r="N55" i="52"/>
  <c r="F54" i="52"/>
  <c r="C53" i="52"/>
  <c r="C43" i="52"/>
  <c r="D43" i="52" s="1"/>
  <c r="C38" i="52"/>
  <c r="C29" i="52"/>
  <c r="D29" i="52" s="1"/>
  <c r="C23" i="52"/>
  <c r="D23" i="52" s="1"/>
  <c r="C21" i="52"/>
  <c r="D21" i="52" s="1"/>
  <c r="AU25" i="94"/>
  <c r="EN4" i="59"/>
  <c r="T55" i="93" s="1"/>
  <c r="CA34" i="55"/>
  <c r="A27" i="55"/>
  <c r="A50" i="61"/>
  <c r="A33" i="63"/>
  <c r="D46" i="52"/>
  <c r="AB5" i="71"/>
  <c r="B30" i="91"/>
  <c r="S24" i="94"/>
  <c r="EY2" i="61"/>
  <c r="DN2" i="57"/>
  <c r="N64" i="52"/>
  <c r="F63" i="52"/>
  <c r="C62" i="52"/>
  <c r="C58" i="52"/>
  <c r="D58" i="52" s="1"/>
  <c r="N44" i="52"/>
  <c r="N36" i="52"/>
  <c r="F32" i="52"/>
  <c r="G32" i="52" s="1"/>
  <c r="T18" i="52"/>
  <c r="N14" i="52"/>
  <c r="E4" i="52"/>
  <c r="EN3" i="59"/>
  <c r="T54" i="93" s="1"/>
  <c r="A27" i="50"/>
  <c r="CA32" i="57"/>
  <c r="BY33" i="57"/>
  <c r="A62" i="57"/>
  <c r="A47" i="57"/>
  <c r="A47" i="61"/>
  <c r="V5" i="96"/>
  <c r="AC2" i="52"/>
  <c r="X34" i="80"/>
  <c r="S24" i="92"/>
  <c r="AD14" i="94"/>
  <c r="AC24" i="94"/>
  <c r="H70" i="95"/>
  <c r="DN2" i="55"/>
  <c r="V66" i="52"/>
  <c r="F59" i="52"/>
  <c r="C54" i="52"/>
  <c r="D54" i="52" s="1"/>
  <c r="F26" i="52"/>
  <c r="N18" i="52"/>
  <c r="E12" i="52"/>
  <c r="G12" i="52" s="1"/>
  <c r="F9" i="52"/>
  <c r="C6" i="52"/>
  <c r="C4" i="52"/>
  <c r="DN2" i="61"/>
  <c r="A46" i="57"/>
  <c r="A54" i="59"/>
  <c r="W31" i="109"/>
  <c r="W32" i="109" s="1"/>
  <c r="W33" i="109" s="1"/>
  <c r="A86" i="51"/>
  <c r="V6" i="96"/>
  <c r="D20" i="52"/>
  <c r="H66" i="91"/>
  <c r="AC24" i="92"/>
  <c r="AF30" i="92"/>
  <c r="H70" i="92"/>
  <c r="H66" i="93"/>
  <c r="AM14" i="94"/>
  <c r="FA4" i="59"/>
  <c r="X4" i="57"/>
  <c r="X55" i="92" s="1"/>
  <c r="F64" i="52"/>
  <c r="G64" i="52" s="1"/>
  <c r="C63" i="52"/>
  <c r="V61" i="52"/>
  <c r="N60" i="52"/>
  <c r="E59" i="52"/>
  <c r="V57" i="52"/>
  <c r="N56" i="52"/>
  <c r="F55" i="52"/>
  <c r="V47" i="52"/>
  <c r="F44" i="52"/>
  <c r="C41" i="52"/>
  <c r="F39" i="52"/>
  <c r="F36" i="52"/>
  <c r="E34" i="52"/>
  <c r="G34" i="52" s="1"/>
  <c r="E26" i="52"/>
  <c r="F24" i="52"/>
  <c r="F16" i="52"/>
  <c r="F14" i="52"/>
  <c r="E9" i="52"/>
  <c r="T5" i="52"/>
  <c r="EN4" i="63"/>
  <c r="T55" i="95" s="1"/>
  <c r="A62" i="50"/>
  <c r="BZ33" i="57"/>
  <c r="BY34" i="59"/>
  <c r="A62" i="55"/>
  <c r="W37" i="95" a="1"/>
  <c r="W37" i="95" s="1"/>
  <c r="W37" i="93" a="1"/>
  <c r="W37" i="93" s="1"/>
  <c r="W37" i="94" a="1"/>
  <c r="W37" i="94" s="1"/>
  <c r="W37" i="91" a="1"/>
  <c r="W37" i="91" s="1"/>
  <c r="W37" i="92" a="1"/>
  <c r="W37" i="92" s="1"/>
  <c r="W37" i="32" a="1"/>
  <c r="W37" i="32" s="1"/>
  <c r="B7" i="95"/>
  <c r="B7" i="93"/>
  <c r="B7" i="94"/>
  <c r="B72" i="21"/>
  <c r="B7" i="92"/>
  <c r="B7" i="91"/>
  <c r="S39" i="73"/>
  <c r="A38" i="59"/>
  <c r="A38" i="63"/>
  <c r="A38" i="55"/>
  <c r="A38" i="50"/>
  <c r="A38" i="61"/>
  <c r="A38" i="57"/>
  <c r="B66" i="44"/>
  <c r="B69" i="44"/>
  <c r="D29" i="32"/>
  <c r="D29" i="94"/>
  <c r="D59" i="52"/>
  <c r="C119" i="51"/>
  <c r="A137" i="51"/>
  <c r="F102" i="51"/>
  <c r="B102" i="51"/>
  <c r="E102" i="51"/>
  <c r="A124" i="51"/>
  <c r="E100" i="51"/>
  <c r="F100" i="51"/>
  <c r="A122" i="51"/>
  <c r="A109" i="51"/>
  <c r="C112" i="51"/>
  <c r="C107" i="51"/>
  <c r="A99" i="51"/>
  <c r="G8" i="52"/>
  <c r="P13" i="52"/>
  <c r="P25" i="52"/>
  <c r="P31" i="52"/>
  <c r="P43" i="52"/>
  <c r="P5" i="52"/>
  <c r="P11" i="52"/>
  <c r="P12" i="52"/>
  <c r="P24" i="52"/>
  <c r="P30" i="52"/>
  <c r="P42" i="52"/>
  <c r="P10" i="52"/>
  <c r="P23" i="52"/>
  <c r="P29" i="52"/>
  <c r="P41" i="52"/>
  <c r="P53" i="52"/>
  <c r="P9" i="52"/>
  <c r="P22" i="52"/>
  <c r="P8" i="52"/>
  <c r="P21" i="52"/>
  <c r="P39" i="52"/>
  <c r="P51" i="52"/>
  <c r="P7" i="52"/>
  <c r="P4" i="52"/>
  <c r="P18" i="52"/>
  <c r="P2" i="52"/>
  <c r="P17" i="52"/>
  <c r="P35" i="52"/>
  <c r="P16" i="52"/>
  <c r="P34" i="52"/>
  <c r="P46" i="52"/>
  <c r="A43" i="61"/>
  <c r="A43" i="57"/>
  <c r="A43" i="59"/>
  <c r="A37" i="50"/>
  <c r="D40" i="71"/>
  <c r="AP2" i="91"/>
  <c r="B11" i="92"/>
  <c r="AO31" i="93"/>
  <c r="H23" i="94"/>
  <c r="B30" i="94"/>
  <c r="B11" i="95"/>
  <c r="B30" i="95"/>
  <c r="AT37" i="95"/>
  <c r="D80" i="53"/>
  <c r="FA4" i="57"/>
  <c r="EY5" i="59"/>
  <c r="EY4" i="63"/>
  <c r="FA8" i="63"/>
  <c r="P55" i="52"/>
  <c r="P47" i="52"/>
  <c r="P44" i="52"/>
  <c r="G22" i="52"/>
  <c r="P14" i="52"/>
  <c r="N5" i="52"/>
  <c r="N11" i="52"/>
  <c r="N12" i="52"/>
  <c r="N24" i="52"/>
  <c r="N30" i="52"/>
  <c r="N42" i="52"/>
  <c r="N10" i="52"/>
  <c r="N23" i="52"/>
  <c r="N29" i="52"/>
  <c r="N41" i="52"/>
  <c r="N9" i="52"/>
  <c r="N22" i="52"/>
  <c r="N40" i="52"/>
  <c r="N52" i="52"/>
  <c r="N8" i="52"/>
  <c r="N21" i="52"/>
  <c r="N7" i="52"/>
  <c r="N20" i="52"/>
  <c r="N38" i="52"/>
  <c r="N50" i="52"/>
  <c r="N2" i="52"/>
  <c r="N4" i="52"/>
  <c r="N19" i="52"/>
  <c r="N17" i="52"/>
  <c r="N16" i="52"/>
  <c r="N34" i="52"/>
  <c r="N15" i="52"/>
  <c r="N27" i="52"/>
  <c r="N33" i="52"/>
  <c r="N45" i="52"/>
  <c r="A34" i="63"/>
  <c r="A34" i="55"/>
  <c r="A34" i="50"/>
  <c r="A34" i="61"/>
  <c r="A34" i="57"/>
  <c r="A9" i="55"/>
  <c r="A9" i="50"/>
  <c r="A9" i="61"/>
  <c r="A9" i="57"/>
  <c r="D67" i="71"/>
  <c r="AR19" i="93"/>
  <c r="K61" i="94"/>
  <c r="D79" i="53"/>
  <c r="P56" i="52"/>
  <c r="P3" i="52"/>
  <c r="BZ32" i="50"/>
  <c r="BZ32" i="63"/>
  <c r="BZ32" i="57"/>
  <c r="A49" i="59"/>
  <c r="A49" i="55"/>
  <c r="A49" i="50"/>
  <c r="A49" i="61"/>
  <c r="A49" i="57"/>
  <c r="D121" i="71"/>
  <c r="B28" i="93"/>
  <c r="B12" i="95"/>
  <c r="H23" i="95"/>
  <c r="FA7" i="61"/>
  <c r="FA9" i="63"/>
  <c r="P57" i="52"/>
  <c r="P33" i="52"/>
  <c r="V17" i="52"/>
  <c r="N3" i="52"/>
  <c r="A43" i="55"/>
  <c r="D94" i="71"/>
  <c r="B15" i="93"/>
  <c r="D29" i="93"/>
  <c r="FA7" i="59"/>
  <c r="P58" i="52"/>
  <c r="P26" i="52"/>
  <c r="T54" i="94"/>
  <c r="A55" i="61"/>
  <c r="A55" i="57"/>
  <c r="A55" i="59"/>
  <c r="BY13" i="61"/>
  <c r="M10" i="57"/>
  <c r="N10" i="57" s="1"/>
  <c r="M10" i="63"/>
  <c r="N10" i="63" s="1"/>
  <c r="M10" i="59"/>
  <c r="N10" i="59" s="1"/>
  <c r="M10" i="61"/>
  <c r="N10" i="61" s="1"/>
  <c r="B13" i="91"/>
  <c r="AO31" i="92"/>
  <c r="AP2" i="95"/>
  <c r="B13" i="95"/>
  <c r="H67" i="95"/>
  <c r="FA7" i="57"/>
  <c r="FA9" i="61"/>
  <c r="P59" i="52"/>
  <c r="P45" i="52"/>
  <c r="N39" i="52"/>
  <c r="N26" i="52"/>
  <c r="P19" i="52"/>
  <c r="X17" i="52"/>
  <c r="X35" i="52"/>
  <c r="X47" i="52"/>
  <c r="X16" i="52"/>
  <c r="X34" i="52"/>
  <c r="X46" i="52"/>
  <c r="X15" i="52"/>
  <c r="X27" i="52"/>
  <c r="X33" i="52"/>
  <c r="X45" i="52"/>
  <c r="X3" i="52"/>
  <c r="X14" i="52"/>
  <c r="X26" i="52"/>
  <c r="X13" i="52"/>
  <c r="X25" i="52"/>
  <c r="X31" i="52"/>
  <c r="X43" i="52"/>
  <c r="X5" i="52"/>
  <c r="X11" i="52"/>
  <c r="X12" i="52"/>
  <c r="X10" i="52"/>
  <c r="X9" i="52"/>
  <c r="X2" i="52"/>
  <c r="X8" i="52"/>
  <c r="X21" i="52"/>
  <c r="X39" i="52"/>
  <c r="X7" i="52"/>
  <c r="X20" i="52"/>
  <c r="X38" i="52"/>
  <c r="X50" i="52"/>
  <c r="C19" i="52"/>
  <c r="C49" i="52"/>
  <c r="C18" i="52"/>
  <c r="C36" i="52"/>
  <c r="C48" i="52"/>
  <c r="C35" i="52"/>
  <c r="C47" i="52"/>
  <c r="C33" i="52"/>
  <c r="C10" i="52"/>
  <c r="C9" i="52"/>
  <c r="AR19" i="92"/>
  <c r="K61" i="93"/>
  <c r="D84" i="53"/>
  <c r="FA9" i="59"/>
  <c r="P60" i="52"/>
  <c r="P48" i="52"/>
  <c r="P36" i="52"/>
  <c r="V16" i="52"/>
  <c r="V34" i="52"/>
  <c r="V46" i="52"/>
  <c r="V15" i="52"/>
  <c r="V27" i="52"/>
  <c r="V33" i="52"/>
  <c r="V45" i="52"/>
  <c r="V3" i="52"/>
  <c r="V14" i="52"/>
  <c r="V26" i="52"/>
  <c r="V32" i="52"/>
  <c r="V44" i="52"/>
  <c r="V13" i="52"/>
  <c r="V25" i="52"/>
  <c r="V5" i="52"/>
  <c r="V11" i="52"/>
  <c r="V12" i="52"/>
  <c r="V24" i="52"/>
  <c r="V30" i="52"/>
  <c r="V42" i="52"/>
  <c r="V2" i="52"/>
  <c r="V10" i="52"/>
  <c r="V9" i="52"/>
  <c r="V8" i="52"/>
  <c r="V21" i="52"/>
  <c r="V7" i="52"/>
  <c r="V20" i="52"/>
  <c r="V38" i="52"/>
  <c r="V4" i="52"/>
  <c r="V19" i="52"/>
  <c r="V37" i="52"/>
  <c r="V49" i="52"/>
  <c r="A28" i="63"/>
  <c r="A28" i="57"/>
  <c r="A28" i="59"/>
  <c r="A28" i="55"/>
  <c r="A28" i="50"/>
  <c r="A16" i="63"/>
  <c r="A16" i="57"/>
  <c r="A16" i="59"/>
  <c r="A16" i="55"/>
  <c r="A16" i="50"/>
  <c r="BY14" i="50"/>
  <c r="M11" i="57"/>
  <c r="N11" i="57" s="1"/>
  <c r="BY14" i="61"/>
  <c r="M11" i="63"/>
  <c r="N11" i="63" s="1"/>
  <c r="M11" i="59"/>
  <c r="N11" i="59" s="1"/>
  <c r="M11" i="61"/>
  <c r="N11" i="61" s="1"/>
  <c r="AO31" i="91"/>
  <c r="FA3" i="55"/>
  <c r="FA9" i="57"/>
  <c r="J16" i="92"/>
  <c r="AU23" i="92"/>
  <c r="P61" i="52"/>
  <c r="P52" i="52"/>
  <c r="P15" i="52"/>
  <c r="J16" i="94"/>
  <c r="CA35" i="50"/>
  <c r="A16" i="61"/>
  <c r="A3" i="59"/>
  <c r="AR19" i="91"/>
  <c r="B15" i="92"/>
  <c r="D29" i="92"/>
  <c r="AF25" i="94"/>
  <c r="P62" i="52"/>
  <c r="G51" i="52"/>
  <c r="P49" i="52"/>
  <c r="P37" i="52"/>
  <c r="X32" i="52"/>
  <c r="V22" i="52"/>
  <c r="N13" i="52"/>
  <c r="BZ32" i="55"/>
  <c r="BZ32" i="61"/>
  <c r="A67" i="50"/>
  <c r="A67" i="61"/>
  <c r="A67" i="57"/>
  <c r="A67" i="63"/>
  <c r="A67" i="59"/>
  <c r="FA3" i="61"/>
  <c r="P63" i="52"/>
  <c r="P40" i="52"/>
  <c r="P27" i="52"/>
  <c r="BZ35" i="59"/>
  <c r="CA35" i="63"/>
  <c r="BZ35" i="63"/>
  <c r="CA35" i="61"/>
  <c r="CA35" i="55"/>
  <c r="BZ35" i="61"/>
  <c r="BZ35" i="55"/>
  <c r="BZ35" i="50"/>
  <c r="CA35" i="57"/>
  <c r="BZ35" i="57"/>
  <c r="W167" i="99"/>
  <c r="B68" i="44"/>
  <c r="D29" i="91"/>
  <c r="P64" i="52"/>
  <c r="V41" i="52"/>
  <c r="P32" i="52"/>
  <c r="P20" i="52"/>
  <c r="V18" i="52"/>
  <c r="R3" i="52"/>
  <c r="R14" i="52"/>
  <c r="R26" i="52"/>
  <c r="R32" i="52"/>
  <c r="R44" i="52"/>
  <c r="R13" i="52"/>
  <c r="R25" i="52"/>
  <c r="R31" i="52"/>
  <c r="R43" i="52"/>
  <c r="R5" i="52"/>
  <c r="R11" i="52"/>
  <c r="R12" i="52"/>
  <c r="R24" i="52"/>
  <c r="R30" i="52"/>
  <c r="R42" i="52"/>
  <c r="R54" i="52"/>
  <c r="R10" i="52"/>
  <c r="R23" i="52"/>
  <c r="R29" i="52"/>
  <c r="R9" i="52"/>
  <c r="R22" i="52"/>
  <c r="R40" i="52"/>
  <c r="R52" i="52"/>
  <c r="R8" i="52"/>
  <c r="R7" i="52"/>
  <c r="R4" i="52"/>
  <c r="R19" i="52"/>
  <c r="R18" i="52"/>
  <c r="R36" i="52"/>
  <c r="R6" i="52"/>
  <c r="R17" i="52"/>
  <c r="R35" i="52"/>
  <c r="R47" i="52"/>
  <c r="EN5" i="63"/>
  <c r="T56" i="95" s="1"/>
  <c r="EN5" i="61"/>
  <c r="T56" i="94" s="1"/>
  <c r="EN5" i="59"/>
  <c r="T56" i="93" s="1"/>
  <c r="EN5" i="57"/>
  <c r="EN5" i="55"/>
  <c r="T56" i="91" s="1"/>
  <c r="EN5" i="50"/>
  <c r="T56" i="32" s="1"/>
  <c r="F2" i="52"/>
  <c r="CA33" i="63"/>
  <c r="E11" i="52"/>
  <c r="CD13" i="63"/>
  <c r="AV19" i="95" s="1"/>
  <c r="EN4" i="50"/>
  <c r="T55" i="32" s="1"/>
  <c r="BZ33" i="55"/>
  <c r="BZ33" i="61"/>
  <c r="BY35" i="63"/>
  <c r="B73" i="53"/>
  <c r="B82" i="53"/>
  <c r="BZ34" i="50"/>
  <c r="BZ34" i="55"/>
  <c r="BZ32" i="59"/>
  <c r="BZ34" i="61"/>
  <c r="BY35" i="59"/>
  <c r="BY34" i="63"/>
  <c r="A60" i="61"/>
  <c r="A31" i="63"/>
  <c r="A19" i="63"/>
  <c r="B12" i="53"/>
  <c r="B554" i="53"/>
  <c r="B42" i="53"/>
  <c r="B83" i="53"/>
  <c r="BZ33" i="59"/>
  <c r="BY35" i="55"/>
  <c r="BZ33" i="50"/>
  <c r="CA33" i="59"/>
  <c r="BY34" i="55"/>
  <c r="A45" i="61"/>
  <c r="B61" i="53"/>
  <c r="B21" i="53"/>
  <c r="B17" i="53"/>
  <c r="B72" i="53"/>
  <c r="A5" i="63"/>
  <c r="B553" i="53"/>
  <c r="B71" i="53"/>
  <c r="E18" i="52"/>
  <c r="F3" i="52"/>
  <c r="CA33" i="50"/>
  <c r="AU23" i="94"/>
  <c r="B58" i="53"/>
  <c r="B26" i="53"/>
  <c r="B20" i="53"/>
  <c r="B55" i="53"/>
  <c r="B76" i="53"/>
  <c r="B70" i="53"/>
  <c r="B7" i="53"/>
  <c r="B8" i="53"/>
  <c r="B69" i="53"/>
  <c r="T19" i="107" l="1"/>
  <c r="U19" i="107" s="1"/>
  <c r="O44" i="106"/>
  <c r="Q44" i="106"/>
  <c r="N44" i="106"/>
  <c r="U44" i="106" s="1"/>
  <c r="V44" i="106" s="1"/>
  <c r="P44" i="106"/>
  <c r="Z36" i="106"/>
  <c r="AB58" i="106" s="1"/>
  <c r="AV19" i="94"/>
  <c r="A5" i="57"/>
  <c r="A84" i="51"/>
  <c r="A5" i="50"/>
  <c r="U59" i="73"/>
  <c r="AB41" i="50"/>
  <c r="K54" i="32" s="1" a="1"/>
  <c r="K58" i="32" s="1"/>
  <c r="CD17" i="50"/>
  <c r="AV19" i="32" s="1"/>
  <c r="A48" i="61"/>
  <c r="A46" i="55"/>
  <c r="CD17" i="57"/>
  <c r="J16" i="93"/>
  <c r="A45" i="63"/>
  <c r="U94" i="73"/>
  <c r="G43" i="52"/>
  <c r="T59" i="95"/>
  <c r="AG23" i="99"/>
  <c r="AU25" i="93"/>
  <c r="V29" i="109"/>
  <c r="V56" i="109" s="1"/>
  <c r="Y39" i="109"/>
  <c r="Y46" i="109" s="1"/>
  <c r="Y54" i="109" s="1"/>
  <c r="J16" i="32"/>
  <c r="G59" i="52"/>
  <c r="AD15" i="107"/>
  <c r="Q42" i="106"/>
  <c r="AB42" i="106"/>
  <c r="U42" i="106"/>
  <c r="U48" i="106" s="1"/>
  <c r="AU23" i="93"/>
  <c r="B18" i="94"/>
  <c r="K54" i="94" a="1"/>
  <c r="K54" i="94" s="1"/>
  <c r="Y29" i="109"/>
  <c r="Z56" i="109" s="1"/>
  <c r="I56" i="73"/>
  <c r="A50" i="59"/>
  <c r="A32" i="63"/>
  <c r="AT37" i="91"/>
  <c r="A62" i="63"/>
  <c r="U111" i="73"/>
  <c r="A50" i="50"/>
  <c r="G21" i="52"/>
  <c r="AT37" i="94"/>
  <c r="AT37" i="92"/>
  <c r="G52" i="52"/>
  <c r="AU25" i="32"/>
  <c r="AC15" i="107"/>
  <c r="AT37" i="93"/>
  <c r="A3" i="61"/>
  <c r="E56" i="73"/>
  <c r="B20" i="32"/>
  <c r="A3" i="50"/>
  <c r="M56" i="73"/>
  <c r="A15" i="50"/>
  <c r="AD50" i="106"/>
  <c r="AD51" i="106" s="1"/>
  <c r="AD59" i="106" s="1"/>
  <c r="AC22" i="107"/>
  <c r="B20" i="94"/>
  <c r="AU23" i="91"/>
  <c r="AU17" i="91" s="1"/>
  <c r="V31" i="109"/>
  <c r="V32" i="109" s="1"/>
  <c r="A21" i="61"/>
  <c r="A21" i="59"/>
  <c r="A21" i="57"/>
  <c r="U75" i="73"/>
  <c r="W23" i="99"/>
  <c r="Z40" i="109"/>
  <c r="AE50" i="106"/>
  <c r="AE51" i="106" s="1"/>
  <c r="AE59" i="106" s="1"/>
  <c r="AV19" i="91"/>
  <c r="G11" i="52"/>
  <c r="G44" i="52"/>
  <c r="J20" i="32"/>
  <c r="W95" i="99"/>
  <c r="A15" i="59"/>
  <c r="W79" i="109"/>
  <c r="W84" i="109" s="1"/>
  <c r="AC50" i="106"/>
  <c r="AC51" i="106" s="1"/>
  <c r="AC59" i="106" s="1"/>
  <c r="AD22" i="107"/>
  <c r="AD23" i="107" s="1"/>
  <c r="BY13" i="50"/>
  <c r="M10" i="50"/>
  <c r="N10" i="50" s="1"/>
  <c r="BY13" i="55"/>
  <c r="A47" i="59"/>
  <c r="G57" i="52"/>
  <c r="J20" i="92"/>
  <c r="G31" i="52"/>
  <c r="B20" i="95"/>
  <c r="W34" i="109"/>
  <c r="W35" i="109" s="1"/>
  <c r="G56" i="52"/>
  <c r="K55" i="32"/>
  <c r="AU25" i="95"/>
  <c r="G20" i="52"/>
  <c r="AA50" i="106"/>
  <c r="AA53" i="106" s="1"/>
  <c r="AU24" i="32"/>
  <c r="AU17" i="32"/>
  <c r="K56" i="92"/>
  <c r="K60" i="92" s="1"/>
  <c r="K58" i="92"/>
  <c r="K55" i="92"/>
  <c r="K57" i="92"/>
  <c r="K54" i="92"/>
  <c r="AG167" i="99"/>
  <c r="T59" i="91"/>
  <c r="AU23" i="95"/>
  <c r="A37" i="63"/>
  <c r="A37" i="59"/>
  <c r="A22" i="59"/>
  <c r="A22" i="57"/>
  <c r="AA48" i="106"/>
  <c r="A22" i="61"/>
  <c r="B18" i="93"/>
  <c r="B20" i="92"/>
  <c r="A37" i="55"/>
  <c r="A22" i="50"/>
  <c r="J20" i="94"/>
  <c r="A22" i="55"/>
  <c r="A61" i="61"/>
  <c r="A22" i="63"/>
  <c r="K56" i="32"/>
  <c r="K60" i="32" s="1"/>
  <c r="U110" i="73"/>
  <c r="A61" i="57"/>
  <c r="A61" i="50"/>
  <c r="V37" i="109"/>
  <c r="AT37" i="32"/>
  <c r="K57" i="32"/>
  <c r="A61" i="55"/>
  <c r="A37" i="57"/>
  <c r="A61" i="59"/>
  <c r="G45" i="52"/>
  <c r="A49" i="63"/>
  <c r="U98" i="73"/>
  <c r="K57" i="94"/>
  <c r="BY15" i="50"/>
  <c r="BY15" i="63"/>
  <c r="AU10" i="95" s="1"/>
  <c r="M12" i="61"/>
  <c r="N12" i="61" s="1"/>
  <c r="M12" i="55"/>
  <c r="N12" i="55" s="1"/>
  <c r="M12" i="59"/>
  <c r="N12" i="59" s="1"/>
  <c r="BY15" i="61"/>
  <c r="BY15" i="57"/>
  <c r="AU10" i="92" s="1"/>
  <c r="BY15" i="55"/>
  <c r="M12" i="50"/>
  <c r="N12" i="50" s="1"/>
  <c r="M12" i="57"/>
  <c r="N12" i="57" s="1"/>
  <c r="M12" i="63"/>
  <c r="N12" i="63" s="1"/>
  <c r="BY15" i="59"/>
  <c r="AU10" i="93" s="1"/>
  <c r="A57" i="63"/>
  <c r="A57" i="59"/>
  <c r="U106" i="73"/>
  <c r="A57" i="55"/>
  <c r="A57" i="50"/>
  <c r="A88" i="51"/>
  <c r="A57" i="57"/>
  <c r="A48" i="59"/>
  <c r="A48" i="57"/>
  <c r="A48" i="55"/>
  <c r="A48" i="50"/>
  <c r="U97" i="73"/>
  <c r="A44" i="63"/>
  <c r="U93" i="73"/>
  <c r="A44" i="57"/>
  <c r="A44" i="55"/>
  <c r="A44" i="50"/>
  <c r="A44" i="59"/>
  <c r="A44" i="61"/>
  <c r="A9" i="63"/>
  <c r="U63" i="73"/>
  <c r="A9" i="59"/>
  <c r="A58" i="61"/>
  <c r="U107" i="73"/>
  <c r="A58" i="55"/>
  <c r="A58" i="50"/>
  <c r="A58" i="57"/>
  <c r="A26" i="55"/>
  <c r="A26" i="63"/>
  <c r="A26" i="59"/>
  <c r="A26" i="61"/>
  <c r="U80" i="73"/>
  <c r="A26" i="57"/>
  <c r="A26" i="50"/>
  <c r="A46" i="61"/>
  <c r="U95" i="73"/>
  <c r="A67" i="55"/>
  <c r="U116" i="73"/>
  <c r="A56" i="63"/>
  <c r="A56" i="55"/>
  <c r="A56" i="50"/>
  <c r="U105" i="73"/>
  <c r="A87" i="51"/>
  <c r="A56" i="57"/>
  <c r="A56" i="61"/>
  <c r="A56" i="59"/>
  <c r="A19" i="61"/>
  <c r="U73" i="73"/>
  <c r="A19" i="57"/>
  <c r="A19" i="50"/>
  <c r="A19" i="55"/>
  <c r="A19" i="59"/>
  <c r="A46" i="50"/>
  <c r="A33" i="61"/>
  <c r="A33" i="57"/>
  <c r="A33" i="50"/>
  <c r="A33" i="55"/>
  <c r="A33" i="59"/>
  <c r="U87" i="73"/>
  <c r="J16" i="91"/>
  <c r="K54" i="91" a="1"/>
  <c r="A66" i="61"/>
  <c r="A66" i="59"/>
  <c r="A66" i="57"/>
  <c r="A66" i="50"/>
  <c r="A66" i="55"/>
  <c r="U115" i="73"/>
  <c r="A66" i="63"/>
  <c r="A32" i="61"/>
  <c r="A32" i="50"/>
  <c r="A32" i="55"/>
  <c r="A32" i="59"/>
  <c r="U86" i="73"/>
  <c r="A52" i="63"/>
  <c r="U101" i="73"/>
  <c r="A52" i="57"/>
  <c r="A52" i="59"/>
  <c r="A52" i="61"/>
  <c r="A52" i="55"/>
  <c r="A52" i="50"/>
  <c r="A3" i="57"/>
  <c r="A82" i="51"/>
  <c r="A3" i="63"/>
  <c r="U57" i="73"/>
  <c r="G40" i="52"/>
  <c r="A58" i="63"/>
  <c r="A51" i="63"/>
  <c r="A51" i="57"/>
  <c r="U100" i="73"/>
  <c r="A51" i="59"/>
  <c r="A51" i="61"/>
  <c r="A51" i="55"/>
  <c r="A51" i="50"/>
  <c r="A20" i="63"/>
  <c r="U74" i="73"/>
  <c r="A20" i="61"/>
  <c r="A20" i="57"/>
  <c r="A20" i="50"/>
  <c r="A20" i="55"/>
  <c r="A20" i="59"/>
  <c r="J16" i="95"/>
  <c r="K54" i="93" a="1"/>
  <c r="AG95" i="99"/>
  <c r="A58" i="59"/>
  <c r="A31" i="61"/>
  <c r="A31" i="57"/>
  <c r="A31" i="50"/>
  <c r="A31" i="55"/>
  <c r="A31" i="59"/>
  <c r="U85" i="73"/>
  <c r="A60" i="59"/>
  <c r="A90" i="51"/>
  <c r="A60" i="57"/>
  <c r="A60" i="55"/>
  <c r="A60" i="50"/>
  <c r="A60" i="63"/>
  <c r="U109" i="73"/>
  <c r="U88" i="73"/>
  <c r="A34" i="59"/>
  <c r="V1" i="63"/>
  <c r="AQ35" i="95" s="1"/>
  <c r="W37" i="109"/>
  <c r="G58" i="52"/>
  <c r="A46" i="59"/>
  <c r="A36" i="59"/>
  <c r="A36" i="57"/>
  <c r="A36" i="50"/>
  <c r="A36" i="55"/>
  <c r="A36" i="61"/>
  <c r="A50" i="63"/>
  <c r="U99" i="73"/>
  <c r="A53" i="61"/>
  <c r="U102" i="73"/>
  <c r="A53" i="63"/>
  <c r="A53" i="57"/>
  <c r="A53" i="59"/>
  <c r="A53" i="55"/>
  <c r="A53" i="50"/>
  <c r="A13" i="63"/>
  <c r="A13" i="61"/>
  <c r="U67" i="73"/>
  <c r="A13" i="57"/>
  <c r="A13" i="50"/>
  <c r="A13" i="55"/>
  <c r="A13" i="59"/>
  <c r="A14" i="61"/>
  <c r="U68" i="73"/>
  <c r="A14" i="63"/>
  <c r="A14" i="57"/>
  <c r="A14" i="50"/>
  <c r="A14" i="55"/>
  <c r="A14" i="59"/>
  <c r="A6" i="63"/>
  <c r="A6" i="57"/>
  <c r="A6" i="50"/>
  <c r="A6" i="59"/>
  <c r="A6" i="55"/>
  <c r="U60" i="73"/>
  <c r="A6" i="61"/>
  <c r="G26" i="52"/>
  <c r="W3" i="96"/>
  <c r="A47" i="63"/>
  <c r="A47" i="55"/>
  <c r="A47" i="50"/>
  <c r="A27" i="59"/>
  <c r="A27" i="61"/>
  <c r="D62" i="52"/>
  <c r="G62" i="52"/>
  <c r="G13" i="52"/>
  <c r="D13" i="52"/>
  <c r="G63" i="52"/>
  <c r="D63" i="52"/>
  <c r="D17" i="52"/>
  <c r="G17" i="52"/>
  <c r="T59" i="93"/>
  <c r="G61" i="52"/>
  <c r="D61" i="52"/>
  <c r="G15" i="52"/>
  <c r="G14" i="52"/>
  <c r="D14" i="52"/>
  <c r="G55" i="52"/>
  <c r="D55" i="52"/>
  <c r="G3" i="52"/>
  <c r="G16" i="52"/>
  <c r="D16" i="52"/>
  <c r="G41" i="52"/>
  <c r="D41" i="52"/>
  <c r="G23" i="52"/>
  <c r="G60" i="52"/>
  <c r="D60" i="52"/>
  <c r="G24" i="52"/>
  <c r="D24" i="52"/>
  <c r="K58" i="95"/>
  <c r="K57" i="95"/>
  <c r="K55" i="95"/>
  <c r="K54" i="95"/>
  <c r="K56" i="95"/>
  <c r="K60" i="95" s="1"/>
  <c r="G28" i="52"/>
  <c r="D28" i="52"/>
  <c r="B18" i="95"/>
  <c r="G7" i="52"/>
  <c r="D7" i="52"/>
  <c r="G29" i="52"/>
  <c r="G30" i="52"/>
  <c r="D30" i="52"/>
  <c r="AG203" i="99"/>
  <c r="G38" i="52"/>
  <c r="D38" i="52"/>
  <c r="AU24" i="93"/>
  <c r="AU17" i="93"/>
  <c r="G5" i="52"/>
  <c r="D37" i="52"/>
  <c r="G37" i="52"/>
  <c r="G39" i="52"/>
  <c r="D39" i="52"/>
  <c r="V1" i="55"/>
  <c r="AT33" i="91" s="1"/>
  <c r="AJ43" i="91"/>
  <c r="AI43" i="91" s="1"/>
  <c r="G25" i="52"/>
  <c r="D4" i="52"/>
  <c r="G4" i="52"/>
  <c r="G54" i="52"/>
  <c r="D53" i="52"/>
  <c r="G53" i="52"/>
  <c r="T59" i="32"/>
  <c r="G2" i="52"/>
  <c r="G6" i="52"/>
  <c r="D6" i="52"/>
  <c r="D27" i="52"/>
  <c r="G27" i="52"/>
  <c r="D42" i="52"/>
  <c r="G42" i="52"/>
  <c r="A4" i="57"/>
  <c r="A4" i="63"/>
  <c r="A4" i="59"/>
  <c r="A4" i="55"/>
  <c r="A4" i="50"/>
  <c r="A85" i="51"/>
  <c r="U58" i="73"/>
  <c r="A4" i="61"/>
  <c r="A11" i="59"/>
  <c r="A11" i="63"/>
  <c r="A11" i="55"/>
  <c r="A11" i="50"/>
  <c r="A11" i="61"/>
  <c r="A11" i="57"/>
  <c r="Q67" i="55"/>
  <c r="Q67" i="57"/>
  <c r="Q67" i="59"/>
  <c r="U65" i="73"/>
  <c r="Q67" i="61"/>
  <c r="Q67" i="63"/>
  <c r="Q67" i="50"/>
  <c r="D10" i="52"/>
  <c r="G10" i="52"/>
  <c r="W203" i="99"/>
  <c r="J20" i="95"/>
  <c r="A10" i="63"/>
  <c r="A10" i="55"/>
  <c r="A10" i="50"/>
  <c r="A10" i="61"/>
  <c r="A10" i="57"/>
  <c r="AT13" i="93"/>
  <c r="AT13" i="95"/>
  <c r="AT13" i="94"/>
  <c r="AT13" i="32"/>
  <c r="M55" i="73"/>
  <c r="M48" i="73" s="1"/>
  <c r="I55" i="73"/>
  <c r="I48" i="73" s="1"/>
  <c r="AT13" i="91"/>
  <c r="A10" i="59"/>
  <c r="AT13" i="92"/>
  <c r="U64" i="73"/>
  <c r="E55" i="73"/>
  <c r="E48" i="73" s="1"/>
  <c r="B17" i="94"/>
  <c r="DP2" i="63"/>
  <c r="DP2" i="57"/>
  <c r="B19" i="95"/>
  <c r="BQ2" i="51"/>
  <c r="O65" i="93" s="1" a="1"/>
  <c r="B17" i="95"/>
  <c r="DP2" i="61"/>
  <c r="DP2" i="55"/>
  <c r="DP2" i="59"/>
  <c r="DP2" i="50"/>
  <c r="B19" i="94"/>
  <c r="B17" i="91"/>
  <c r="B17" i="93"/>
  <c r="B14" i="94"/>
  <c r="B17" i="32"/>
  <c r="B17" i="92"/>
  <c r="B14" i="95"/>
  <c r="B14" i="91"/>
  <c r="B14" i="92"/>
  <c r="B19" i="32"/>
  <c r="B19" i="93"/>
  <c r="B19" i="91"/>
  <c r="B14" i="32"/>
  <c r="B14" i="93"/>
  <c r="B19" i="92"/>
  <c r="B20" i="93"/>
  <c r="AG131" i="99"/>
  <c r="J20" i="93"/>
  <c r="G33" i="52"/>
  <c r="D33" i="52"/>
  <c r="S10" i="95"/>
  <c r="AC192" i="99"/>
  <c r="AT17" i="95"/>
  <c r="A40" i="57"/>
  <c r="A40" i="59"/>
  <c r="A40" i="63"/>
  <c r="A40" i="55"/>
  <c r="A40" i="50"/>
  <c r="A40" i="61"/>
  <c r="AJ43" i="92"/>
  <c r="AI43" i="92" s="1"/>
  <c r="D47" i="52"/>
  <c r="G47" i="52"/>
  <c r="Z59" i="109"/>
  <c r="V58" i="109"/>
  <c r="V59" i="109" s="1"/>
  <c r="A68" i="50"/>
  <c r="A68" i="61"/>
  <c r="A68" i="57"/>
  <c r="A68" i="63"/>
  <c r="A68" i="59"/>
  <c r="A68" i="55"/>
  <c r="U117" i="73"/>
  <c r="A12" i="59"/>
  <c r="A12" i="55"/>
  <c r="A12" i="63"/>
  <c r="A12" i="50"/>
  <c r="A12" i="61"/>
  <c r="A12" i="57"/>
  <c r="U66" i="73"/>
  <c r="G35" i="52"/>
  <c r="D35" i="52"/>
  <c r="AU10" i="94"/>
  <c r="A17" i="57"/>
  <c r="A17" i="63"/>
  <c r="A17" i="59"/>
  <c r="A17" i="55"/>
  <c r="U71" i="73"/>
  <c r="A17" i="61"/>
  <c r="A17" i="50"/>
  <c r="A18" i="61"/>
  <c r="A18" i="57"/>
  <c r="A18" i="63"/>
  <c r="A18" i="59"/>
  <c r="A18" i="55"/>
  <c r="U72" i="73"/>
  <c r="A18" i="50"/>
  <c r="A64" i="57"/>
  <c r="F19" i="59"/>
  <c r="F19" i="50"/>
  <c r="F19" i="63"/>
  <c r="A64" i="63"/>
  <c r="A64" i="59"/>
  <c r="A64" i="50"/>
  <c r="A64" i="55"/>
  <c r="F19" i="61"/>
  <c r="A64" i="61"/>
  <c r="F19" i="57"/>
  <c r="U113" i="73"/>
  <c r="F19" i="55"/>
  <c r="AJ43" i="93"/>
  <c r="AI43" i="93" s="1"/>
  <c r="G48" i="52"/>
  <c r="D48" i="52"/>
  <c r="Z62" i="109"/>
  <c r="A23" i="59"/>
  <c r="A23" i="63"/>
  <c r="A23" i="55"/>
  <c r="A23" i="50"/>
  <c r="A23" i="61"/>
  <c r="A23" i="57"/>
  <c r="U77" i="73"/>
  <c r="A24" i="59"/>
  <c r="A24" i="55"/>
  <c r="A24" i="63"/>
  <c r="A24" i="50"/>
  <c r="A24" i="61"/>
  <c r="A24" i="57"/>
  <c r="U78" i="73"/>
  <c r="A42" i="61"/>
  <c r="A42" i="57"/>
  <c r="A42" i="50"/>
  <c r="A42" i="59"/>
  <c r="A42" i="63"/>
  <c r="A42" i="55"/>
  <c r="C83" i="53"/>
  <c r="U91" i="73"/>
  <c r="AJ43" i="94"/>
  <c r="AI43" i="94" s="1"/>
  <c r="G36" i="52"/>
  <c r="D36" i="52"/>
  <c r="A29" i="57"/>
  <c r="A29" i="63"/>
  <c r="A29" i="59"/>
  <c r="A29" i="55"/>
  <c r="U83" i="73"/>
  <c r="A29" i="50"/>
  <c r="A29" i="61"/>
  <c r="A30" i="61"/>
  <c r="A30" i="57"/>
  <c r="A30" i="63"/>
  <c r="A30" i="59"/>
  <c r="A30" i="55"/>
  <c r="U84" i="73"/>
  <c r="A30" i="50"/>
  <c r="DP3" i="63"/>
  <c r="DP3" i="57"/>
  <c r="BR2" i="51"/>
  <c r="DP3" i="61"/>
  <c r="DP3" i="55"/>
  <c r="AC200" i="99"/>
  <c r="AC164" i="99"/>
  <c r="AC128" i="99"/>
  <c r="DP3" i="59"/>
  <c r="AC20" i="99"/>
  <c r="AC56" i="99"/>
  <c r="DP3" i="50"/>
  <c r="AC92" i="99"/>
  <c r="F18" i="50"/>
  <c r="F18" i="63"/>
  <c r="A63" i="63"/>
  <c r="A63" i="59"/>
  <c r="A63" i="55"/>
  <c r="F18" i="61"/>
  <c r="A63" i="50"/>
  <c r="A63" i="61"/>
  <c r="A63" i="57"/>
  <c r="F18" i="55"/>
  <c r="AT8" i="91"/>
  <c r="AY2" i="91" s="1"/>
  <c r="F18" i="59"/>
  <c r="F18" i="57"/>
  <c r="AT9" i="95"/>
  <c r="AW2" i="94"/>
  <c r="AW2" i="91"/>
  <c r="AT8" i="95"/>
  <c r="AY2" i="95" s="1"/>
  <c r="AT9" i="32"/>
  <c r="AW2" i="32"/>
  <c r="AT8" i="92"/>
  <c r="AY2" i="92" s="1"/>
  <c r="AT9" i="93"/>
  <c r="AW2" i="92"/>
  <c r="AT8" i="93"/>
  <c r="AY2" i="93" s="1"/>
  <c r="AW2" i="95"/>
  <c r="AT9" i="94"/>
  <c r="AW2" i="93"/>
  <c r="U112" i="73"/>
  <c r="AT9" i="91"/>
  <c r="AT8" i="32"/>
  <c r="AY2" i="32" s="1"/>
  <c r="AT8" i="94"/>
  <c r="AY2" i="94" s="1"/>
  <c r="AT9" i="92"/>
  <c r="AJ43" i="32"/>
  <c r="AI43" i="32" s="1"/>
  <c r="AJ43" i="95"/>
  <c r="AI43" i="95" s="1"/>
  <c r="G18" i="52"/>
  <c r="D18" i="52"/>
  <c r="V1" i="59"/>
  <c r="Z7" i="96" a="1"/>
  <c r="U10" i="96"/>
  <c r="U9" i="96"/>
  <c r="AD58" i="106"/>
  <c r="G9" i="52"/>
  <c r="D9" i="52"/>
  <c r="A35" i="59"/>
  <c r="A35" i="63"/>
  <c r="A35" i="55"/>
  <c r="A35" i="50"/>
  <c r="A35" i="61"/>
  <c r="A35" i="57"/>
  <c r="U89" i="73"/>
  <c r="A7" i="50"/>
  <c r="A7" i="61"/>
  <c r="A7" i="57"/>
  <c r="A7" i="63"/>
  <c r="A7" i="59"/>
  <c r="U61" i="73"/>
  <c r="A7" i="55"/>
  <c r="A83" i="51"/>
  <c r="A65" i="57"/>
  <c r="A65" i="63"/>
  <c r="A65" i="59"/>
  <c r="A65" i="50"/>
  <c r="A65" i="55"/>
  <c r="A65" i="61"/>
  <c r="U114" i="73"/>
  <c r="D49" i="52"/>
  <c r="G49" i="52"/>
  <c r="T59" i="94"/>
  <c r="Z37" i="109"/>
  <c r="A39" i="59"/>
  <c r="A39" i="63"/>
  <c r="A39" i="55"/>
  <c r="A39" i="50"/>
  <c r="A39" i="61"/>
  <c r="A39" i="57"/>
  <c r="AU17" i="94"/>
  <c r="AU24" i="94"/>
  <c r="G19" i="52"/>
  <c r="D19" i="52"/>
  <c r="V1" i="61"/>
  <c r="T56" i="92"/>
  <c r="T59" i="92" s="1"/>
  <c r="V1" i="57"/>
  <c r="AU17" i="92"/>
  <c r="AU24" i="92"/>
  <c r="AU17" i="95"/>
  <c r="AU24" i="95"/>
  <c r="J20" i="91"/>
  <c r="B20" i="91"/>
  <c r="AG59" i="99"/>
  <c r="W59" i="99"/>
  <c r="V1" i="50"/>
  <c r="W131" i="99"/>
  <c r="AA52" i="106" l="1"/>
  <c r="AT33" i="95"/>
  <c r="AC205" i="99"/>
  <c r="B18" i="32"/>
  <c r="Z46" i="109"/>
  <c r="Z54" i="109" s="1"/>
  <c r="Z55" i="109" s="1"/>
  <c r="Z57" i="109" s="1"/>
  <c r="Z58" i="109" s="1"/>
  <c r="B18" i="92"/>
  <c r="AV19" i="92"/>
  <c r="K54" i="32"/>
  <c r="AA51" i="106"/>
  <c r="AA59" i="106" s="1"/>
  <c r="O65" i="93"/>
  <c r="O71" i="93"/>
  <c r="O70" i="93"/>
  <c r="O69" i="93"/>
  <c r="O68" i="93"/>
  <c r="O67" i="93"/>
  <c r="O66" i="93"/>
  <c r="AU24" i="91"/>
  <c r="O65" i="91" a="1"/>
  <c r="O65" i="95" a="1"/>
  <c r="K58" i="94"/>
  <c r="K55" i="94"/>
  <c r="O65" i="94" a="1"/>
  <c r="K56" i="94"/>
  <c r="K60" i="94" s="1"/>
  <c r="AU10" i="91"/>
  <c r="AC48" i="99" s="1"/>
  <c r="AD24" i="107"/>
  <c r="AD25" i="107" s="1"/>
  <c r="AD30" i="107" s="1"/>
  <c r="V42" i="106"/>
  <c r="AL41" i="106" s="1"/>
  <c r="V35" i="109"/>
  <c r="V34" i="109"/>
  <c r="AT35" i="91"/>
  <c r="AU10" i="32"/>
  <c r="AC12" i="99" s="1" a="1"/>
  <c r="AC12" i="99" s="1"/>
  <c r="AC58" i="106"/>
  <c r="AC52" i="106"/>
  <c r="AC53" i="106"/>
  <c r="AC24" i="107"/>
  <c r="AC25" i="107" s="1"/>
  <c r="AC30" i="107" s="1"/>
  <c r="W85" i="109"/>
  <c r="W86" i="109" s="1"/>
  <c r="W87" i="109" s="1"/>
  <c r="V85" i="109"/>
  <c r="V86" i="109" s="1"/>
  <c r="V87" i="109" s="1"/>
  <c r="W89" i="109" s="1"/>
  <c r="V19" i="96"/>
  <c r="M32" i="96" s="1"/>
  <c r="AA54" i="106"/>
  <c r="AA56" i="106" s="1"/>
  <c r="AC48" i="106"/>
  <c r="AA49" i="106"/>
  <c r="AC13" i="99"/>
  <c r="K57" i="91"/>
  <c r="K55" i="91"/>
  <c r="K58" i="91"/>
  <c r="K54" i="91"/>
  <c r="K56" i="91"/>
  <c r="K60" i="91" s="1"/>
  <c r="AC120" i="99"/>
  <c r="AT17" i="93"/>
  <c r="S10" i="93"/>
  <c r="AC61" i="99"/>
  <c r="J68" i="95"/>
  <c r="S10" i="92"/>
  <c r="AC84" i="99"/>
  <c r="AT17" i="92"/>
  <c r="K58" i="93"/>
  <c r="K56" i="93"/>
  <c r="K60" i="93" s="1"/>
  <c r="K55" i="93"/>
  <c r="K57" i="93"/>
  <c r="K54" i="93"/>
  <c r="AT17" i="91"/>
  <c r="S10" i="91"/>
  <c r="AE58" i="106"/>
  <c r="AL39" i="73"/>
  <c r="AB4" i="94"/>
  <c r="B9" i="93"/>
  <c r="Z60" i="109"/>
  <c r="J67" i="94"/>
  <c r="P82" i="94" a="1"/>
  <c r="P82" i="94" s="1"/>
  <c r="J70" i="95"/>
  <c r="AB4" i="91"/>
  <c r="J71" i="95"/>
  <c r="B36" i="93" a="1"/>
  <c r="B36" i="93" s="1"/>
  <c r="J68" i="91"/>
  <c r="S8" i="95"/>
  <c r="I41" i="73"/>
  <c r="K41" i="73" s="1"/>
  <c r="M41" i="73"/>
  <c r="O41" i="73" s="1"/>
  <c r="P82" i="93" a="1"/>
  <c r="P82" i="93" s="1"/>
  <c r="AB4" i="93"/>
  <c r="L33" i="93"/>
  <c r="L33" i="95"/>
  <c r="L30" i="95"/>
  <c r="L33" i="94"/>
  <c r="L33" i="92"/>
  <c r="J68" i="92"/>
  <c r="J70" i="91"/>
  <c r="J68" i="93"/>
  <c r="AE7" i="52"/>
  <c r="R1" i="59"/>
  <c r="S1" i="59" s="1"/>
  <c r="B36" i="32" a="1"/>
  <c r="B36" i="32" s="1"/>
  <c r="R1" i="50"/>
  <c r="S1" i="50" s="1"/>
  <c r="B9" i="92"/>
  <c r="AB4" i="92"/>
  <c r="R1" i="57"/>
  <c r="S1" i="57" s="1"/>
  <c r="AU7" i="92"/>
  <c r="AX3" i="92"/>
  <c r="AY3" i="92" s="1"/>
  <c r="AX2" i="92"/>
  <c r="AZ2" i="92" s="1"/>
  <c r="BA2" i="92" s="1"/>
  <c r="P82" i="91" a="1"/>
  <c r="P82" i="91" s="1"/>
  <c r="AE5" i="52"/>
  <c r="J66" i="92"/>
  <c r="J65" i="32"/>
  <c r="J71" i="92"/>
  <c r="AU7" i="93"/>
  <c r="AU7" i="32"/>
  <c r="AB4" i="32"/>
  <c r="AT35" i="94"/>
  <c r="AT33" i="94"/>
  <c r="AC169" i="99"/>
  <c r="AE4" i="52"/>
  <c r="J70" i="93"/>
  <c r="J67" i="91"/>
  <c r="AE3" i="52"/>
  <c r="B9" i="91"/>
  <c r="L36" i="92" a="1"/>
  <c r="B36" i="91" a="1"/>
  <c r="B36" i="91" s="1"/>
  <c r="B36" i="95" a="1"/>
  <c r="B36" i="95" s="1"/>
  <c r="J69" i="32"/>
  <c r="J67" i="32"/>
  <c r="J67" i="93"/>
  <c r="J68" i="94"/>
  <c r="S8" i="91"/>
  <c r="AU7" i="91"/>
  <c r="AU9" i="32"/>
  <c r="B36" i="94" a="1"/>
  <c r="B36" i="94" s="1"/>
  <c r="L33" i="91"/>
  <c r="AX2" i="32"/>
  <c r="AZ2" i="32" s="1"/>
  <c r="BA2" i="32" s="1"/>
  <c r="AX3" i="32"/>
  <c r="AY3" i="32" s="1"/>
  <c r="J71" i="91"/>
  <c r="J69" i="91"/>
  <c r="J66" i="94"/>
  <c r="J69" i="95"/>
  <c r="R1" i="55"/>
  <c r="S1" i="55" s="1"/>
  <c r="AU9" i="93"/>
  <c r="L36" i="94" a="1"/>
  <c r="B9" i="32"/>
  <c r="AT35" i="93"/>
  <c r="AT33" i="93"/>
  <c r="AC133" i="99"/>
  <c r="R1" i="61"/>
  <c r="S1" i="61" s="1"/>
  <c r="J69" i="92"/>
  <c r="J67" i="92"/>
  <c r="J65" i="92"/>
  <c r="J67" i="95"/>
  <c r="J70" i="92"/>
  <c r="S8" i="93"/>
  <c r="AU9" i="91"/>
  <c r="L36" i="91" a="1"/>
  <c r="AG43" i="73"/>
  <c r="AG44" i="73"/>
  <c r="AG42" i="73"/>
  <c r="B36" i="92" a="1"/>
  <c r="B36" i="92" s="1"/>
  <c r="B9" i="94"/>
  <c r="AE1" i="52"/>
  <c r="J71" i="93"/>
  <c r="J69" i="93"/>
  <c r="J66" i="91"/>
  <c r="S8" i="94"/>
  <c r="AC156" i="99"/>
  <c r="AT17" i="94"/>
  <c r="L30" i="94" s="1"/>
  <c r="S10" i="94"/>
  <c r="AU9" i="94"/>
  <c r="T36" i="94" s="1" a="1"/>
  <c r="L36" i="95" a="1"/>
  <c r="E57" i="73" a="1"/>
  <c r="AU9" i="95"/>
  <c r="AU7" i="94"/>
  <c r="AX3" i="91"/>
  <c r="AY3" i="91" s="1"/>
  <c r="AX2" i="91"/>
  <c r="AZ2" i="91" s="1"/>
  <c r="BA2" i="91" s="1"/>
  <c r="J71" i="32"/>
  <c r="AE8" i="52"/>
  <c r="J66" i="32"/>
  <c r="J66" i="93"/>
  <c r="E41" i="73"/>
  <c r="G41" i="73" s="1"/>
  <c r="AX3" i="94"/>
  <c r="AY3" i="94" s="1"/>
  <c r="AX2" i="94"/>
  <c r="AZ2" i="94" s="1"/>
  <c r="BA2" i="94" s="1"/>
  <c r="AE2" i="52"/>
  <c r="J68" i="32"/>
  <c r="J65" i="94"/>
  <c r="J65" i="91"/>
  <c r="AB29" i="94"/>
  <c r="AB29" i="95"/>
  <c r="L38" i="92" a="1"/>
  <c r="L38" i="32" a="1"/>
  <c r="L38" i="95" a="1"/>
  <c r="AB29" i="91"/>
  <c r="AB29" i="32"/>
  <c r="B16" i="93"/>
  <c r="L38" i="93" a="1"/>
  <c r="AB29" i="93"/>
  <c r="AB29" i="92"/>
  <c r="L38" i="94" a="1"/>
  <c r="L38" i="91" a="1"/>
  <c r="B16" i="91"/>
  <c r="B16" i="32"/>
  <c r="B16" i="92"/>
  <c r="B16" i="94"/>
  <c r="B16" i="95"/>
  <c r="L36" i="93" a="1"/>
  <c r="I57" i="73" a="1"/>
  <c r="AT35" i="92"/>
  <c r="AT33" i="92"/>
  <c r="AC97" i="99"/>
  <c r="AX2" i="95"/>
  <c r="AZ2" i="95" s="1"/>
  <c r="BA2" i="95" s="1"/>
  <c r="AX3" i="95"/>
  <c r="AY3" i="95" s="1"/>
  <c r="L36" i="32" a="1"/>
  <c r="AC25" i="99"/>
  <c r="AT33" i="32"/>
  <c r="AT35" i="32"/>
  <c r="AX2" i="93"/>
  <c r="AZ2" i="93" s="1"/>
  <c r="BA2" i="93" s="1"/>
  <c r="AX3" i="93"/>
  <c r="AY3" i="93" s="1"/>
  <c r="P82" i="95" a="1"/>
  <c r="P82" i="95" s="1"/>
  <c r="AU19" i="95"/>
  <c r="AU19" i="94"/>
  <c r="AU19" i="32"/>
  <c r="AU19" i="93"/>
  <c r="AU19" i="91"/>
  <c r="AU19" i="92"/>
  <c r="J70" i="32"/>
  <c r="J70" i="94"/>
  <c r="J71" i="94"/>
  <c r="J65" i="93"/>
  <c r="M57" i="73" a="1"/>
  <c r="L33" i="32"/>
  <c r="Z42" i="96"/>
  <c r="Z21" i="96"/>
  <c r="Z53" i="96"/>
  <c r="Z48" i="96"/>
  <c r="Z61" i="96"/>
  <c r="Z40" i="96"/>
  <c r="Z11" i="96"/>
  <c r="Z14" i="96"/>
  <c r="Z44" i="96"/>
  <c r="Z23" i="96"/>
  <c r="Z12" i="96"/>
  <c r="Z18" i="96"/>
  <c r="Z63" i="96"/>
  <c r="Z16" i="96"/>
  <c r="Z26" i="96"/>
  <c r="Z35" i="96"/>
  <c r="Z30" i="96"/>
  <c r="Z17" i="96"/>
  <c r="Z57" i="96"/>
  <c r="Z56" i="96"/>
  <c r="Z62" i="96"/>
  <c r="Z41" i="96"/>
  <c r="Z45" i="96"/>
  <c r="Z29" i="96"/>
  <c r="Z25" i="96"/>
  <c r="Z10" i="96"/>
  <c r="Z54" i="96"/>
  <c r="Z60" i="96"/>
  <c r="Z50" i="96"/>
  <c r="Z31" i="96"/>
  <c r="Z49" i="96"/>
  <c r="Z36" i="96"/>
  <c r="Z33" i="96"/>
  <c r="Z52" i="96"/>
  <c r="Z19" i="96"/>
  <c r="Z39" i="96"/>
  <c r="Z47" i="96"/>
  <c r="Z20" i="96"/>
  <c r="Z9" i="96"/>
  <c r="Z46" i="96"/>
  <c r="Z59" i="96"/>
  <c r="Z7" i="96"/>
  <c r="Z27" i="96"/>
  <c r="Z28" i="96"/>
  <c r="Z37" i="96"/>
  <c r="Z55" i="96"/>
  <c r="Z24" i="96"/>
  <c r="Z15" i="96"/>
  <c r="Z64" i="96"/>
  <c r="Z34" i="96"/>
  <c r="Z43" i="96"/>
  <c r="Z51" i="96"/>
  <c r="Z22" i="96"/>
  <c r="Z8" i="96"/>
  <c r="Z32" i="96"/>
  <c r="Z58" i="96"/>
  <c r="Z13" i="96"/>
  <c r="Z38" i="96"/>
  <c r="P82" i="92" a="1"/>
  <c r="P82" i="92" s="1"/>
  <c r="P82" i="32" a="1"/>
  <c r="P82" i="32" s="1"/>
  <c r="J69" i="94"/>
  <c r="J65" i="95"/>
  <c r="J66" i="95"/>
  <c r="S8" i="92"/>
  <c r="AU9" i="92"/>
  <c r="B9" i="95"/>
  <c r="R1" i="63"/>
  <c r="S1" i="63" s="1"/>
  <c r="AB4" i="95"/>
  <c r="AU7" i="95"/>
  <c r="AD54" i="93" a="1"/>
  <c r="AD54" i="92" a="1"/>
  <c r="AD54" i="91" a="1"/>
  <c r="AD54" i="95" a="1"/>
  <c r="AD54" i="94" a="1"/>
  <c r="AD54" i="32" a="1"/>
  <c r="AA58" i="106" l="1"/>
  <c r="S10" i="32"/>
  <c r="AG58" i="106"/>
  <c r="AD31" i="107"/>
  <c r="AD89" i="94"/>
  <c r="AD92" i="94"/>
  <c r="AD95" i="94"/>
  <c r="AD86" i="94"/>
  <c r="AD54" i="94"/>
  <c r="AD57" i="94"/>
  <c r="AD60" i="94"/>
  <c r="AD64" i="94"/>
  <c r="AD66" i="94"/>
  <c r="AD69" i="94"/>
  <c r="AD72" i="94"/>
  <c r="AD63" i="94"/>
  <c r="AD78" i="94"/>
  <c r="AD81" i="94"/>
  <c r="AD84" i="94"/>
  <c r="AD75" i="94"/>
  <c r="AD90" i="94"/>
  <c r="AD93" i="94"/>
  <c r="AD96" i="94"/>
  <c r="AD87" i="94"/>
  <c r="AD55" i="94"/>
  <c r="AD58" i="94"/>
  <c r="AD61" i="94"/>
  <c r="AD76" i="94"/>
  <c r="AD67" i="94"/>
  <c r="AD70" i="94"/>
  <c r="AD73" i="94"/>
  <c r="AD79" i="94"/>
  <c r="AD82" i="94"/>
  <c r="AD85" i="94"/>
  <c r="AD91" i="94"/>
  <c r="AD94" i="94"/>
  <c r="AD97" i="94"/>
  <c r="AD56" i="94"/>
  <c r="AD59" i="94"/>
  <c r="AD88" i="94"/>
  <c r="AD65" i="94"/>
  <c r="AD68" i="94"/>
  <c r="AD71" i="94"/>
  <c r="AD62" i="94"/>
  <c r="AD77" i="94"/>
  <c r="AD80" i="94"/>
  <c r="AD83" i="94"/>
  <c r="AD74" i="94"/>
  <c r="AD91" i="95"/>
  <c r="AD94" i="95"/>
  <c r="AD73" i="95"/>
  <c r="AD56" i="95"/>
  <c r="AD59" i="95"/>
  <c r="AD85" i="95"/>
  <c r="AD65" i="95"/>
  <c r="AD68" i="95"/>
  <c r="AD71" i="95"/>
  <c r="AD97" i="95"/>
  <c r="AD77" i="95"/>
  <c r="AD80" i="95"/>
  <c r="AD83" i="95"/>
  <c r="AD62" i="95"/>
  <c r="AD89" i="95"/>
  <c r="AD92" i="95"/>
  <c r="AD95" i="95"/>
  <c r="AD74" i="95"/>
  <c r="AD54" i="95"/>
  <c r="AD57" i="95"/>
  <c r="AD88" i="95"/>
  <c r="AD86" i="95"/>
  <c r="AD66" i="95"/>
  <c r="AD69" i="95"/>
  <c r="AD60" i="95"/>
  <c r="AD63" i="95"/>
  <c r="AD78" i="95"/>
  <c r="AD81" i="95"/>
  <c r="AD72" i="95"/>
  <c r="AD75" i="95"/>
  <c r="AD90" i="95"/>
  <c r="AD93" i="95"/>
  <c r="AD84" i="95"/>
  <c r="AD87" i="95"/>
  <c r="AD55" i="95"/>
  <c r="AD58" i="95"/>
  <c r="AD96" i="95"/>
  <c r="AD64" i="95"/>
  <c r="AD67" i="95"/>
  <c r="AD70" i="95"/>
  <c r="AD76" i="95"/>
  <c r="AD79" i="95"/>
  <c r="AD82" i="95"/>
  <c r="AD61" i="95"/>
  <c r="AD77" i="91"/>
  <c r="AD56" i="91"/>
  <c r="AD83" i="91"/>
  <c r="AD74" i="91"/>
  <c r="AD89" i="91"/>
  <c r="AD68" i="91"/>
  <c r="AD95" i="91"/>
  <c r="AD86" i="91"/>
  <c r="AD54" i="91"/>
  <c r="AD80" i="91"/>
  <c r="AD60" i="91"/>
  <c r="AD88" i="91"/>
  <c r="AD66" i="91"/>
  <c r="AD92" i="91"/>
  <c r="AD72" i="91"/>
  <c r="AD63" i="91"/>
  <c r="AD78" i="91"/>
  <c r="AD70" i="91"/>
  <c r="AD84" i="91"/>
  <c r="AD75" i="91"/>
  <c r="AD90" i="91"/>
  <c r="AD57" i="91"/>
  <c r="AD96" i="91"/>
  <c r="AD87" i="91"/>
  <c r="AD94" i="91"/>
  <c r="AD69" i="91"/>
  <c r="AD61" i="91"/>
  <c r="AD76" i="91"/>
  <c r="AD55" i="91"/>
  <c r="AD81" i="91"/>
  <c r="AD73" i="91"/>
  <c r="AD67" i="91"/>
  <c r="AD93" i="91"/>
  <c r="AD85" i="91"/>
  <c r="AD79" i="91"/>
  <c r="AD82" i="91"/>
  <c r="AD97" i="91"/>
  <c r="AD91" i="91"/>
  <c r="AD59" i="91"/>
  <c r="AD64" i="91"/>
  <c r="AD65" i="91"/>
  <c r="AD58" i="91"/>
  <c r="AD71" i="91"/>
  <c r="AD62" i="91"/>
  <c r="AD55" i="92"/>
  <c r="AD58" i="92"/>
  <c r="AD84" i="92"/>
  <c r="AD67" i="92"/>
  <c r="AD70" i="92"/>
  <c r="AD96" i="92"/>
  <c r="AD79" i="92"/>
  <c r="AD82" i="92"/>
  <c r="AD86" i="92"/>
  <c r="AD65" i="92"/>
  <c r="AD91" i="92"/>
  <c r="AD94" i="92"/>
  <c r="AD61" i="92"/>
  <c r="AD77" i="92"/>
  <c r="AD56" i="92"/>
  <c r="AD87" i="92"/>
  <c r="AD73" i="92"/>
  <c r="AD89" i="92"/>
  <c r="AD68" i="92"/>
  <c r="AD59" i="92"/>
  <c r="AD85" i="92"/>
  <c r="AD75" i="92"/>
  <c r="AD80" i="92"/>
  <c r="AD71" i="92"/>
  <c r="AD97" i="92"/>
  <c r="AD54" i="92"/>
  <c r="AD92" i="92"/>
  <c r="AD83" i="92"/>
  <c r="AD74" i="92"/>
  <c r="AD66" i="92"/>
  <c r="AD57" i="92"/>
  <c r="AD95" i="92"/>
  <c r="AD64" i="92"/>
  <c r="AD78" i="92"/>
  <c r="AD69" i="92"/>
  <c r="AD62" i="92"/>
  <c r="AD76" i="92"/>
  <c r="AD90" i="92"/>
  <c r="AD81" i="92"/>
  <c r="AD60" i="92"/>
  <c r="AD88" i="92"/>
  <c r="AD63" i="92"/>
  <c r="AD93" i="92"/>
  <c r="AD72" i="92"/>
  <c r="AD78" i="93"/>
  <c r="AD69" i="93"/>
  <c r="AD95" i="93"/>
  <c r="AD64" i="93"/>
  <c r="AD90" i="93"/>
  <c r="AD81" i="93"/>
  <c r="AD72" i="93"/>
  <c r="AD76" i="93"/>
  <c r="AD55" i="93"/>
  <c r="AD93" i="93"/>
  <c r="AD61" i="93"/>
  <c r="AD88" i="93"/>
  <c r="AD67" i="93"/>
  <c r="AD84" i="93"/>
  <c r="AD73" i="93"/>
  <c r="AD79" i="93"/>
  <c r="AD58" i="93"/>
  <c r="AD85" i="93"/>
  <c r="AD91" i="93"/>
  <c r="AD70" i="93"/>
  <c r="AD97" i="93"/>
  <c r="AD56" i="93"/>
  <c r="AD82" i="93"/>
  <c r="AD62" i="93"/>
  <c r="AD65" i="93"/>
  <c r="AD68" i="93"/>
  <c r="AD94" i="93"/>
  <c r="AD74" i="93"/>
  <c r="AD77" i="93"/>
  <c r="AD80" i="93"/>
  <c r="AD60" i="93"/>
  <c r="AD86" i="93"/>
  <c r="AD89" i="93"/>
  <c r="AD92" i="93"/>
  <c r="AD59" i="93"/>
  <c r="AD63" i="93"/>
  <c r="AD54" i="93"/>
  <c r="AD96" i="93"/>
  <c r="AD71" i="93"/>
  <c r="AD75" i="93"/>
  <c r="AD66" i="93"/>
  <c r="AD57" i="93"/>
  <c r="AD83" i="93"/>
  <c r="AD87" i="93"/>
  <c r="T36" i="94"/>
  <c r="T43" i="94"/>
  <c r="T39" i="94"/>
  <c r="T42" i="94"/>
  <c r="T41" i="94"/>
  <c r="T37" i="94"/>
  <c r="T40" i="94"/>
  <c r="T38" i="94"/>
  <c r="T44" i="94"/>
  <c r="AT17" i="32"/>
  <c r="L30" i="32" s="1"/>
  <c r="O65" i="95"/>
  <c r="O69" i="95"/>
  <c r="O68" i="95"/>
  <c r="O67" i="95"/>
  <c r="O66" i="95"/>
  <c r="O71" i="95"/>
  <c r="O70" i="95"/>
  <c r="O65" i="91"/>
  <c r="O66" i="91"/>
  <c r="AJ13" i="99"/>
  <c r="S8" i="32"/>
  <c r="O67" i="94"/>
  <c r="O71" i="94"/>
  <c r="O70" i="94"/>
  <c r="O69" i="94"/>
  <c r="O68" i="94"/>
  <c r="O66" i="94"/>
  <c r="O65" i="94"/>
  <c r="O65" i="92" a="1"/>
  <c r="AD91" i="32"/>
  <c r="AD94" i="32"/>
  <c r="AD85" i="32"/>
  <c r="AD61" i="32"/>
  <c r="AD56" i="32"/>
  <c r="AD59" i="32"/>
  <c r="AD97" i="32"/>
  <c r="AD76" i="32"/>
  <c r="AD65" i="32"/>
  <c r="AD68" i="32"/>
  <c r="AD71" i="32"/>
  <c r="AD62" i="32"/>
  <c r="AD77" i="32"/>
  <c r="AD80" i="32"/>
  <c r="AD83" i="32"/>
  <c r="AD74" i="32"/>
  <c r="AD96" i="32"/>
  <c r="AD67" i="32"/>
  <c r="AD89" i="32"/>
  <c r="AD92" i="32"/>
  <c r="AD95" i="32"/>
  <c r="AD86" i="32"/>
  <c r="AD54" i="32"/>
  <c r="AD57" i="32"/>
  <c r="AD64" i="32"/>
  <c r="AD88" i="32"/>
  <c r="AD66" i="32"/>
  <c r="AD69" i="32"/>
  <c r="AD60" i="32"/>
  <c r="AD63" i="32"/>
  <c r="AD58" i="32"/>
  <c r="AD78" i="32"/>
  <c r="AD81" i="32"/>
  <c r="AD72" i="32"/>
  <c r="AD75" i="32"/>
  <c r="AD90" i="32"/>
  <c r="AD93" i="32"/>
  <c r="AD84" i="32"/>
  <c r="AD87" i="32"/>
  <c r="AD55" i="32"/>
  <c r="AD79" i="32"/>
  <c r="AD82" i="32"/>
  <c r="AD73" i="32"/>
  <c r="AD70" i="32"/>
  <c r="O65" i="32" a="1"/>
  <c r="L30" i="92"/>
  <c r="AD48" i="106"/>
  <c r="AE48" i="106" s="1"/>
  <c r="AC56" i="106"/>
  <c r="AC49" i="106"/>
  <c r="AC55" i="106" s="1"/>
  <c r="AA70" i="106" s="1"/>
  <c r="AT11" i="91"/>
  <c r="L30" i="91" s="1"/>
  <c r="L30" i="93"/>
  <c r="P1" i="63" a="1"/>
  <c r="P1" i="63" s="1"/>
  <c r="L36" i="93"/>
  <c r="M36" i="93"/>
  <c r="L36" i="91"/>
  <c r="M36" i="91"/>
  <c r="W57" i="99"/>
  <c r="AC51" i="99"/>
  <c r="W56" i="99" s="1"/>
  <c r="W93" i="99"/>
  <c r="AC87" i="99"/>
  <c r="W92" i="99" s="1"/>
  <c r="L38" i="93"/>
  <c r="M38" i="93" s="1"/>
  <c r="L42" i="93"/>
  <c r="L41" i="93"/>
  <c r="L40" i="93"/>
  <c r="L39" i="93"/>
  <c r="AB23" i="57"/>
  <c r="DN4" i="57"/>
  <c r="AZ21" i="92"/>
  <c r="AY21" i="92"/>
  <c r="S18" i="92"/>
  <c r="DN3" i="57"/>
  <c r="AV7" i="92"/>
  <c r="DN3" i="61"/>
  <c r="AB23" i="61"/>
  <c r="AV7" i="94"/>
  <c r="S18" i="94"/>
  <c r="AZ21" i="94"/>
  <c r="DN4" i="61"/>
  <c r="AY21" i="94"/>
  <c r="L36" i="94"/>
  <c r="M36" i="94"/>
  <c r="P1" i="57" a="1"/>
  <c r="P1" i="57" s="1"/>
  <c r="W201" i="99"/>
  <c r="AC195" i="99"/>
  <c r="W200" i="99" s="1"/>
  <c r="W129" i="99"/>
  <c r="AC123" i="99"/>
  <c r="W128" i="99" s="1"/>
  <c r="L36" i="32"/>
  <c r="M36" i="32"/>
  <c r="E58" i="73"/>
  <c r="E98" i="73"/>
  <c r="E61" i="73"/>
  <c r="E96" i="73"/>
  <c r="E87" i="73"/>
  <c r="E78" i="73"/>
  <c r="E99" i="73"/>
  <c r="E86" i="73"/>
  <c r="E84" i="73"/>
  <c r="E94" i="73"/>
  <c r="E63" i="73"/>
  <c r="E93" i="73"/>
  <c r="E74" i="73"/>
  <c r="E72" i="73"/>
  <c r="E95" i="73"/>
  <c r="E82" i="73"/>
  <c r="E92" i="73"/>
  <c r="E81" i="73"/>
  <c r="E89" i="73"/>
  <c r="E62" i="73"/>
  <c r="E60" i="73"/>
  <c r="E83" i="73"/>
  <c r="E70" i="73"/>
  <c r="E90" i="73"/>
  <c r="E80" i="73"/>
  <c r="E69" i="73"/>
  <c r="E77" i="73"/>
  <c r="E71" i="73"/>
  <c r="E75" i="73"/>
  <c r="E67" i="73"/>
  <c r="E57" i="73"/>
  <c r="E65" i="73"/>
  <c r="E59" i="73"/>
  <c r="E68" i="73"/>
  <c r="E100" i="73"/>
  <c r="E88" i="73"/>
  <c r="E79" i="73"/>
  <c r="E73" i="73"/>
  <c r="E66" i="73"/>
  <c r="E91" i="73"/>
  <c r="E76" i="73"/>
  <c r="E97" i="73"/>
  <c r="E64" i="73"/>
  <c r="E85" i="73"/>
  <c r="P1" i="55" a="1"/>
  <c r="P1" i="55" s="1"/>
  <c r="DN4" i="50"/>
  <c r="AZ21" i="32"/>
  <c r="AV7" i="32"/>
  <c r="AY21" i="32"/>
  <c r="AB23" i="50"/>
  <c r="DN3" i="50"/>
  <c r="S18" i="32"/>
  <c r="L36" i="95"/>
  <c r="M36" i="95"/>
  <c r="L36" i="92"/>
  <c r="M36" i="92"/>
  <c r="AB23" i="59"/>
  <c r="DN4" i="59"/>
  <c r="DN3" i="59"/>
  <c r="AZ21" i="93"/>
  <c r="AV7" i="93"/>
  <c r="AY21" i="93"/>
  <c r="S18" i="93"/>
  <c r="P1" i="50" a="1"/>
  <c r="P1" i="50" s="1"/>
  <c r="W21" i="99"/>
  <c r="AC15" i="99"/>
  <c r="W20" i="99" s="1"/>
  <c r="I67" i="73"/>
  <c r="I64" i="73"/>
  <c r="I80" i="73"/>
  <c r="I96" i="73"/>
  <c r="I85" i="73"/>
  <c r="I68" i="73"/>
  <c r="I72" i="73"/>
  <c r="I73" i="73"/>
  <c r="I94" i="73"/>
  <c r="I63" i="73"/>
  <c r="I89" i="73"/>
  <c r="I61" i="73"/>
  <c r="I82" i="73"/>
  <c r="I65" i="73"/>
  <c r="I70" i="73"/>
  <c r="I58" i="73"/>
  <c r="I93" i="73"/>
  <c r="I91" i="73"/>
  <c r="I77" i="73"/>
  <c r="I99" i="73"/>
  <c r="I95" i="73"/>
  <c r="I81" i="73"/>
  <c r="I79" i="73"/>
  <c r="I87" i="73"/>
  <c r="I84" i="73"/>
  <c r="I75" i="73"/>
  <c r="I71" i="73"/>
  <c r="I90" i="73"/>
  <c r="I98" i="73"/>
  <c r="I69" i="73"/>
  <c r="I76" i="73"/>
  <c r="I60" i="73"/>
  <c r="I78" i="73"/>
  <c r="I86" i="73"/>
  <c r="I57" i="73"/>
  <c r="I66" i="73"/>
  <c r="I74" i="73"/>
  <c r="I92" i="73"/>
  <c r="I62" i="73"/>
  <c r="I97" i="73"/>
  <c r="I88" i="73"/>
  <c r="I83" i="73"/>
  <c r="I100" i="73"/>
  <c r="I59" i="73"/>
  <c r="L38" i="91"/>
  <c r="M38" i="91" s="1"/>
  <c r="L42" i="91"/>
  <c r="L41" i="91"/>
  <c r="L40" i="91"/>
  <c r="L39" i="91"/>
  <c r="L42" i="32"/>
  <c r="L39" i="32"/>
  <c r="L40" i="32"/>
  <c r="L38" i="32"/>
  <c r="M38" i="32" s="1"/>
  <c r="L41" i="32"/>
  <c r="AZ21" i="91"/>
  <c r="AB23" i="55"/>
  <c r="AY21" i="91"/>
  <c r="DN4" i="55"/>
  <c r="DN3" i="55"/>
  <c r="S18" i="91"/>
  <c r="AV7" i="91"/>
  <c r="P1" i="59" a="1"/>
  <c r="P1" i="59" s="1"/>
  <c r="L38" i="95"/>
  <c r="M38" i="95" s="1"/>
  <c r="L42" i="95"/>
  <c r="L41" i="95"/>
  <c r="L40" i="95"/>
  <c r="L39" i="95"/>
  <c r="W165" i="99"/>
  <c r="AC159" i="99"/>
  <c r="W164" i="99" s="1"/>
  <c r="L38" i="92"/>
  <c r="M38" i="92" s="1"/>
  <c r="L42" i="92"/>
  <c r="L41" i="92"/>
  <c r="L40" i="92"/>
  <c r="L39" i="92"/>
  <c r="L42" i="94"/>
  <c r="L41" i="94"/>
  <c r="L40" i="94"/>
  <c r="L39" i="94"/>
  <c r="L38" i="94"/>
  <c r="M38" i="94" s="1"/>
  <c r="DN3" i="63"/>
  <c r="AB23" i="63"/>
  <c r="AV7" i="95"/>
  <c r="S18" i="95"/>
  <c r="DN4" i="63"/>
  <c r="AZ21" i="95"/>
  <c r="AY21" i="95"/>
  <c r="M64" i="73"/>
  <c r="M73" i="73"/>
  <c r="M97" i="73"/>
  <c r="M63" i="73"/>
  <c r="M71" i="73"/>
  <c r="M68" i="73"/>
  <c r="M59" i="73"/>
  <c r="M93" i="73"/>
  <c r="M75" i="73"/>
  <c r="M72" i="73"/>
  <c r="M60" i="73"/>
  <c r="M94" i="73"/>
  <c r="M83" i="73"/>
  <c r="M86" i="73"/>
  <c r="M85" i="73"/>
  <c r="M82" i="73"/>
  <c r="M70" i="73"/>
  <c r="M91" i="73"/>
  <c r="M84" i="73"/>
  <c r="M98" i="73"/>
  <c r="M74" i="73"/>
  <c r="M58" i="73"/>
  <c r="M79" i="73"/>
  <c r="M89" i="73"/>
  <c r="M100" i="73"/>
  <c r="M69" i="73"/>
  <c r="M96" i="73"/>
  <c r="M92" i="73"/>
  <c r="M62" i="73"/>
  <c r="M67" i="73"/>
  <c r="M77" i="73"/>
  <c r="M88" i="73"/>
  <c r="M81" i="73"/>
  <c r="M80" i="73"/>
  <c r="M61" i="73"/>
  <c r="M57" i="73"/>
  <c r="M90" i="73"/>
  <c r="M65" i="73"/>
  <c r="M76" i="73"/>
  <c r="M99" i="73"/>
  <c r="M78" i="73"/>
  <c r="M87" i="73"/>
  <c r="M95" i="73"/>
  <c r="M66" i="73"/>
  <c r="P1" i="61" a="1"/>
  <c r="P1" i="61" s="1"/>
  <c r="O65" i="92" l="1"/>
  <c r="O71" i="92"/>
  <c r="O70" i="92"/>
  <c r="O69" i="92"/>
  <c r="O68" i="92"/>
  <c r="O67" i="92"/>
  <c r="O66" i="92"/>
  <c r="O65" i="32"/>
  <c r="O66" i="32"/>
  <c r="O69" i="32"/>
  <c r="O71" i="32"/>
  <c r="O70" i="32"/>
  <c r="O68" i="32"/>
  <c r="O67" i="32"/>
  <c r="AD72" i="106"/>
  <c r="AA72" i="106" s="1"/>
  <c r="AD71" i="106"/>
  <c r="AA71" i="106" s="1"/>
  <c r="Z70" i="106"/>
  <c r="P36" i="93" a="1"/>
  <c r="P36" i="93" s="1"/>
  <c r="P36" i="91" a="1"/>
  <c r="P36" i="91" s="1"/>
  <c r="P36" i="92" a="1"/>
  <c r="P36" i="92" s="1"/>
  <c r="P36" i="94" a="1"/>
  <c r="P36" i="94" s="1"/>
  <c r="AH5" i="71"/>
  <c r="AD42" i="92"/>
  <c r="AD44" i="92"/>
  <c r="AD44" i="91"/>
  <c r="AD42" i="91"/>
  <c r="AD42" i="32"/>
  <c r="AD44" i="32"/>
  <c r="AD42" i="94"/>
  <c r="T48" i="94" s="1"/>
  <c r="AD44" i="94"/>
  <c r="AD42" i="95"/>
  <c r="AD44" i="95"/>
  <c r="P36" i="95" a="1"/>
  <c r="P36" i="95" s="1"/>
  <c r="P36" i="32" a="1"/>
  <c r="P36" i="32" s="1"/>
  <c r="AD44" i="93"/>
  <c r="AD42" i="93"/>
  <c r="T36" i="95" a="1"/>
  <c r="T36" i="93" a="1"/>
  <c r="T36" i="92" a="1"/>
  <c r="T36" i="91" a="1"/>
  <c r="T36" i="32" a="1"/>
  <c r="T36" i="95" l="1"/>
  <c r="T44" i="95"/>
  <c r="T37" i="95"/>
  <c r="T43" i="95"/>
  <c r="T41" i="95"/>
  <c r="T42" i="95"/>
  <c r="T40" i="95"/>
  <c r="T39" i="95"/>
  <c r="T38" i="95"/>
  <c r="T48" i="95"/>
  <c r="T36" i="93"/>
  <c r="T41" i="93"/>
  <c r="T39" i="93"/>
  <c r="T38" i="93"/>
  <c r="T43" i="93"/>
  <c r="T40" i="93"/>
  <c r="T44" i="93"/>
  <c r="T42" i="93"/>
  <c r="T37" i="93"/>
  <c r="T48" i="93"/>
  <c r="T41" i="91"/>
  <c r="T38" i="91"/>
  <c r="T40" i="91"/>
  <c r="T44" i="91"/>
  <c r="T43" i="91"/>
  <c r="T37" i="91"/>
  <c r="T39" i="91"/>
  <c r="T36" i="91"/>
  <c r="T42" i="91"/>
  <c r="T48" i="91"/>
  <c r="T36" i="92"/>
  <c r="T37" i="92"/>
  <c r="T38" i="92"/>
  <c r="T39" i="92"/>
  <c r="T40" i="92"/>
  <c r="T41" i="92"/>
  <c r="T42" i="92"/>
  <c r="T43" i="92"/>
  <c r="T44" i="92"/>
  <c r="T37" i="32"/>
  <c r="T38" i="32"/>
  <c r="T43" i="32"/>
  <c r="T44" i="32"/>
  <c r="T42" i="32"/>
  <c r="T40" i="32"/>
  <c r="T39" i="32"/>
  <c r="T36" i="32"/>
  <c r="T41" i="32"/>
  <c r="T48" i="32"/>
  <c r="T48" i="92"/>
  <c r="AF71" i="106"/>
  <c r="AH69" i="106" s="1"/>
  <c r="U2" i="106" s="1"/>
  <c r="AH6" i="71" s="1"/>
  <c r="AB9" i="71" s="1"/>
  <c r="AU31" i="91"/>
  <c r="AF40" i="91"/>
  <c r="AE40" i="91" s="1"/>
  <c r="AF39" i="91"/>
  <c r="AE39" i="91" s="1"/>
  <c r="AF37" i="91"/>
  <c r="AF38" i="91"/>
  <c r="AE38" i="91" s="1"/>
  <c r="AF36" i="91"/>
  <c r="AF38" i="95"/>
  <c r="AE38" i="95" s="1"/>
  <c r="AF36" i="95"/>
  <c r="AF40" i="95"/>
  <c r="AE40" i="95" s="1"/>
  <c r="AU31" i="95"/>
  <c r="AF39" i="95"/>
  <c r="AE39" i="95" s="1"/>
  <c r="AF37" i="95"/>
  <c r="AU31" i="32"/>
  <c r="AF37" i="32"/>
  <c r="AF38" i="32"/>
  <c r="AE38" i="32" s="1"/>
  <c r="AF40" i="32"/>
  <c r="AE40" i="32" s="1"/>
  <c r="AF39" i="32"/>
  <c r="AE39" i="32" s="1"/>
  <c r="AF36" i="32"/>
  <c r="AU31" i="94"/>
  <c r="AF40" i="94"/>
  <c r="AE40" i="94" s="1"/>
  <c r="AF39" i="94"/>
  <c r="AE39" i="94" s="1"/>
  <c r="AF37" i="94"/>
  <c r="AF38" i="94"/>
  <c r="AE38" i="94" s="1"/>
  <c r="AF36" i="94"/>
  <c r="AF36" i="92"/>
  <c r="AU31" i="92"/>
  <c r="AF40" i="92"/>
  <c r="AE40" i="92" s="1"/>
  <c r="AF39" i="92"/>
  <c r="AE39" i="92" s="1"/>
  <c r="AF37" i="92"/>
  <c r="AF38" i="92"/>
  <c r="AE38" i="92" s="1"/>
  <c r="AF39" i="93"/>
  <c r="AE39" i="93" s="1"/>
  <c r="AF37" i="93"/>
  <c r="AF38" i="93"/>
  <c r="AE38" i="93" s="1"/>
  <c r="AF36" i="93"/>
  <c r="AU31" i="93"/>
  <c r="AF40" i="93"/>
  <c r="AE40" i="93" s="1"/>
  <c r="AH7" i="71" l="1"/>
  <c r="X4" i="99" s="1"/>
  <c r="A10" i="9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<sst xmlns="http://schemas.openxmlformats.org/spreadsheetml/2006/main" count="21492" uniqueCount="4624">
  <si>
    <t>45° clip</t>
  </si>
  <si>
    <t>FGV</t>
  </si>
  <si>
    <t>BLUM</t>
  </si>
  <si>
    <t xml:space="preserve">Šířka </t>
  </si>
  <si>
    <t>Počet kusů</t>
  </si>
  <si>
    <t>Typ skla</t>
  </si>
  <si>
    <t>Sklo</t>
  </si>
  <si>
    <t>Posuvné rámečky</t>
  </si>
  <si>
    <t>Podložky</t>
  </si>
  <si>
    <t>Szerokość</t>
  </si>
  <si>
    <t>Wysokość</t>
  </si>
  <si>
    <t>Numer zamówienia</t>
  </si>
  <si>
    <t>Rodzaj szkła</t>
  </si>
  <si>
    <t>Ilość sztuk</t>
  </si>
  <si>
    <t>Výška</t>
  </si>
  <si>
    <t>Cena celkem</t>
  </si>
  <si>
    <t>Cena rámečků celkem</t>
  </si>
  <si>
    <t>Cena kování celkem</t>
  </si>
  <si>
    <t>Kurz</t>
  </si>
  <si>
    <t>Název</t>
  </si>
  <si>
    <t>Cena CZ</t>
  </si>
  <si>
    <t>Cena SK</t>
  </si>
  <si>
    <t>Cena PL</t>
  </si>
  <si>
    <t>Cena HU</t>
  </si>
  <si>
    <t>Profil</t>
  </si>
  <si>
    <t>ZC nová/profil</t>
  </si>
  <si>
    <t>ZC nová/konst.</t>
  </si>
  <si>
    <t>BRW</t>
  </si>
  <si>
    <t>ZC nová</t>
  </si>
  <si>
    <t>Lacobel RAL 1015</t>
  </si>
  <si>
    <t>Lacobel RAL 9010</t>
  </si>
  <si>
    <t>Lacobel REF 1236</t>
  </si>
  <si>
    <t>Lacobel RAL 7035</t>
  </si>
  <si>
    <t>Lacobel REF 0337</t>
  </si>
  <si>
    <t>Lacobel REF 0627</t>
  </si>
  <si>
    <t>Lacobel RAL 1013</t>
  </si>
  <si>
    <t>Lacobel RAL 9003</t>
  </si>
  <si>
    <t>Lacobel RAL 9006</t>
  </si>
  <si>
    <t>Lacobel RAL 9005</t>
  </si>
  <si>
    <t>Lacobel REF 1586</t>
  </si>
  <si>
    <t>Matelac RAL 9003</t>
  </si>
  <si>
    <t>Matelac RAL 9005</t>
  </si>
  <si>
    <t>čeština</t>
  </si>
  <si>
    <t>Slovenština</t>
  </si>
  <si>
    <t>Polština</t>
  </si>
  <si>
    <t>Maďarština</t>
  </si>
  <si>
    <t>Matelac zrcadlo bronz</t>
  </si>
  <si>
    <t>Matelac zrcadlo stříbr.</t>
  </si>
  <si>
    <t>Matelac zrcadlo grafit</t>
  </si>
  <si>
    <t>Cena za kompletní objednávku</t>
  </si>
  <si>
    <t>Typ kování</t>
  </si>
  <si>
    <t>Spodní dvířko</t>
  </si>
  <si>
    <t>Horní dvířko</t>
  </si>
  <si>
    <t>AVENTOS HF</t>
  </si>
  <si>
    <t>AVENTOS HKS</t>
  </si>
  <si>
    <t>AVENTOS HL</t>
  </si>
  <si>
    <t>AVENTOS HS</t>
  </si>
  <si>
    <t>STRONG</t>
  </si>
  <si>
    <t>92590T</t>
  </si>
  <si>
    <t>92580T</t>
  </si>
  <si>
    <t>92581T</t>
  </si>
  <si>
    <t>92582T</t>
  </si>
  <si>
    <t>92594T</t>
  </si>
  <si>
    <t>92591T</t>
  </si>
  <si>
    <t>Naložený clip</t>
  </si>
  <si>
    <t>Polonaložený clip</t>
  </si>
  <si>
    <t>Vložený clip</t>
  </si>
  <si>
    <t>Úhel 45°</t>
  </si>
  <si>
    <t>Naložený</t>
  </si>
  <si>
    <t>Polonaložený</t>
  </si>
  <si>
    <t>Vložený</t>
  </si>
  <si>
    <t>Naložený s opačnou pružinou</t>
  </si>
  <si>
    <t>Vložený s opačnou pružinou</t>
  </si>
  <si>
    <t>Naložený bez pružiny</t>
  </si>
  <si>
    <t>PL</t>
  </si>
  <si>
    <t>HU</t>
  </si>
  <si>
    <t>92593T</t>
  </si>
  <si>
    <t>92592T</t>
  </si>
  <si>
    <t>Naložený pro Blumotion</t>
  </si>
  <si>
    <t>45° clip polonaložený</t>
  </si>
  <si>
    <t>45° clip naložený</t>
  </si>
  <si>
    <t>Naložený bez pružiny (TIP-ON)</t>
  </si>
  <si>
    <t>Clip na vrut</t>
  </si>
  <si>
    <t>Clip na eurošroub</t>
  </si>
  <si>
    <t xml:space="preserve">Zvýšená o 6 mm </t>
  </si>
  <si>
    <t>Clip na vrut H0</t>
  </si>
  <si>
    <t xml:space="preserve">Clip na eurošroub H0 </t>
  </si>
  <si>
    <t>Clip na vrut H2</t>
  </si>
  <si>
    <t>Clip na vrut H4</t>
  </si>
  <si>
    <t>Clip na eurošroub H2</t>
  </si>
  <si>
    <t>Clip na eurošroub H4</t>
  </si>
  <si>
    <t>Slide on na vrut H2</t>
  </si>
  <si>
    <t>Slide on na vrut H4</t>
  </si>
  <si>
    <t>Slide on na eurošroub H2</t>
  </si>
  <si>
    <t>Slide on na eurošroub H4</t>
  </si>
  <si>
    <t>Výrobce závěsů</t>
  </si>
  <si>
    <t>Typ závěsů</t>
  </si>
  <si>
    <t>Typ Aventosu</t>
  </si>
  <si>
    <t>Typ podložky</t>
  </si>
  <si>
    <t>Dodat včetně uvedeného kování</t>
  </si>
  <si>
    <t>Zvedací písty</t>
  </si>
  <si>
    <t>Vlevo</t>
  </si>
  <si>
    <t xml:space="preserve">Vpravo </t>
  </si>
  <si>
    <t>2 Kusy (obě strany)</t>
  </si>
  <si>
    <t>Výběr pozice rámečku</t>
  </si>
  <si>
    <t>Úzký ALU rámeček</t>
  </si>
  <si>
    <t>Široký ALU rámeček</t>
  </si>
  <si>
    <t>MDF tloušťky 18 mm</t>
  </si>
  <si>
    <t>MDF tloušťky 16 mm</t>
  </si>
  <si>
    <t>DTDL tloušťky 18 mm</t>
  </si>
  <si>
    <t>Umístění závěsů</t>
  </si>
  <si>
    <t>Nahoře</t>
  </si>
  <si>
    <t>Dole</t>
  </si>
  <si>
    <t>CZ</t>
  </si>
  <si>
    <t>SK</t>
  </si>
  <si>
    <t>Provedení druhého dvířka</t>
  </si>
  <si>
    <t>Vzdálenost závěsu od kraje</t>
  </si>
  <si>
    <t>Vyplňte pouze pokud nebude vrtání symetricky na střed</t>
  </si>
  <si>
    <t>Objednávkový formulář ALU rámečků</t>
  </si>
  <si>
    <t>IČ:</t>
  </si>
  <si>
    <t>Zákazník</t>
  </si>
  <si>
    <t>Adresa provozovny</t>
  </si>
  <si>
    <t>Kontaktní tel.</t>
  </si>
  <si>
    <t>Kontaktní e-mail</t>
  </si>
  <si>
    <t>Sleva na rámečky</t>
  </si>
  <si>
    <t>Sleva na kování</t>
  </si>
  <si>
    <t>barva</t>
  </si>
  <si>
    <t>RAL 1015</t>
  </si>
  <si>
    <t>RAL 5002</t>
  </si>
  <si>
    <t>RAL 9010</t>
  </si>
  <si>
    <t>RAL 9003</t>
  </si>
  <si>
    <t>RAL 9006</t>
  </si>
  <si>
    <t>RAL 2001</t>
  </si>
  <si>
    <t>RAL 3004</t>
  </si>
  <si>
    <t>RAL 9005</t>
  </si>
  <si>
    <t>RAL 4006</t>
  </si>
  <si>
    <t>REF 1586</t>
  </si>
  <si>
    <t>REF 1236</t>
  </si>
  <si>
    <t>RAL 7035</t>
  </si>
  <si>
    <t>REF 0337</t>
  </si>
  <si>
    <t>REF 0627</t>
  </si>
  <si>
    <t>RAL 8017</t>
  </si>
  <si>
    <t>RAL 1013</t>
  </si>
  <si>
    <t>RAL 1014</t>
  </si>
  <si>
    <t>Barevné náhledy u jednotlivých názvů RAL a REF jsou pouze orientační!!!!</t>
  </si>
  <si>
    <t>Číslo objednávky</t>
  </si>
  <si>
    <t>45 mm</t>
  </si>
  <si>
    <t>Počet dvířek</t>
  </si>
  <si>
    <t>Standardně je objednávka dodána včetně kování a vodících profilů</t>
  </si>
  <si>
    <t>Typ profilu</t>
  </si>
  <si>
    <t>LACOBEL</t>
  </si>
  <si>
    <t>MATELAC</t>
  </si>
  <si>
    <t xml:space="preserve">Při vyplňování formuláře postupujte vždy shora dolů. Provedete li zpětně změnu, překontrolujte zda jsou následující položky správně. </t>
  </si>
  <si>
    <t>Počet kusov</t>
  </si>
  <si>
    <t>Šírka</t>
  </si>
  <si>
    <t>Cena rámčekov celkom</t>
  </si>
  <si>
    <t>Cena kovania celkom</t>
  </si>
  <si>
    <t>Cena za kompletnú objednávku</t>
  </si>
  <si>
    <t>Horné dvierko</t>
  </si>
  <si>
    <t>Spodné dvierko</t>
  </si>
  <si>
    <t>Uhol 45°</t>
  </si>
  <si>
    <t xml:space="preserve">Naložený </t>
  </si>
  <si>
    <t xml:space="preserve">Polonaložený </t>
  </si>
  <si>
    <t xml:space="preserve">Vložený </t>
  </si>
  <si>
    <t>Clip na skrutku H2</t>
  </si>
  <si>
    <t>Clip na skrutku H4</t>
  </si>
  <si>
    <t>Clip na euroskrutku H2</t>
  </si>
  <si>
    <t>Clip na euroskrutku H4</t>
  </si>
  <si>
    <t>Slide on na skrutku H2</t>
  </si>
  <si>
    <t>Slide on na skrutku H4</t>
  </si>
  <si>
    <t>Slide on na eurosktutku H2</t>
  </si>
  <si>
    <t>Slide on na eurosktutku H4</t>
  </si>
  <si>
    <t>Naložený pre Blumotion</t>
  </si>
  <si>
    <t>45°clip naložený</t>
  </si>
  <si>
    <t>Naložený bez pružiny(TIP-ON)</t>
  </si>
  <si>
    <t>Clip na euroskrutku</t>
  </si>
  <si>
    <t>Clip na skrutku</t>
  </si>
  <si>
    <t>Zvýšená o 6 mm</t>
  </si>
  <si>
    <t xml:space="preserve">45°clip </t>
  </si>
  <si>
    <t>Clip na euroskrutku H0</t>
  </si>
  <si>
    <t>Clip na skrutku H0</t>
  </si>
  <si>
    <t>Výber pozície rámčeku</t>
  </si>
  <si>
    <t>Výrobca závesov</t>
  </si>
  <si>
    <t>Typ závesov</t>
  </si>
  <si>
    <t>Počet závesov na 1 rámček</t>
  </si>
  <si>
    <t>Zdvíhacie piesty</t>
  </si>
  <si>
    <t>Dodať vrátane uvedeného kovania</t>
  </si>
  <si>
    <t>Vpravo</t>
  </si>
  <si>
    <t>Vľavo</t>
  </si>
  <si>
    <t>2 Kusy (obe strany)</t>
  </si>
  <si>
    <t>Vyhotovenie druhého dvierka</t>
  </si>
  <si>
    <t>Úzky ALU rámček</t>
  </si>
  <si>
    <t>Široký ALU rámček</t>
  </si>
  <si>
    <t>MDF hrúbky 16 mm</t>
  </si>
  <si>
    <t>MDF hrúbky 18 mm</t>
  </si>
  <si>
    <t>DTDL hrúbky 18 mm</t>
  </si>
  <si>
    <t>Umiestnenie závesov</t>
  </si>
  <si>
    <t>Hore</t>
  </si>
  <si>
    <t>Vzdialenosť závesu od kraja</t>
  </si>
  <si>
    <t>Vyplňte iba ak nebude vŕtanie symetricky na stred</t>
  </si>
  <si>
    <t>Objednávkový formulár ALU rámčekov</t>
  </si>
  <si>
    <t>Cena celkom</t>
  </si>
  <si>
    <t>Kontaktný tel.</t>
  </si>
  <si>
    <t>Kontaktný e -mail</t>
  </si>
  <si>
    <t>Adresa prevádzky</t>
  </si>
  <si>
    <t>Zľava na rámčeky</t>
  </si>
  <si>
    <t>Zľava na kovanie</t>
  </si>
  <si>
    <t>Pri vyplňaní formulára postupujte vždy zhora nadol. Ak urobíte spätne zmenu, prekontrolujte či sú nasledovné položky správne.</t>
  </si>
  <si>
    <t>Typ kovania</t>
  </si>
  <si>
    <t>Farebné náhľady u jednotlivých názvov RAL a REF sú len orientačné !!!</t>
  </si>
  <si>
    <t>Uwagi (notatki)</t>
  </si>
  <si>
    <t>Cena ramek</t>
  </si>
  <si>
    <t>Cena okuć</t>
  </si>
  <si>
    <t>Cena za kompletne zamówienie</t>
  </si>
  <si>
    <t>Górne drzwi</t>
  </si>
  <si>
    <t>Dolne drzwi</t>
  </si>
  <si>
    <t>Nakładany Clip</t>
  </si>
  <si>
    <t>Półnakładany Clip</t>
  </si>
  <si>
    <t>Wpuszczany Clip</t>
  </si>
  <si>
    <t>Kąt 45°</t>
  </si>
  <si>
    <t>Nakładany</t>
  </si>
  <si>
    <t>Półnakładany</t>
  </si>
  <si>
    <t xml:space="preserve">Wpuszczany </t>
  </si>
  <si>
    <t>Nakładany z odwrotną funkcją sprężyny</t>
  </si>
  <si>
    <t>Wpuszczany z odwrotną funkcją sprężyny</t>
  </si>
  <si>
    <t>Clip na wkręt H2</t>
  </si>
  <si>
    <t>Clip na wkręt H4</t>
  </si>
  <si>
    <t>Clip na wkręt euro H2</t>
  </si>
  <si>
    <t>Clip na wkręt euro H4</t>
  </si>
  <si>
    <t>Slide on na wkręt H2</t>
  </si>
  <si>
    <t>Slide on na wkręt H4</t>
  </si>
  <si>
    <t>Slide on na euro wkręt H2</t>
  </si>
  <si>
    <t>Slide on na euro wkręt H4</t>
  </si>
  <si>
    <t>Nakładany do Blumotion</t>
  </si>
  <si>
    <t>45° clip nakładany</t>
  </si>
  <si>
    <t>45° clip półnakładany</t>
  </si>
  <si>
    <t xml:space="preserve">Nakładany bez sprężyny </t>
  </si>
  <si>
    <t>Nakładany bez sprężyny (TIP-ON)</t>
  </si>
  <si>
    <t xml:space="preserve">Clip na wkręt euro </t>
  </si>
  <si>
    <t>Clip na wkręt</t>
  </si>
  <si>
    <t xml:space="preserve">Clip na wkręt euro H0 </t>
  </si>
  <si>
    <t>Clip na wkręt H0</t>
  </si>
  <si>
    <t>Marka zawiasu</t>
  </si>
  <si>
    <t>Rodzaj zawiasu</t>
  </si>
  <si>
    <t>Rodzaj Aventosu</t>
  </si>
  <si>
    <t>Rodzaj prowadnika</t>
  </si>
  <si>
    <t>Ilość zawiasów na 1 ramkę</t>
  </si>
  <si>
    <t>Podnośniki gazowe</t>
  </si>
  <si>
    <t>W prawo</t>
  </si>
  <si>
    <t>W lewo</t>
  </si>
  <si>
    <t>2 sztuki (obydwie strony)</t>
  </si>
  <si>
    <t>Wąska ALU ramka</t>
  </si>
  <si>
    <t>Szeroka ALU ramka</t>
  </si>
  <si>
    <t>MDF grubość 16mm</t>
  </si>
  <si>
    <t>MDF grubość 18mm</t>
  </si>
  <si>
    <t>Umieszczenie zawiasu</t>
  </si>
  <si>
    <t>Odległość zawiasu od krawędzi</t>
  </si>
  <si>
    <t>Formularz zamówienia ramek aluminiowych</t>
  </si>
  <si>
    <t>Formularz należy wypełniać od góry do dołu. Po ewentualnej zmianie proszę skontrolować poprawność wprowadzonych danych.</t>
  </si>
  <si>
    <t>Suma</t>
  </si>
  <si>
    <t>Klient</t>
  </si>
  <si>
    <t>Telefon kontaktowy</t>
  </si>
  <si>
    <t>Adres e-mail</t>
  </si>
  <si>
    <t>Adres oddziału</t>
  </si>
  <si>
    <t>NIP</t>
  </si>
  <si>
    <t>Rabat na ramki</t>
  </si>
  <si>
    <t>Rabat na okucia</t>
  </si>
  <si>
    <t>Matelac lustro bronz</t>
  </si>
  <si>
    <t>Matelac lustro grafit</t>
  </si>
  <si>
    <t>Matelac zrkadlo bronz</t>
  </si>
  <si>
    <t>Matelac zrkadlo grafit</t>
  </si>
  <si>
    <t xml:space="preserve">Vyplňte pouze pokud nebude vrtání symetricky na střed </t>
  </si>
  <si>
    <t>Typ okucia</t>
  </si>
  <si>
    <t>Rodzaj drugiej ramki</t>
  </si>
  <si>
    <t>Dostarczyć łącznie z podanymi okuciami meblowymi</t>
  </si>
  <si>
    <t>Üveg típus</t>
  </si>
  <si>
    <t>Szélesség</t>
  </si>
  <si>
    <t>Magasság</t>
  </si>
  <si>
    <t>A keretek ára összesen</t>
  </si>
  <si>
    <t>A vasalat ára összesen</t>
  </si>
  <si>
    <t>A megrendelés teljes ára</t>
  </si>
  <si>
    <t>Alsó ajtó</t>
  </si>
  <si>
    <t>Ráütődő klip</t>
  </si>
  <si>
    <t>Szög 45°</t>
  </si>
  <si>
    <t>Ráütődő</t>
  </si>
  <si>
    <t>Féligráütődő</t>
  </si>
  <si>
    <t>Közzézáródó</t>
  </si>
  <si>
    <t>Ráütődő ellenrugóval</t>
  </si>
  <si>
    <t>Klip csavarra H2</t>
  </si>
  <si>
    <t>Klip csavarra H4</t>
  </si>
  <si>
    <t>Klip EURO csavarra H2</t>
  </si>
  <si>
    <t>Klip EURO csavarra H4</t>
  </si>
  <si>
    <t>Slide on csavarra H2</t>
  </si>
  <si>
    <t>Slide on csavarra H4</t>
  </si>
  <si>
    <t>Slide on EURO csavarra H2</t>
  </si>
  <si>
    <t>Slide on EURO csavarra H4</t>
  </si>
  <si>
    <t>Ráütődő Blumotionhoz</t>
  </si>
  <si>
    <t>45° clip Ráütődő</t>
  </si>
  <si>
    <t>Ráütődő rugó nélkül</t>
  </si>
  <si>
    <t>Ráütődő rugó nélkül (TIP-ON)</t>
  </si>
  <si>
    <t>Klip EURO csavarra</t>
  </si>
  <si>
    <t>Klip csavarra</t>
  </si>
  <si>
    <t xml:space="preserve">Magasított 6 mm </t>
  </si>
  <si>
    <t xml:space="preserve">Klip EURO csavarra H0 </t>
  </si>
  <si>
    <t>Klip csavarra H0</t>
  </si>
  <si>
    <t>A keret helyének kiválasztása</t>
  </si>
  <si>
    <t>A pántok gyártója</t>
  </si>
  <si>
    <t>A pántok típusa</t>
  </si>
  <si>
    <t>Az alátét típusa</t>
  </si>
  <si>
    <t>A pántok száma 1 keretre</t>
  </si>
  <si>
    <t xml:space="preserve">Jobbra </t>
  </si>
  <si>
    <t>Balra</t>
  </si>
  <si>
    <t>2 darab (mind a két oldalra)</t>
  </si>
  <si>
    <t>Keskeny ALU keret</t>
  </si>
  <si>
    <t>Széles ALU keret</t>
  </si>
  <si>
    <t>MDF vastagság 16 mm</t>
  </si>
  <si>
    <t>MDF vastagság 18 mm</t>
  </si>
  <si>
    <t>A pántok elhelyezése</t>
  </si>
  <si>
    <t>A pánt távolsága a peremtől</t>
  </si>
  <si>
    <t>Töltse ki abban az esetben, amennyiben a fúrás nem lesz szimetrikus a középre</t>
  </si>
  <si>
    <t>Ár összesen</t>
  </si>
  <si>
    <t>Vevő</t>
  </si>
  <si>
    <t>Kontakt telefon</t>
  </si>
  <si>
    <t>Kontakt e-mail</t>
  </si>
  <si>
    <t>Szállítási cím</t>
  </si>
  <si>
    <t>Engedmény a keretekre</t>
  </si>
  <si>
    <t>Engedmény a vasalatokra</t>
  </si>
  <si>
    <t>A megrendelés száma</t>
  </si>
  <si>
    <t>Tükör</t>
  </si>
  <si>
    <t>Matelac tükör bronz</t>
  </si>
  <si>
    <t>Matelac tükör grafit</t>
  </si>
  <si>
    <t>Poznámky</t>
  </si>
  <si>
    <t>Megjegyzések</t>
  </si>
  <si>
    <t>Rodzaj profilu</t>
  </si>
  <si>
    <t>Objednávka ALU</t>
  </si>
  <si>
    <t>Barvy LACOBEL A MATELAC</t>
  </si>
  <si>
    <t>Štandardne je objednávka dodaná vrátane kovania a vodiacich profilov</t>
  </si>
  <si>
    <t>Vnútorný rozmer skrinky (mm)</t>
  </si>
  <si>
    <t>Počet dvierok</t>
  </si>
  <si>
    <t xml:space="preserve">Vnitřní rozměr skříňky (mm)  </t>
  </si>
  <si>
    <t>Tu sú uvedené štandardné presahy dvierok</t>
  </si>
  <si>
    <t>farba</t>
  </si>
  <si>
    <t xml:space="preserve">Vyplňte iba vtedy ak nebude vŕtanie symetricky na stred </t>
  </si>
  <si>
    <t>Posuvné rámčeky</t>
  </si>
  <si>
    <t>Farby LACOBEL A MATELAC</t>
  </si>
  <si>
    <t>Profil típus</t>
  </si>
  <si>
    <t>Wypełnij jedynie w przypadku, że wiercenie nie będzie symetryczne w stosunku do środka</t>
  </si>
  <si>
    <t>Wewnętrzne rozmiary szafki (mm)</t>
  </si>
  <si>
    <t>kolor</t>
  </si>
  <si>
    <t>Zamówienie ALU</t>
  </si>
  <si>
    <t>Kolory LACOBEL i MATELAC</t>
  </si>
  <si>
    <t>Töltse ki abban az esetben, ha a fúrás nem lesz szimmetrikus a középre</t>
  </si>
  <si>
    <t xml:space="preserve">A szekrény belső mérete (mm)  </t>
  </si>
  <si>
    <t>Az ajtók száma</t>
  </si>
  <si>
    <t>szín</t>
  </si>
  <si>
    <t>Megrendelés ALU</t>
  </si>
  <si>
    <t>LACOBEL és MATELAC színek</t>
  </si>
  <si>
    <t>20L3200</t>
  </si>
  <si>
    <t>20L3500</t>
  </si>
  <si>
    <t>20L3800</t>
  </si>
  <si>
    <t>20L3900</t>
  </si>
  <si>
    <t>Typ ramene</t>
  </si>
  <si>
    <t>Hmotnost úchytky (g)</t>
  </si>
  <si>
    <t>Typy profilů</t>
  </si>
  <si>
    <t>Typ ramena</t>
  </si>
  <si>
    <t>Rodzaj ramienia</t>
  </si>
  <si>
    <t>A kar típusa</t>
  </si>
  <si>
    <t>Hmotnosť úchytky (g)</t>
  </si>
  <si>
    <t>Waga uchwytu (g)</t>
  </si>
  <si>
    <t>A fogantyú súly (g)</t>
  </si>
  <si>
    <t>Typy profilov</t>
  </si>
  <si>
    <t>Rodzaje profili</t>
  </si>
  <si>
    <t>A profilok típusa</t>
  </si>
  <si>
    <t>Megrendelőlap ALU keretekre</t>
  </si>
  <si>
    <t xml:space="preserve">Standardowo zamówienie dostarczane jest zawsze łącznie z okuciem i listwą torową. </t>
  </si>
  <si>
    <t xml:space="preserve"> </t>
  </si>
  <si>
    <t>Modena</t>
  </si>
  <si>
    <t>Verona</t>
  </si>
  <si>
    <t>Vivaro</t>
  </si>
  <si>
    <t>Pisa</t>
  </si>
  <si>
    <t>Corleone</t>
  </si>
  <si>
    <t>Palio</t>
  </si>
  <si>
    <t>Siena</t>
  </si>
  <si>
    <t>Rocca</t>
  </si>
  <si>
    <t>Imola</t>
  </si>
  <si>
    <t>Čiré</t>
  </si>
  <si>
    <t>Číre</t>
  </si>
  <si>
    <t>Czyste</t>
  </si>
  <si>
    <t>Átlátszó Üveg</t>
  </si>
  <si>
    <t>Satinato</t>
  </si>
  <si>
    <t>Lakomat</t>
  </si>
  <si>
    <t>Zrcadlo</t>
  </si>
  <si>
    <t>Zrkadlo</t>
  </si>
  <si>
    <t>Lustro</t>
  </si>
  <si>
    <t>Master (Carre)</t>
  </si>
  <si>
    <t>Master  Point</t>
  </si>
  <si>
    <t>Master  Shine</t>
  </si>
  <si>
    <t>Antisol bronz</t>
  </si>
  <si>
    <t>Antisol grafit</t>
  </si>
  <si>
    <t>Závěsy</t>
  </si>
  <si>
    <t>Závesy</t>
  </si>
  <si>
    <t>Zawiasy</t>
  </si>
  <si>
    <t>Pántok</t>
  </si>
  <si>
    <t>Aventos ostatní</t>
  </si>
  <si>
    <t>Aventos ostatné</t>
  </si>
  <si>
    <t>Aventos - pozostałe</t>
  </si>
  <si>
    <t>Závěsy se zvedacím pístem</t>
  </si>
  <si>
    <t>Závesy so sdvíhacím piestom</t>
  </si>
  <si>
    <t>Felső ajtó</t>
  </si>
  <si>
    <t>AVENTOS HF Servo Drive</t>
  </si>
  <si>
    <t>AVENTOS HKS TIP ON</t>
  </si>
  <si>
    <t>AVENTOS HL Servo Drive</t>
  </si>
  <si>
    <t>AVENTOS HS Servo Drive</t>
  </si>
  <si>
    <t>Uvedené ceny jsou bez DPH a nezahrnují cenu požadovaného kování!</t>
  </si>
  <si>
    <t>Spodní</t>
  </si>
  <si>
    <t>KRABY 164 45N</t>
  </si>
  <si>
    <t>KRABY 164 60N</t>
  </si>
  <si>
    <t>KRABY 244 45N</t>
  </si>
  <si>
    <t>KRABY 244 60N</t>
  </si>
  <si>
    <t>KRABY 244 90N</t>
  </si>
  <si>
    <t>KRABY 244 120N</t>
  </si>
  <si>
    <t>KRABY 355 45N</t>
  </si>
  <si>
    <t>KRABY 355 60N</t>
  </si>
  <si>
    <t>KRABY 355 90N</t>
  </si>
  <si>
    <t>KRABY 355 120N</t>
  </si>
  <si>
    <t>spodní</t>
  </si>
  <si>
    <t>spodné</t>
  </si>
  <si>
    <t>Dolne</t>
  </si>
  <si>
    <t>Alsó</t>
  </si>
  <si>
    <t>92584T</t>
  </si>
  <si>
    <t>Minimální vzdálenost umístění závěsů</t>
  </si>
  <si>
    <t>Naložený s integr. Blumotionem</t>
  </si>
  <si>
    <t>Polonaložený s integr. Blumotionem</t>
  </si>
  <si>
    <t>Vložený s integr. Blumotionem</t>
  </si>
  <si>
    <t xml:space="preserve">Standardní vrtání otvoru pro misku závěsu je 3 mm od hrany. </t>
  </si>
  <si>
    <t>Standardní průměr otvorů pro úchytky je ve skle 7 mm a v rámečku 5 mm (distanční podložky jsou součástí balení).</t>
  </si>
  <si>
    <t xml:space="preserve">Pokud je váš požadavek jiný než je uvedeno výše, uveďte ho do poznámky. </t>
  </si>
  <si>
    <t>Reklamace spojené s poškozením nelze uplatnit, pokud byl rámeček již namontován.</t>
  </si>
  <si>
    <t xml:space="preserve">Pro připevnění kování do ALU rámečku, je nutné používat vruty pro toto určené (např. kód 13681). </t>
  </si>
  <si>
    <t xml:space="preserve">Objednávka může obsahovat i více typů (rozměrů) rámečků najednou, přičemž se taková objednávka bere jako platná. Proto doporučujeme před odeslání zkontrolovat formulář, zda obsahuje pouze vámi požadované rámečky.     </t>
  </si>
  <si>
    <t>U určitých typů úchytek jsou závity pro šrouby zapuštěné a je nutné použít vhodné distanční podložky.</t>
  </si>
  <si>
    <t>Formulář obsahuje několik listů, mezi kterými je možné se přepínat ve spodní části.</t>
  </si>
  <si>
    <t>Běžné rámečky</t>
  </si>
  <si>
    <t>Nákresy profilů a spoj. kování</t>
  </si>
  <si>
    <t>Všechny skla Lacobel a Matelac je možné podlepit bezpečnostní fólií (v případě potřeby uveďte do poznámky)</t>
  </si>
  <si>
    <t xml:space="preserve">Vyplněnou objednávku zašlete na adresu </t>
  </si>
  <si>
    <t>zamowienia@demos-trade.com</t>
  </si>
  <si>
    <t>megrendelesek@demos-trade.com</t>
  </si>
  <si>
    <t>objednavky@demos-trade.com</t>
  </si>
  <si>
    <t>Nákresy profilů</t>
  </si>
  <si>
    <t>Sada kování na úzký rámeček H27AL (88630)</t>
  </si>
  <si>
    <t>Sada kování na široký rámeček H37AL (88631)</t>
  </si>
  <si>
    <t>Horní vedení délka 2 m (87313)</t>
  </si>
  <si>
    <t>Horní vedení délka 3 m (87312)</t>
  </si>
  <si>
    <t>Typ rámečku</t>
  </si>
  <si>
    <t>Široký</t>
  </si>
  <si>
    <t>Úzký</t>
  </si>
  <si>
    <t>2 vedení (2 m)</t>
  </si>
  <si>
    <t>2 vedení (3 m)</t>
  </si>
  <si>
    <t>Jedno vedení 2m</t>
  </si>
  <si>
    <t>Jiný požadavek (ks)</t>
  </si>
  <si>
    <t>Zde jsou uvedeny standardní přesahy dvířek</t>
  </si>
  <si>
    <t>Standardowe prześwity drzwi</t>
  </si>
  <si>
    <t>Množství (ks)</t>
  </si>
  <si>
    <t>Vyplněním kontaktních údajů vyjadřujete současně souhlas, že jste se seznámil s informacemi uvedenými níže!</t>
  </si>
  <si>
    <t xml:space="preserve">Vhodné rozměry rámečku pro konkrétní typ kování je nutné ověřit před zadáním do objednávky (Aventplan, katalog, …), formulář nemá nastaveny omezení. </t>
  </si>
  <si>
    <t>Standardní vrtání otvorů pro závěsy u všech typů kování Aventos HF, je 100 mm od kraje.</t>
  </si>
  <si>
    <t>Vzorkovník skel je možné objednat pod kódy Lacebel VZK003P a Matelac VZK004P.</t>
  </si>
  <si>
    <t>HUWIL DUO (90°)</t>
  </si>
  <si>
    <t xml:space="preserve">Štandardné vŕtanie otvoru pre misku závesu je 3 mm od hrany. </t>
  </si>
  <si>
    <t>Uvedené ceny sú bez DPH a nezahrňujú cenu požadovaného kovania!</t>
  </si>
  <si>
    <t>Polonaložený s integr. blumotionom</t>
  </si>
  <si>
    <t>Vložený s integr. blumotionom</t>
  </si>
  <si>
    <t>Minimálna vzdialenosť umiestenia závesov</t>
  </si>
  <si>
    <t>Naložený s integr. blumotionom</t>
  </si>
  <si>
    <t>Štandardné vŕtanie otvorov pre závesy u všetkých typov kovania Aventos HF, je 100 mm od kraje.</t>
  </si>
  <si>
    <t>Štandardný priemer otvorov pre úchytky je v skle 7 mm a v rámčeku 5 mm (distančné podložky sú súčasťoubalenia).</t>
  </si>
  <si>
    <t xml:space="preserve">Ak je vaša požiadavka iná ako je uvedené vyššie, uveďte ho do poznámky. </t>
  </si>
  <si>
    <t>U určitých typov úchytiek sú závity pre skrutky zapustené a je nutné použiť vhodné distančné podložky.</t>
  </si>
  <si>
    <t>Reklamácie spojené s poškodením nie je možné uplatniť, pokiaľ bol rámček už namontovaný.</t>
  </si>
  <si>
    <t xml:space="preserve">Pre pripevnenie kovania do ALU rámčeka, je nutné používať skrutky pre toto určené (napr. kód 13681). </t>
  </si>
  <si>
    <t>Vždy používajte aktuálnu verziu formuláru, ktorý je dostupný na našich stránkach.</t>
  </si>
  <si>
    <t>Félig ráütődő integr. Blumotionnal</t>
  </si>
  <si>
    <t>Minimalna odległość umieszczenia zawiasu</t>
  </si>
  <si>
    <t>Minimális távolság a pántok elhelyezésére</t>
  </si>
  <si>
    <t>Ráütődő integr. Blumotionnal</t>
  </si>
  <si>
    <t xml:space="preserve">Standardowa średnica otworów dla uchwytów jest w szkle 7 mm, a w ramce 5 mm (opakowanie zawiera podkładki) </t>
  </si>
  <si>
    <t>A nyílások szabványos átmérője  fogantyúk részére, 7 mm üvegben és 5 mm keretben (a távtartó alátétek a csomagolásban).</t>
  </si>
  <si>
    <t>Jeżeli Państwa wymagania są inne niż powyżej, należy zapisać je w notatce.</t>
  </si>
  <si>
    <t>Amennyiben más a kívánsága, mint a fent megadott lehetőség, kérem írja be a megjegyzésbe</t>
  </si>
  <si>
    <t>Reklamációt a keret sérülésére nem lehet érvényesíteni, ha a keret már fel volt szerelve</t>
  </si>
  <si>
    <t>A vasalat felerősítésére az ALU keretre csak az erre a célra megadott csavarokat lehet használni (péld. kód 13681).</t>
  </si>
  <si>
    <t xml:space="preserve">Objednávka môže obsahovať aj viac typov (rozmerov) rámčekov naraz, pričom sa takáto objednávka berie ako platná. Preto doporučujeme pred odoslaním skontrolovať formulár, či obsahuje iba vami požadované rámčeky.     </t>
  </si>
  <si>
    <t>A megrendelés több típusú (méretű) keretet tartalmazhat, ezt a megrendelést érvényesnek tekintjük. Ezért kérjük ellenőrizni a megrendelőlapot, hogy csak az Ön által megrendelt kereteket tartalmazza.</t>
  </si>
  <si>
    <t>Formulár obsahuje niekoľko listov, medzi ktorými je možné sa prepínať v spodnej časti.</t>
  </si>
  <si>
    <t>Formularz składa się z kilku stron, które można przełączać w dolnej części.</t>
  </si>
  <si>
    <t>A megrendelési űrlap több lapot tartalmaz, ezek között váltani lehet az alsó részben.</t>
  </si>
  <si>
    <t xml:space="preserve">Vyplňte prosím vaše kontaktné údaje a následne kliknite na požadované políčko nižšie. </t>
  </si>
  <si>
    <t>Wpisz proszę dane kontaktowe i kliknij w odpowiednie okienko poniżej.</t>
  </si>
  <si>
    <t>Töltse ki kérem az elérhetőségét, ezután kattintson az alábbi mezőbe.</t>
  </si>
  <si>
    <t>Vyplnením kontaktných údajov vyjadrujete súčasne súhlas, že ste sa zoznámil s informáciami uvedenými nižšie!</t>
  </si>
  <si>
    <t>Poprzez zapisanie danych potwierdzasz, że zapoznałeś się z podanymi niżej informacjami!</t>
  </si>
  <si>
    <t>Az elérhetőségi adatok kitöltésével egyben igazolja, hogy megismerkedett az alábbi információkkal!</t>
  </si>
  <si>
    <t>Bežné rámčeky</t>
  </si>
  <si>
    <t>Zwykłe ramki</t>
  </si>
  <si>
    <t>Szokványos keretek</t>
  </si>
  <si>
    <t>Ramki przesuwne</t>
  </si>
  <si>
    <t>Tolóajtós keretek</t>
  </si>
  <si>
    <t>Rysunki profili i okuć łączących</t>
  </si>
  <si>
    <t>A profilok és összek.vasalat rajza</t>
  </si>
  <si>
    <t xml:space="preserve">Na požiadavku zákazníka, je možné dodať rámčeky s maximálnou dĺžkou profilu 3m. Maximálny rozmer skla je v tomto prípade 2500 x 1300 mm. </t>
  </si>
  <si>
    <t>A megrendelő kívánságára szállítható keret maximális profil hosszal 3m. Az üveg maximális mérete ebben az esetben 2500 x 1300 mm.</t>
  </si>
  <si>
    <t>Všetky sklá Lacobel a Matelac je možné podlepiť bezpečnostnou fóliou (v prípade potreby uveďte do poznámky)</t>
  </si>
  <si>
    <t xml:space="preserve">Vyplnenú objednávku zašlite na adresu </t>
  </si>
  <si>
    <t>A kitöltött megrendelést küldje el a következő címre:</t>
  </si>
  <si>
    <t>Nákresy profilov</t>
  </si>
  <si>
    <t>Rysunki profili</t>
  </si>
  <si>
    <t>A profilok rajza</t>
  </si>
  <si>
    <t>Sada kovania na úzky rámček H27AL (88630)</t>
  </si>
  <si>
    <t>Komplet okuć do wąskiej ramki H27AL (88630)</t>
  </si>
  <si>
    <t>Vasalat szett keskeny keretre H27AL (88630)</t>
  </si>
  <si>
    <t>Sada kovania na široký rámček H37AL (88631)</t>
  </si>
  <si>
    <t>Komplet okuć do szerokiej ramki H37AL (88631)</t>
  </si>
  <si>
    <t>Vasalat szett széles keretre H37AL (88631)</t>
  </si>
  <si>
    <t>Horné vedenie dĺžka 2 m (87313)</t>
  </si>
  <si>
    <t>Prowadzenie górne długość 2 m (87313)</t>
  </si>
  <si>
    <t>Felső vezetés hossz. 2 m (87313)</t>
  </si>
  <si>
    <t>Spodné vedenie dĺžka 2 m (87315)</t>
  </si>
  <si>
    <t>Prowadzenie dolne długość 2 m (87315)</t>
  </si>
  <si>
    <t>Alsó vezetés hossz. 2 m (87315)</t>
  </si>
  <si>
    <t>Horné vedenie dĺžka 3 m (87312)</t>
  </si>
  <si>
    <t>Prowadzenie górne długość 3 m (87312)</t>
  </si>
  <si>
    <t>Felső vezetés hossz. 3 m (87312)</t>
  </si>
  <si>
    <t>Spodné vedeniedĺžka 3 m (87314)</t>
  </si>
  <si>
    <t>Prowadzenie dolne długość 3 m (87314)</t>
  </si>
  <si>
    <t>Alsó vezetés hossz. 3 m (87314)</t>
  </si>
  <si>
    <t>Iná požiadavka (ks)</t>
  </si>
  <si>
    <t>Inne wymagania (szt)</t>
  </si>
  <si>
    <t>Egyéb kívánság (db)</t>
  </si>
  <si>
    <t>Množstvo (ks)</t>
  </si>
  <si>
    <t>Ilość (szt)</t>
  </si>
  <si>
    <t>Mennyiség (db)</t>
  </si>
  <si>
    <t>K nadrozmerným rámčekom (nad rozmer 1200 x 800 mm), môže byť účtovaný príplatok za špeciálne balenie a dopravu (viac informácií na zákazníckom centre).</t>
  </si>
  <si>
    <t xml:space="preserve">Vhodné rozmery rámčeku pre konkrétny typ kovania je nutné overiť pred zadanímdo objednávky (Aventplan, katalóg, …), formulár nemá nastavené obmedzenia. </t>
  </si>
  <si>
    <t>A megfelelő keret méreteket az adott vasalat típushoz a megrendelés előtt ellenőrizni kell (Aventplan, katalógus…), az űrlapon nincsenek beállítva a korlátozások.</t>
  </si>
  <si>
    <t>Wzornik szkieł można zamawiać pod kodami Lacebel VZK003P oraz Matelac VZK004P.</t>
  </si>
  <si>
    <t>Vzorkovník skiel je možné objednať pod kódmi Lacobel VZK003P a Matelac VZK004P.</t>
  </si>
  <si>
    <t>Čiré kalené (dodání 3 týdny)</t>
  </si>
  <si>
    <t>Číre kalené (dodanie 3 týždne)</t>
  </si>
  <si>
    <t>Czyste hartowane (dostawa 3 tygodnie)</t>
  </si>
  <si>
    <t xml:space="preserve">Vyplňte prosím vaše kontaktní údaje a poté klikněte na požadované políčko níže. </t>
  </si>
  <si>
    <t xml:space="preserve">Na požadavek zákazníka, je možné dodat rámečky s maximální délkou profilu 3m. Maximální rozměr skla je v tomto případě 2500 x 1300 mm. </t>
  </si>
  <si>
    <t>Cena za posuvné rámčeky je rovnaká ako cena za bežné rámčeky.</t>
  </si>
  <si>
    <t>Edzett üveg (szállítási idő 3 hét)</t>
  </si>
  <si>
    <t>BRW (elox.)</t>
  </si>
  <si>
    <t>Corleone (elox.)</t>
  </si>
  <si>
    <t>Vivaro (elox.)</t>
  </si>
  <si>
    <t>Lacobel RAL 9007</t>
  </si>
  <si>
    <t>Kurz 100HUF</t>
  </si>
  <si>
    <t>Uvedené nákresy dvířek jsou znázorněny při pohledu z přední strany.</t>
  </si>
  <si>
    <t>Nadrozměrný rámeček, může být účtováno vyšší dopravné</t>
  </si>
  <si>
    <t>Nadrozmerný rámček, môže byť účtované vyššie dopravné.</t>
  </si>
  <si>
    <t>Ramki ponadwymiarowe, może być doliczona wyższa opłata transportu.</t>
  </si>
  <si>
    <t>Túlméretes alu keret rendelése esetén, magasabb szállítási költséget számítunk.</t>
  </si>
  <si>
    <t>Výklop</t>
  </si>
  <si>
    <t>Druhé dvířko</t>
  </si>
  <si>
    <t>Aventos HF</t>
  </si>
  <si>
    <t>HETTICH</t>
  </si>
  <si>
    <t>AVENTOS HK-XS</t>
  </si>
  <si>
    <t>Sensys naložený tlumený</t>
  </si>
  <si>
    <t>Sensys polonaložený tlumený</t>
  </si>
  <si>
    <t>Sensys vložený tlumený</t>
  </si>
  <si>
    <t>Sensys příložný tlumený</t>
  </si>
  <si>
    <t>Sensys naložený netlumený</t>
  </si>
  <si>
    <t>Intermat naložený</t>
  </si>
  <si>
    <t>Intermat naložený 125°</t>
  </si>
  <si>
    <t>Intermat polonaložený</t>
  </si>
  <si>
    <t>Intermat vložený</t>
  </si>
  <si>
    <t>Intermat příložný</t>
  </si>
  <si>
    <t>podložka na Eurovrut</t>
  </si>
  <si>
    <t>podložka na rozpěrnou hmoždinku</t>
  </si>
  <si>
    <t>Umístění ramene</t>
  </si>
  <si>
    <t>AVENTOS HK-XS TIP-ON</t>
  </si>
  <si>
    <t>naložený s tlumením clip 110°</t>
  </si>
  <si>
    <t>polonaložený s tlumením clip 110°</t>
  </si>
  <si>
    <t>vložený s tlumením clip 110°</t>
  </si>
  <si>
    <t>naložený bez tlumení clip 110°</t>
  </si>
  <si>
    <t>polonaložený bez tlumení clip 110°</t>
  </si>
  <si>
    <t>vložený bez tlumení clip 110°</t>
  </si>
  <si>
    <t>naložený TIP-ON clip 110°</t>
  </si>
  <si>
    <t>polonaložený TIP-ON clip 110°</t>
  </si>
  <si>
    <t>vložený TIP-ON clip 110°</t>
  </si>
  <si>
    <t>naložený s tlumením clip 95°</t>
  </si>
  <si>
    <t>polonaložený s tlumením clip 95°</t>
  </si>
  <si>
    <t>vložený s tlumením clip 95°</t>
  </si>
  <si>
    <t>naložený TIP-ON clip 95°</t>
  </si>
  <si>
    <t>naložený TIP-ON clip 120°</t>
  </si>
  <si>
    <t>Sensys naložený bez tlumení</t>
  </si>
  <si>
    <t>Sensys vložený bez tlumení</t>
  </si>
  <si>
    <t>Výklopy</t>
  </si>
  <si>
    <t>STRONG 30N bílý Automatický</t>
  </si>
  <si>
    <t>STRONG 60N bílý Automatický</t>
  </si>
  <si>
    <t>STRONG 80N bílý Automatický</t>
  </si>
  <si>
    <t>STRONG 100N bílý Automatický</t>
  </si>
  <si>
    <t>STRONG 120N bílý Automatický</t>
  </si>
  <si>
    <t>STRONG 60N bílý Polohovací</t>
  </si>
  <si>
    <t>STRONG 80N bílý Polohovací</t>
  </si>
  <si>
    <t>STRONG 100N bílý Polohovací</t>
  </si>
  <si>
    <t>STRONG 120N bílý Polohovací</t>
  </si>
  <si>
    <t>STRONG 30N šedý Automatický</t>
  </si>
  <si>
    <t>STRONG 60N šedý Automatický</t>
  </si>
  <si>
    <t>STRONG 80N šedý Automatický</t>
  </si>
  <si>
    <t>STRONG 100N šedý Automatický</t>
  </si>
  <si>
    <t>STRONG 120N šedý Automatický</t>
  </si>
  <si>
    <t>STRONG 60N šedý Polohovací</t>
  </si>
  <si>
    <t>STRONG 80N šedý Polohovací</t>
  </si>
  <si>
    <t>STRONG 100N šedý Polohovací</t>
  </si>
  <si>
    <t>STRONG 120N šedý Polohovací</t>
  </si>
  <si>
    <t>HUWIL DUO</t>
  </si>
  <si>
    <t>HUWIL DUO FORTE</t>
  </si>
  <si>
    <t>HUWILIFT MAXI</t>
  </si>
  <si>
    <t>K12 244 50N</t>
  </si>
  <si>
    <t>K12 244 80N</t>
  </si>
  <si>
    <t>K12 244 100N</t>
  </si>
  <si>
    <t>K12 244 120N</t>
  </si>
  <si>
    <t>K12 355 60N</t>
  </si>
  <si>
    <t>K12 355 90N</t>
  </si>
  <si>
    <t>K12 355 110N</t>
  </si>
  <si>
    <t>K12 355 130N</t>
  </si>
  <si>
    <t>STRONG spodní bílý</t>
  </si>
  <si>
    <t>STRONG spodní šedý</t>
  </si>
  <si>
    <t xml:space="preserve">HUWIL DUO (90°) </t>
  </si>
  <si>
    <t>KRABY 164 spodní</t>
  </si>
  <si>
    <t>KRABY 244 spodní</t>
  </si>
  <si>
    <t>KRABY 355 spodní</t>
  </si>
  <si>
    <t>naložený k nasunutí</t>
  </si>
  <si>
    <t>polonaložený k nasunutí</t>
  </si>
  <si>
    <t>vložený k nasunutí</t>
  </si>
  <si>
    <t>STRONG bez tlumení</t>
  </si>
  <si>
    <t>STRONG s tlumením</t>
  </si>
  <si>
    <t>k nasunutí na vrut H0</t>
  </si>
  <si>
    <t>k nasunutí EURO šroub H0</t>
  </si>
  <si>
    <t>k nasunutí na vrut H2</t>
  </si>
  <si>
    <t>k nasunutí EURO šroub H2</t>
  </si>
  <si>
    <t>Clip vrut s excentrem H0</t>
  </si>
  <si>
    <t>podložka na vrut</t>
  </si>
  <si>
    <t>naložený clip</t>
  </si>
  <si>
    <t>polonaložený clip</t>
  </si>
  <si>
    <t>Maximální možný rozměr rámečku je 2500x1300mm</t>
  </si>
  <si>
    <t>Minimální vzdálenost závěsu od kraje rámečku je 70mm</t>
  </si>
  <si>
    <t>Minimální vzdálenost závěsu od kraje rámečku je 80mm</t>
  </si>
  <si>
    <t>N</t>
  </si>
  <si>
    <t>Maximálny možný rozmer rámčeku je 2500x1300mm</t>
  </si>
  <si>
    <t>Maksymalne wymiary ramki to 2500x1300mm</t>
  </si>
  <si>
    <t>a keret maximális mérete 2500x1300mm</t>
  </si>
  <si>
    <t>Minimálna vzdialenosť závesov od kraja rámčeku je 70mm</t>
  </si>
  <si>
    <t>Minimalna odległość zawiasu od krawędzi ramki jest 70mm</t>
  </si>
  <si>
    <t>a pánt minimális távolsága a keret szélétől 70cm</t>
  </si>
  <si>
    <t>Minimálna vzdialenosť závesov od kraja rámčeku je 80mm</t>
  </si>
  <si>
    <t>Minimalna odległość zawiasu od krawędzi ramki jest 80mm</t>
  </si>
  <si>
    <t>a pánt minimális távolsága a keret szélétől 80cm</t>
  </si>
  <si>
    <t>Sensys naložený tlmený</t>
  </si>
  <si>
    <t>Sensys nakładany z tłumieniem</t>
  </si>
  <si>
    <t>Sensys ráütődő csillapítós</t>
  </si>
  <si>
    <t>Sensys polonaložený tlmený</t>
  </si>
  <si>
    <t>Sensys półnakładany z tłumieniem</t>
  </si>
  <si>
    <t>Sensys vložený tlmený</t>
  </si>
  <si>
    <t>Sensys wpuszczany z tłumieniem</t>
  </si>
  <si>
    <t>Sensys príložný tlmený</t>
  </si>
  <si>
    <t>Sensys równoległy z tłumieniem</t>
  </si>
  <si>
    <t>Sensys hozzáilleszthető csillapítós</t>
  </si>
  <si>
    <t>Sensys naložený netlmený</t>
  </si>
  <si>
    <t>Sensys nakładany bez tłumienia</t>
  </si>
  <si>
    <t>Sensys ráütődő csillapító nélkül</t>
  </si>
  <si>
    <t>Intermat nakładany</t>
  </si>
  <si>
    <t>Intermat ráütődő</t>
  </si>
  <si>
    <t>Intermat nakładany 125°</t>
  </si>
  <si>
    <t>Intermat ráütődő 125°</t>
  </si>
  <si>
    <t>Intermat półnakładany</t>
  </si>
  <si>
    <t>Intermat wpuszczany</t>
  </si>
  <si>
    <t>Intermat príložný</t>
  </si>
  <si>
    <t>Intermat równoległy</t>
  </si>
  <si>
    <t>Intermat hozzáilleszthető</t>
  </si>
  <si>
    <t>Sensys naložený bez tlmenia</t>
  </si>
  <si>
    <t>Sensys vložený bez tlmenia</t>
  </si>
  <si>
    <t>Sensys wpuszczany bez tłumienia</t>
  </si>
  <si>
    <t>prowadnik na wkręt</t>
  </si>
  <si>
    <t>csavar alátét</t>
  </si>
  <si>
    <t>prowadnik na Eurowkręt</t>
  </si>
  <si>
    <t>Eurocsavar alátét</t>
  </si>
  <si>
    <t>podložka na rozpernú hmoždinku</t>
  </si>
  <si>
    <t>prowadnik z kołkiem rozporowym</t>
  </si>
  <si>
    <t>beütőtipli alátét</t>
  </si>
  <si>
    <t>naložený s tlmením clip 110°</t>
  </si>
  <si>
    <t>nakładany z tłumieniem clip 110°</t>
  </si>
  <si>
    <t>polonaložený s tlmením clip 110°</t>
  </si>
  <si>
    <t>półnakładany z tłumieniem clip 110°</t>
  </si>
  <si>
    <t>vložený s tlmením clip 110°</t>
  </si>
  <si>
    <t>wpuszczany z tłumieniem clip 110°</t>
  </si>
  <si>
    <t>naložený bez tlmenia clip 110°</t>
  </si>
  <si>
    <t>nakładany bez tłumienia clip 110°</t>
  </si>
  <si>
    <t>polonaložený bez tlmenia clip 110°</t>
  </si>
  <si>
    <t>półnakładany bez tłumienia clip 110°</t>
  </si>
  <si>
    <t>vložený bez tlmenia clip 110°</t>
  </si>
  <si>
    <t>wpuszczany bez tłumienia clip 110°</t>
  </si>
  <si>
    <t>nakładany TIP-ON clip 110°</t>
  </si>
  <si>
    <t>półnakładany TIP-ON clip 110°</t>
  </si>
  <si>
    <t>wpuszczany TIP-ON clip 110°</t>
  </si>
  <si>
    <t>naložený s tlmením clip 95°</t>
  </si>
  <si>
    <t>nakładany z tłumieniem clip 95°</t>
  </si>
  <si>
    <t>polonaložený s tlmením clip 95°</t>
  </si>
  <si>
    <t>półnakładany z tłumieniem clip 95°</t>
  </si>
  <si>
    <t>vložený s tlmením clip 95°</t>
  </si>
  <si>
    <t>wpuszczany z tłumieniem clip 95°</t>
  </si>
  <si>
    <t>nakładany TIP-ON clip 95°</t>
  </si>
  <si>
    <t>nakładany TIP-ON clip 120°</t>
  </si>
  <si>
    <t>naložený k nasunutiu</t>
  </si>
  <si>
    <t>nakładany nasuwany</t>
  </si>
  <si>
    <t>polonaložený k nasunutiu</t>
  </si>
  <si>
    <t>półnakładany nasuwany</t>
  </si>
  <si>
    <t>vložený k nasunutiu</t>
  </si>
  <si>
    <t>wpuszczany nasuwany</t>
  </si>
  <si>
    <t>STRONG 30N biely Automatický</t>
  </si>
  <si>
    <t>STRONG 30N biały Automatyczny</t>
  </si>
  <si>
    <t xml:space="preserve">STRONG 30N fehér automatikus </t>
  </si>
  <si>
    <t>STRONG 60N biely Automatický</t>
  </si>
  <si>
    <t>STRONG 60N biały Automatyczny</t>
  </si>
  <si>
    <t>STRONG 60N fehér automatikus</t>
  </si>
  <si>
    <t>STRONG 80N biely Automatický</t>
  </si>
  <si>
    <t>STRONG 80N biały Automatyczny</t>
  </si>
  <si>
    <t>STRONG 80N fehér automatikus</t>
  </si>
  <si>
    <t>STRONG 100N biely Automatický</t>
  </si>
  <si>
    <t>STRONG 100N biały Automatyczny</t>
  </si>
  <si>
    <t>STRONG 100N fehér automatikus</t>
  </si>
  <si>
    <t>STRONG 120N biely Automatický</t>
  </si>
  <si>
    <t>STRONG 120N biały Automatyczny</t>
  </si>
  <si>
    <t>STRONG 120N fehér automatikus</t>
  </si>
  <si>
    <t>STRONG 60N biely Polohovací</t>
  </si>
  <si>
    <t>STRONG 60N biały do pozycjonowania</t>
  </si>
  <si>
    <t>STRONG 60N fehér állítható</t>
  </si>
  <si>
    <t>STRONG 80N biely Polohovací</t>
  </si>
  <si>
    <t>STRONG 80N biały do pozycjonowania</t>
  </si>
  <si>
    <t>STRONG 80N fehér állítható</t>
  </si>
  <si>
    <t>STRONG 100N biely Polohovací</t>
  </si>
  <si>
    <t>STRONG 100N biały do pozycjonowania</t>
  </si>
  <si>
    <t>STRONG 100N fehér állítható</t>
  </si>
  <si>
    <t>STRONG 120N biely Polohovací</t>
  </si>
  <si>
    <t>STRONG 120N biały do pozycjonowania</t>
  </si>
  <si>
    <t>STRONG 120N fehér állítható</t>
  </si>
  <si>
    <t>STRONG 30N szary Automatyczny</t>
  </si>
  <si>
    <t>STRONG 30N szürke automatikus</t>
  </si>
  <si>
    <t>STRONG 60N szary Automatyczny</t>
  </si>
  <si>
    <t>STRONG 60N szürke automatikus</t>
  </si>
  <si>
    <t>STRONG 80N szary Automatyczny</t>
  </si>
  <si>
    <t>STRONG 80N szürke automatikus</t>
  </si>
  <si>
    <t>STRONG 100N szary Automatyczny</t>
  </si>
  <si>
    <t>STRONG 100N szürke automatikus</t>
  </si>
  <si>
    <t>STRONG 120N szary Automatyczny</t>
  </si>
  <si>
    <t>STRONG 120N szürke  automatikus</t>
  </si>
  <si>
    <t>STRONG 60N szary do pozycjonowania</t>
  </si>
  <si>
    <t>STRONG 60N szürke állítható</t>
  </si>
  <si>
    <t>STRONG 80N szary do pozycjonowania</t>
  </si>
  <si>
    <t>STRONG 80N szürke állítható</t>
  </si>
  <si>
    <t>STRONG 100N szary do pozycjonowania</t>
  </si>
  <si>
    <t>STRONG 100N szürke állítható</t>
  </si>
  <si>
    <t>STRONG 120N szary do pozycjonowania</t>
  </si>
  <si>
    <t>STRONG 120N szürke állítható</t>
  </si>
  <si>
    <t>STRONG spodný biely</t>
  </si>
  <si>
    <t>STRONG dolny biały</t>
  </si>
  <si>
    <t>STRONG alsó fehér</t>
  </si>
  <si>
    <t>STRONG spodný šedý</t>
  </si>
  <si>
    <t>STRONG dolny szary</t>
  </si>
  <si>
    <t>STRONG alsó szürke</t>
  </si>
  <si>
    <t>KRABY 164 spodný</t>
  </si>
  <si>
    <t>KRABY 164 dolny</t>
  </si>
  <si>
    <t>Gázrugós nyitószerkezet 164 alsó rögzítésű-Kraby</t>
  </si>
  <si>
    <t>KRABY 244 spodný</t>
  </si>
  <si>
    <t>KRABY 244 dolny</t>
  </si>
  <si>
    <t>Gázrugós nyitószerkezet 244 alsó rögzítésű-Kraby</t>
  </si>
  <si>
    <t>KRABY 355 spodný</t>
  </si>
  <si>
    <t>KRABY 355 dolny</t>
  </si>
  <si>
    <t>Gázrugós nyitószerkezet 355 alsó rögzítésű-Kraby</t>
  </si>
  <si>
    <t>k nasunutiu na vrut H0</t>
  </si>
  <si>
    <t>nasuwany na wkręt H0</t>
  </si>
  <si>
    <t>k nasunutiu EURO skrutka H0</t>
  </si>
  <si>
    <t>nasuwany EURO wkręt H0</t>
  </si>
  <si>
    <t>k nasunutiu na vrut H2</t>
  </si>
  <si>
    <t>nasuwany na wkręt H2</t>
  </si>
  <si>
    <t>Rátolhatós  csavar H2</t>
  </si>
  <si>
    <t>k nasunutiu EURO skrutka H2</t>
  </si>
  <si>
    <t>nasuwany EURO wkręt H2</t>
  </si>
  <si>
    <t>Clip vrut s excentrom H0</t>
  </si>
  <si>
    <t>Clip wkręt z mimośrodem H0</t>
  </si>
  <si>
    <t>Uvedené nákresy dvierok sú znázornené pri pohľade z prednej strany.</t>
  </si>
  <si>
    <t>Umiestnenie ramena</t>
  </si>
  <si>
    <t>Kar elhelyezése</t>
  </si>
  <si>
    <t>Minimální možný rozměr rámečku je 140x140mm</t>
  </si>
  <si>
    <t>Minimálny možný rozmer rámčeka je 140x140mm</t>
  </si>
  <si>
    <t>Minimalny rozmiar ramek wynosi 140x140mm</t>
  </si>
  <si>
    <t>A keret lehetséges minimális mérete 140x140mm</t>
  </si>
  <si>
    <t xml:space="preserve">Sensys SiSy naložený </t>
  </si>
  <si>
    <t xml:space="preserve">Sensys SiSy polonaložený </t>
  </si>
  <si>
    <t xml:space="preserve">Sensys SiSy vložený </t>
  </si>
  <si>
    <t xml:space="preserve">Sensys P2o naložený </t>
  </si>
  <si>
    <t xml:space="preserve">Sensys P2o polonaložený </t>
  </si>
  <si>
    <t xml:space="preserve">Sensys P2o vložený </t>
  </si>
  <si>
    <t>Sensys naložený P2O</t>
  </si>
  <si>
    <t>naložený s tlumením clip 110°, ONYX</t>
  </si>
  <si>
    <t>polonaložený s tlumením clip 110°, ONYX</t>
  </si>
  <si>
    <t>vložený s tlumením clip 110°, ONYX</t>
  </si>
  <si>
    <t>naložený 95°, Onyx</t>
  </si>
  <si>
    <t>Satinato grafit</t>
  </si>
  <si>
    <t>Venus VG10</t>
  </si>
  <si>
    <t>Stopsol bronz</t>
  </si>
  <si>
    <t>Značka</t>
  </si>
  <si>
    <t>Sensys SiSy nakładany</t>
  </si>
  <si>
    <t>Sensys SiSy ráütődő</t>
  </si>
  <si>
    <t>Sensys P2o nakładany</t>
  </si>
  <si>
    <t>Sensys P2o ráütődő</t>
  </si>
  <si>
    <t>naložený s tlmením clip 110° ONYX</t>
  </si>
  <si>
    <t>nakładany z tłumieniem clip 110° ONYX</t>
  </si>
  <si>
    <t>polonaložený s tlmením clip 110° ONYX</t>
  </si>
  <si>
    <t>półnakładany z tłumieniem clip 110° ONYX</t>
  </si>
  <si>
    <t>Sensys SiSy półnakładany</t>
  </si>
  <si>
    <t>Sensys P2o półnakładany</t>
  </si>
  <si>
    <t>naložený clip 95° Onyx</t>
  </si>
  <si>
    <t>nakładany clip 95° Onyx</t>
  </si>
  <si>
    <t>ráütődő klip csillapítós 110°</t>
  </si>
  <si>
    <t>ráütődő klip csillapító nélkül 110°</t>
  </si>
  <si>
    <t>ráütődő TIP-ON klip 110°</t>
  </si>
  <si>
    <t xml:space="preserve">ráütődő csillapítós klip 95° </t>
  </si>
  <si>
    <t>ráütődő TIP-ON klip 95°</t>
  </si>
  <si>
    <t>ráütődő TIP-ON klip 120°</t>
  </si>
  <si>
    <t>ráütődő csillapítós klip 110° ONYX</t>
  </si>
  <si>
    <t>ráütődő klip 95° Onyx</t>
  </si>
  <si>
    <t xml:space="preserve">Sensys SiSy Vložený </t>
  </si>
  <si>
    <t xml:space="preserve">Sensys SiSy wpuszczany </t>
  </si>
  <si>
    <t xml:space="preserve">Sensys P2o Vložený </t>
  </si>
  <si>
    <t xml:space="preserve">Sensys P2o wpuszczany </t>
  </si>
  <si>
    <t>vložený s tlmením clip 110° Onyx</t>
  </si>
  <si>
    <t>wpuszczany z tłumieniem clip 110° Onyx</t>
  </si>
  <si>
    <t>közézáródó klip csillapító nélkül 110°</t>
  </si>
  <si>
    <t>Excentes klipes csavar H0</t>
  </si>
  <si>
    <t>Úvod</t>
  </si>
  <si>
    <t>Wprowadzenie</t>
  </si>
  <si>
    <t>STRONG s tlmením</t>
  </si>
  <si>
    <t>STRONG z tłumieniem</t>
  </si>
  <si>
    <t>STRONG csillapítós</t>
  </si>
  <si>
    <t>STRONG bez tlmení</t>
  </si>
  <si>
    <t>STRONG  bez tłumienia</t>
  </si>
  <si>
    <t>STRONG csillapító nélkül</t>
  </si>
  <si>
    <t>Maximální možný rozměr rámečku Corleone je 1500x600mm</t>
  </si>
  <si>
    <t>Maximálny možný rozmer rámčeku Corleone je 1500x600mm</t>
  </si>
  <si>
    <t>Maksymalne wymiary ramki Corleone to 1500x600mm</t>
  </si>
  <si>
    <t>a keret maximális mérete Corleone 1500x600mm</t>
  </si>
  <si>
    <t>Vivaro černá mat</t>
  </si>
  <si>
    <t>BRW černá mat</t>
  </si>
  <si>
    <t>Zrcadlo hnědé</t>
  </si>
  <si>
    <t>Zrcadlo grafit</t>
  </si>
  <si>
    <t>Zrkadlo grafit</t>
  </si>
  <si>
    <t>Lustro grafit</t>
  </si>
  <si>
    <t>Tükör grafit</t>
  </si>
  <si>
    <t>Krizet</t>
  </si>
  <si>
    <t>Satinato hnedé</t>
  </si>
  <si>
    <t>Satinato barna</t>
  </si>
  <si>
    <t>Zrkadlo hnedé</t>
  </si>
  <si>
    <t>Satinato brązowe</t>
  </si>
  <si>
    <t>Stopsol brąz</t>
  </si>
  <si>
    <t>Lustro brązowe</t>
  </si>
  <si>
    <t>Tükör barna</t>
  </si>
  <si>
    <t>Matelac zrkadlo strieb.</t>
  </si>
  <si>
    <t>Matelac lustro srebrny</t>
  </si>
  <si>
    <t>Matelac tükör ezüst</t>
  </si>
  <si>
    <t>Bizonyos típusú fogantyúknál a csavarmenet süllyesztve van, ezért megfelelő távtartót kell használni.</t>
  </si>
  <si>
    <t>Vasalat</t>
  </si>
  <si>
    <t>Standardowe wiercenie pod puszkę zawiasu wynosi 3mm od krawędzi.</t>
  </si>
  <si>
    <t>Podane ceny nie zawierają podatku VAT ani nie zawierają ceny okuć!</t>
  </si>
  <si>
    <t>Wpisz wartość jeśli wiercenie nie ma być wykonane symetrycznie (na środku )</t>
  </si>
  <si>
    <t>Podgląd kolorów RAL i REF jest orientacyjny !!!</t>
  </si>
  <si>
    <t>Standardowe wiercenia pod wszystkie zawiasy w Aventosie HF wynosi 100mm od krawędzi.</t>
  </si>
  <si>
    <t>Do zamocowania okuć do ramki aluminiowej należy stosować specjalnie do tego przeznaczone wkręty (np. kod 13681)</t>
  </si>
  <si>
    <t>W jednym formularzu możemy wybrać różne rodzaje i wymiary ramek. Przed odesłaniem zamówienia należy sprawdzić poprawność wprowadzonych parametrów.</t>
  </si>
  <si>
    <t>Pokud je úchytka připevněna skrz sklo, je nutné vždy použít distanční podložku (např. 144516, 191970, C0315)</t>
  </si>
  <si>
    <t>Ak je úchytka pripevnená cez sklo, je nutné vždy použiť distančnú podložku (napr. 144516, 191970, C0315).</t>
  </si>
  <si>
    <t>Jeśli uchwyt będzie zamocowany w wierceniach w szkle, należy zastosować podkładkę dystansową (np. kod 144516, 191970, C0315)</t>
  </si>
  <si>
    <t>Amennyiben a fogantyú az üvegen keresztül van rögzítve, mindig távtartó gyűrűt kell használni (péld. kód 144516, 191970, C0315).</t>
  </si>
  <si>
    <t>AVENTOS HK TOP</t>
  </si>
  <si>
    <t>AVENTOS HK TOP Servo Drive</t>
  </si>
  <si>
    <t>AVENTOS HK TOP TIP ON</t>
  </si>
  <si>
    <t>Satinato brown</t>
  </si>
  <si>
    <t>Satinato graphite</t>
  </si>
  <si>
    <t>Stopsol bronze</t>
  </si>
  <si>
    <t>Antisol bronze</t>
  </si>
  <si>
    <t>Antisol graphite</t>
  </si>
  <si>
    <t>Mirror</t>
  </si>
  <si>
    <t>Mirror brown</t>
  </si>
  <si>
    <t>Master Point</t>
  </si>
  <si>
    <t>Matelac mirror bronze</t>
  </si>
  <si>
    <t>Matelac mirror graphite</t>
  </si>
  <si>
    <t>Rámeček</t>
  </si>
  <si>
    <t>Rámček</t>
  </si>
  <si>
    <t>Quantity</t>
  </si>
  <si>
    <t>Width</t>
  </si>
  <si>
    <t>Height</t>
  </si>
  <si>
    <t>Total price of frames</t>
  </si>
  <si>
    <t>Inset</t>
  </si>
  <si>
    <t>Increased by 6 mm</t>
  </si>
  <si>
    <t>Right</t>
  </si>
  <si>
    <t>Left</t>
  </si>
  <si>
    <t>2 Pieces (both sides)</t>
  </si>
  <si>
    <t>Customer</t>
  </si>
  <si>
    <t>Discount on frames</t>
  </si>
  <si>
    <t>Discount on fittings</t>
  </si>
  <si>
    <t>Sliding frames</t>
  </si>
  <si>
    <t>Number of doors</t>
  </si>
  <si>
    <t>Handle weight (g)</t>
  </si>
  <si>
    <t>Bottom</t>
  </si>
  <si>
    <t>export@demos-trade.com</t>
  </si>
  <si>
    <t>Profile drawings</t>
  </si>
  <si>
    <t>STRONG 30N white Automatic</t>
  </si>
  <si>
    <t>STRONG 60N white Automatic</t>
  </si>
  <si>
    <t>STRONG 80N white Automatic</t>
  </si>
  <si>
    <t>STRONG 100N white Automatic</t>
  </si>
  <si>
    <t>STRONG 120N white Automatic</t>
  </si>
  <si>
    <t>STRONG 60N grey Automatic</t>
  </si>
  <si>
    <t>STRONG 100N grey Automatic</t>
  </si>
  <si>
    <t>STRONG 120N grey Automatic</t>
  </si>
  <si>
    <t>The minimum possible frame size is 140x140mm</t>
  </si>
  <si>
    <t>Main page</t>
  </si>
  <si>
    <t>Frame</t>
  </si>
  <si>
    <t>Ramka</t>
  </si>
  <si>
    <t>Dva různé profily</t>
  </si>
  <si>
    <t>Szprosy</t>
  </si>
  <si>
    <t>Folie</t>
  </si>
  <si>
    <t>Závěsy k výklopům</t>
  </si>
  <si>
    <t>Profily</t>
  </si>
  <si>
    <t>Úzky (1) / Široký (2)?</t>
  </si>
  <si>
    <t>Název kombinace</t>
  </si>
  <si>
    <t>Profily boční</t>
  </si>
  <si>
    <t>Profily nahoře a dole</t>
  </si>
  <si>
    <t>Lze panty nalevo / napravo?</t>
  </si>
  <si>
    <t>Rozložení</t>
  </si>
  <si>
    <t>Typ folie</t>
  </si>
  <si>
    <t>Kod</t>
  </si>
  <si>
    <t>Typ</t>
  </si>
  <si>
    <t>Dovybrat závěs?</t>
  </si>
  <si>
    <t>Typ ALU</t>
  </si>
  <si>
    <t>Typ závěsu</t>
  </si>
  <si>
    <t>Typ podložky - skupina</t>
  </si>
  <si>
    <t>Provedení</t>
  </si>
  <si>
    <t>Varna + Siena</t>
  </si>
  <si>
    <t>Varna</t>
  </si>
  <si>
    <t>Vertikálně</t>
  </si>
  <si>
    <t>Transparentní</t>
  </si>
  <si>
    <t>Blum</t>
  </si>
  <si>
    <t>Horizontálně</t>
  </si>
  <si>
    <t>Bílá</t>
  </si>
  <si>
    <t>Varna + Palio</t>
  </si>
  <si>
    <t>Horizontálně i vertikálně</t>
  </si>
  <si>
    <t>Černá</t>
  </si>
  <si>
    <t>Aventos HK-XS</t>
  </si>
  <si>
    <t>MDF 16 mm</t>
  </si>
  <si>
    <t>MDF 18 mm</t>
  </si>
  <si>
    <t>Varna + Rocca</t>
  </si>
  <si>
    <t>FREElight</t>
  </si>
  <si>
    <t>DTDL 18 mm</t>
  </si>
  <si>
    <t xml:space="preserve">Kesseböhmer </t>
  </si>
  <si>
    <t>FREEfold</t>
  </si>
  <si>
    <t>FREEspace</t>
  </si>
  <si>
    <t>Duo</t>
  </si>
  <si>
    <t>FREEflap</t>
  </si>
  <si>
    <t>FREEslide</t>
  </si>
  <si>
    <t>Duo Forte</t>
  </si>
  <si>
    <t>FREEswing</t>
  </si>
  <si>
    <t>Maxi</t>
  </si>
  <si>
    <t>K12</t>
  </si>
  <si>
    <t>ITALIANA ferramenta</t>
  </si>
  <si>
    <t>Spodní K12</t>
  </si>
  <si>
    <t>Kraby</t>
  </si>
  <si>
    <t>Spodní Kraby</t>
  </si>
  <si>
    <t>Kiaro</t>
  </si>
  <si>
    <t>Link</t>
  </si>
  <si>
    <t>Automatická vzpěra</t>
  </si>
  <si>
    <t>Polohovací vzpěra</t>
  </si>
  <si>
    <t>Hettich</t>
  </si>
  <si>
    <t>LiftMini</t>
  </si>
  <si>
    <t>Výběr skla</t>
  </si>
  <si>
    <t>K nalepení</t>
  </si>
  <si>
    <t>Kalené</t>
  </si>
  <si>
    <t>Vše</t>
  </si>
  <si>
    <t>Úzky (1) / Široký (2) - panty</t>
  </si>
  <si>
    <t>k nalepení - typ skla</t>
  </si>
  <si>
    <t>Výsledek dle volby profilu</t>
  </si>
  <si>
    <t>Lepení</t>
  </si>
  <si>
    <t>Kalené lepené</t>
  </si>
  <si>
    <t>Folie lepení</t>
  </si>
  <si>
    <t>uprava</t>
  </si>
  <si>
    <t>lepení?</t>
  </si>
  <si>
    <t>A</t>
  </si>
  <si>
    <t>_N1</t>
  </si>
  <si>
    <t>_A1</t>
  </si>
  <si>
    <t>_N2</t>
  </si>
  <si>
    <t>_A2</t>
  </si>
  <si>
    <t>_N3</t>
  </si>
  <si>
    <t>_A3</t>
  </si>
  <si>
    <t>Kombinace 2 profilů</t>
  </si>
  <si>
    <t>Rámeček složený ze dvou různých profilů</t>
  </si>
  <si>
    <t>Značka kování</t>
  </si>
  <si>
    <t>Varianta kování</t>
  </si>
  <si>
    <t>_vyklopy_blum</t>
  </si>
  <si>
    <t>_vyklopy_hettich</t>
  </si>
  <si>
    <t>_vyklopy_italiana</t>
  </si>
  <si>
    <t>_vyklopy_kesse</t>
  </si>
  <si>
    <t>_Výklopy_Blum</t>
  </si>
  <si>
    <t>_Výklopy_Hettich</t>
  </si>
  <si>
    <t xml:space="preserve">_Výklopy_Kesseböhmer </t>
  </si>
  <si>
    <t>_Výklopy_ITALIANA ferramenta</t>
  </si>
  <si>
    <t>Závěs Hettich 1</t>
  </si>
  <si>
    <t>Závěs Hettich 2</t>
  </si>
  <si>
    <t>Závěs Hettich 3</t>
  </si>
  <si>
    <t>Závěs Hettich 4</t>
  </si>
  <si>
    <t>Závěs Hettich 5</t>
  </si>
  <si>
    <t>Závěs Blum 1</t>
  </si>
  <si>
    <t>Závěs Blum 2</t>
  </si>
  <si>
    <t>Závěs Blum 3</t>
  </si>
  <si>
    <t>Závěs Blum 4</t>
  </si>
  <si>
    <t>Závěs Blum 5</t>
  </si>
  <si>
    <t>_Závěsy_Hettich</t>
  </si>
  <si>
    <t>_Závěsy_Blum</t>
  </si>
  <si>
    <t>_zavesy_hettich</t>
  </si>
  <si>
    <t>_zavesy_blum</t>
  </si>
  <si>
    <t>Umístění úchytky</t>
  </si>
  <si>
    <t>Rozteče úchytek</t>
  </si>
  <si>
    <t>korpusový závěs 13764</t>
  </si>
  <si>
    <t>podložka korpus 203387</t>
  </si>
  <si>
    <t>středový závěs 13765</t>
  </si>
  <si>
    <t>adaptér středového závěsu 13768</t>
  </si>
  <si>
    <t>adaptér teleskopu P 13767</t>
  </si>
  <si>
    <t>adaptér teleskopu L 13766</t>
  </si>
  <si>
    <t>naložený</t>
  </si>
  <si>
    <t>obyčejná</t>
  </si>
  <si>
    <t>korpusový závěs 12023</t>
  </si>
  <si>
    <t>středový závěs 12024</t>
  </si>
  <si>
    <t>podložka středová 12340</t>
  </si>
  <si>
    <t>podložky teleskopu 203387</t>
  </si>
  <si>
    <t>samořezný vrut alu 13681</t>
  </si>
  <si>
    <t>polonaložený</t>
  </si>
  <si>
    <t>s excentrem</t>
  </si>
  <si>
    <t>korpusový závěs 118033</t>
  </si>
  <si>
    <t>čelní kování alu 247131</t>
  </si>
  <si>
    <t>čep na korpus 247127</t>
  </si>
  <si>
    <t>vložený</t>
  </si>
  <si>
    <t>X</t>
  </si>
  <si>
    <t>korpusový závěs 12047</t>
  </si>
  <si>
    <t>čelní kování alu 247129</t>
  </si>
  <si>
    <t>vrut</t>
  </si>
  <si>
    <t>hettich tip-on 300285</t>
  </si>
  <si>
    <t>hettich úchytka 300279</t>
  </si>
  <si>
    <t>blum tip-on 12109</t>
  </si>
  <si>
    <t>blum úchytka 118033</t>
  </si>
  <si>
    <t>blum úchytka 12103+12391</t>
  </si>
  <si>
    <t>strong tip-on 350864</t>
  </si>
  <si>
    <t>strong úchytka 92584T</t>
  </si>
  <si>
    <t>tlumený</t>
  </si>
  <si>
    <t>eurošroub</t>
  </si>
  <si>
    <t>hettich tip-on 245723</t>
  </si>
  <si>
    <t>hettich úchytka 104717</t>
  </si>
  <si>
    <t>blum tip-on 226668</t>
  </si>
  <si>
    <t>blum úchytka 12047</t>
  </si>
  <si>
    <t>strong tip-on 350837</t>
  </si>
  <si>
    <t>strong úchytka 350827</t>
  </si>
  <si>
    <t>netlumený</t>
  </si>
  <si>
    <t>hmoždinka (jaká?)</t>
  </si>
  <si>
    <t>tip-on</t>
  </si>
  <si>
    <t>základní</t>
  </si>
  <si>
    <t>zvýšená (jak moc?)</t>
  </si>
  <si>
    <t>hettich spodní 300282</t>
  </si>
  <si>
    <t>hettich horní 300279</t>
  </si>
  <si>
    <t>blum spodní 12106</t>
  </si>
  <si>
    <t>blum horní 118033</t>
  </si>
  <si>
    <t>blum horní 12103+12391</t>
  </si>
  <si>
    <t>strong spodní 350863</t>
  </si>
  <si>
    <t>strong horní 350863</t>
  </si>
  <si>
    <t>strong horní 92584T</t>
  </si>
  <si>
    <t>hettich spodní 232346</t>
  </si>
  <si>
    <t>hettich horní 104717</t>
  </si>
  <si>
    <t>blum spodní 12052</t>
  </si>
  <si>
    <t>blum horní 12047</t>
  </si>
  <si>
    <t>strong spodní 350834</t>
  </si>
  <si>
    <t>strong horní 350827</t>
  </si>
  <si>
    <t>kimana 224888</t>
  </si>
  <si>
    <t>119043 HETTICH 41296 Šroub 3,5 x 9,5 mm DIN 7982 pro uchycení misky do (širokého) alu rámu</t>
  </si>
  <si>
    <t>13681 BLUM 660.0950 speciální vrut pro široké rámečky</t>
  </si>
  <si>
    <t>STRONG(+)</t>
  </si>
  <si>
    <t>typ alurámečku</t>
  </si>
  <si>
    <t>značka závěsu</t>
  </si>
  <si>
    <t>naložení dvířek</t>
  </si>
  <si>
    <t>typ závěsu</t>
  </si>
  <si>
    <t>závěs 95°</t>
  </si>
  <si>
    <t>závěs 110°</t>
  </si>
  <si>
    <t>závěs 120°</t>
  </si>
  <si>
    <t>úzký</t>
  </si>
  <si>
    <t>stříbrná</t>
  </si>
  <si>
    <t>-</t>
  </si>
  <si>
    <t>černá</t>
  </si>
  <si>
    <t>široký</t>
  </si>
  <si>
    <t>Vybrat závěs k výklopu</t>
  </si>
  <si>
    <t>Naložení</t>
  </si>
  <si>
    <t>Hlavní výběr - concat</t>
  </si>
  <si>
    <t>Duo_Forte</t>
  </si>
  <si>
    <t>Lift_Up</t>
  </si>
  <si>
    <t>Lift_exact</t>
  </si>
  <si>
    <t>Souhrn</t>
  </si>
  <si>
    <t>Keret</t>
  </si>
  <si>
    <t>Kombinácia 2 profilov</t>
  </si>
  <si>
    <t>Połączenie 2 profili</t>
  </si>
  <si>
    <t>2 profil kombinációja</t>
  </si>
  <si>
    <t>Dělící lišty</t>
  </si>
  <si>
    <t>Osztócsíkok</t>
  </si>
  <si>
    <t>Deliace lišty</t>
  </si>
  <si>
    <t>Značka kovania</t>
  </si>
  <si>
    <t>Marka okucia</t>
  </si>
  <si>
    <t>Wariant okucia</t>
  </si>
  <si>
    <t>Variant kovania</t>
  </si>
  <si>
    <t>Naloženie</t>
  </si>
  <si>
    <t>Ráütődés</t>
  </si>
  <si>
    <t>Závesy pre výklopy</t>
  </si>
  <si>
    <t>Umiestnenie úchytky</t>
  </si>
  <si>
    <t>Fogantyú helyzete</t>
  </si>
  <si>
    <t>Rozteč</t>
  </si>
  <si>
    <t>Rozstaw</t>
  </si>
  <si>
    <t>Távolság</t>
  </si>
  <si>
    <t>W górę</t>
  </si>
  <si>
    <t>Fel</t>
  </si>
  <si>
    <t>Navrchu</t>
  </si>
  <si>
    <t>Le</t>
  </si>
  <si>
    <t>Hartowane</t>
  </si>
  <si>
    <t>Edzett</t>
  </si>
  <si>
    <t>Módosítások nélkül</t>
  </si>
  <si>
    <t>Bez úprav</t>
  </si>
  <si>
    <t>Bez modyfikacji</t>
  </si>
  <si>
    <t>Folia</t>
  </si>
  <si>
    <t>Fólia</t>
  </si>
  <si>
    <t>Podnośniki</t>
  </si>
  <si>
    <t xml:space="preserve">Vasalatok </t>
  </si>
  <si>
    <t>Wpuszczany</t>
  </si>
  <si>
    <t>úzký_BLUM_Nakładany</t>
  </si>
  <si>
    <t>úzký_BLUM_Półnakładany</t>
  </si>
  <si>
    <t>úzký_BLUM_Wpuszczany</t>
  </si>
  <si>
    <t>úzký_HETTICH_Nakładany</t>
  </si>
  <si>
    <t>úzký_HETTICH_Półnakładany</t>
  </si>
  <si>
    <t>úzký_HETTICH_Wpuszczany</t>
  </si>
  <si>
    <t>úzký_STRONG_Nakładany</t>
  </si>
  <si>
    <t>úzký_STRONG PLUS_Nakładany</t>
  </si>
  <si>
    <t>široký_BLUM_Nakładany</t>
  </si>
  <si>
    <t>široký_BLUM_Półnakładany</t>
  </si>
  <si>
    <t>široký_BLUM_Wpuszczany</t>
  </si>
  <si>
    <t>široký_HETTICH_Nakładany</t>
  </si>
  <si>
    <t>široký_HETTICH_Półnakładany</t>
  </si>
  <si>
    <t>široký_HETTICH_Wpuszczany</t>
  </si>
  <si>
    <t>široký_STRONG_Nakładany</t>
  </si>
  <si>
    <t>široký_STRONG_Półnakładany</t>
  </si>
  <si>
    <t>široký_STRONG_Wpuszczany</t>
  </si>
  <si>
    <t>úzký_BLUM_Naložený</t>
  </si>
  <si>
    <t>úzký_BLUM_Polonaložený</t>
  </si>
  <si>
    <t>úzký_BLUM_Vložený</t>
  </si>
  <si>
    <t>úzký_HETTICH_Naložený</t>
  </si>
  <si>
    <t>úzký_HETTICH_Polonaložený</t>
  </si>
  <si>
    <t>úzký_HETTICH_Vložený</t>
  </si>
  <si>
    <t>úzký_STRONG_Naložený</t>
  </si>
  <si>
    <t>úzký_STRONG PLUS_Naložený</t>
  </si>
  <si>
    <t>široký_BLUM_Naložený</t>
  </si>
  <si>
    <t>široký_BLUM_Polonaložený</t>
  </si>
  <si>
    <t>široký_BLUM_Vložený</t>
  </si>
  <si>
    <t>široký_HETTICH_Naložený</t>
  </si>
  <si>
    <t>široký_HETTICH_Polonaložený</t>
  </si>
  <si>
    <t>široký_HETTICH_Vložený</t>
  </si>
  <si>
    <t>široký_STRONG_Naložený</t>
  </si>
  <si>
    <t>široký_STRONG_Polonaložený</t>
  </si>
  <si>
    <t>široký_STRONG_Vložený</t>
  </si>
  <si>
    <t>Ano</t>
  </si>
  <si>
    <t>Ne</t>
  </si>
  <si>
    <t>Igen</t>
  </si>
  <si>
    <t>Nem</t>
  </si>
  <si>
    <t>Nie</t>
  </si>
  <si>
    <t>Tak</t>
  </si>
  <si>
    <t>Áno</t>
  </si>
  <si>
    <t>Rámček zložený z dvoch rôznych profilov</t>
  </si>
  <si>
    <t>Két különböző profilból álló keret</t>
  </si>
  <si>
    <t>úzký_BLUM_Ráütődő</t>
  </si>
  <si>
    <t>úzký_HETTICH_Ráütődő</t>
  </si>
  <si>
    <t>úzký_STRONG_Ráütődő</t>
  </si>
  <si>
    <t>široký_BLUM_Ráütődő</t>
  </si>
  <si>
    <t>široký_HETTICH_Ráütődő</t>
  </si>
  <si>
    <t>široký_STRONG_Ráütődő</t>
  </si>
  <si>
    <t>Skla</t>
  </si>
  <si>
    <t>Cena</t>
  </si>
  <si>
    <t>Rozteč uch.</t>
  </si>
  <si>
    <t>Umistění uch.</t>
  </si>
  <si>
    <t xml:space="preserve">Počet ram. </t>
  </si>
  <si>
    <t>Vlevo a vpravo</t>
  </si>
  <si>
    <t>Nahoře a dole</t>
  </si>
  <si>
    <t>Kombinace dvou profilů</t>
  </si>
  <si>
    <t>Mezera mezi předěly musí být alespoň 100 mm.</t>
  </si>
  <si>
    <t>A válaszfalak közötti hézagnak legalább 100 mm-nek kell lennie.</t>
  </si>
  <si>
    <t>Medzera medzi predely musí byť aspoň 100 mm.</t>
  </si>
  <si>
    <t>Předěl</t>
  </si>
  <si>
    <t>Typ fólie</t>
  </si>
  <si>
    <t>Rodzaj folii</t>
  </si>
  <si>
    <t>Fólia típus</t>
  </si>
  <si>
    <t>transparentné</t>
  </si>
  <si>
    <t>biela</t>
  </si>
  <si>
    <t>čierna</t>
  </si>
  <si>
    <t>Átlátszó</t>
  </si>
  <si>
    <t>Fekete</t>
  </si>
  <si>
    <t>Kalení</t>
  </si>
  <si>
    <t>Broušení skla pro předěly</t>
  </si>
  <si>
    <t>_</t>
  </si>
  <si>
    <t>&lt;-</t>
  </si>
  <si>
    <t>Poč. široký</t>
  </si>
  <si>
    <t>Poč. úzký</t>
  </si>
  <si>
    <t>Dále</t>
  </si>
  <si>
    <t>Ďalšie</t>
  </si>
  <si>
    <t>Következő</t>
  </si>
  <si>
    <t>Podsumowanie</t>
  </si>
  <si>
    <t>Összegzés</t>
  </si>
  <si>
    <t>Súhrn</t>
  </si>
  <si>
    <t>Standardně jsou rámečky připraveny pro posuvné kování H27AL (nosnost 25 kg na rámeček) a H37AL (nosnost 35 kg na rámeček).</t>
  </si>
  <si>
    <t>Štandardne sú rámčeky pripravené pre posuvné kovanie H27AL (nosnosť 25 kg na rámček) a H37AL (nosnosť 35 kg na rámček).</t>
  </si>
  <si>
    <t>Cena za posuvné rámečky je shodná jako cena za běžné rámečky.</t>
  </si>
  <si>
    <t>Siena černá (Vlevo a vpravo) + Varna černá (Nahoře a dole)</t>
  </si>
  <si>
    <t>Siena čierna (Vľavo a vpravo) + Varna čierna (Hore a dole)</t>
  </si>
  <si>
    <t>Siena fekete (bal és jobb) + Várna fekete (felső és alsó)</t>
  </si>
  <si>
    <t>Rocca černá (Vlevo a vpravo) + Varna černá (Nahoře a dole)</t>
  </si>
  <si>
    <t>Rocca čierna (Vľavo a vpravo) + Varna čierna (Hore a dole)</t>
  </si>
  <si>
    <t>Rocca czarny (lewa i prawa) + Varna czarny (góra i dół)</t>
  </si>
  <si>
    <t>Rocca fekete (bal és jobb) + Várna fekete (felső és alsó)</t>
  </si>
  <si>
    <t>A pánttál- nyílásokat szabvány szerint a keret élétől 3mm-re marjuk be</t>
  </si>
  <si>
    <t>Az feltüntetett árak ÁFA nélkül vannak megadva és nem tartalmazzák a szükséges vasalatok árát!</t>
  </si>
  <si>
    <t>Darabszám</t>
  </si>
  <si>
    <t>Aventos - egyéb</t>
  </si>
  <si>
    <t>Pántok gázrugós dugattyúval</t>
  </si>
  <si>
    <t>Félig ráütődő klip</t>
  </si>
  <si>
    <t>Közézáródó klip</t>
  </si>
  <si>
    <t>Félig ráütődő</t>
  </si>
  <si>
    <t>Közézáródó</t>
  </si>
  <si>
    <t>Közézáródó ellenrugóval</t>
  </si>
  <si>
    <t>Közézáródó integr. Blumotionnal</t>
  </si>
  <si>
    <t>45° clip Félig ráütődő</t>
  </si>
  <si>
    <t>45° klip</t>
  </si>
  <si>
    <t>Az Aventos típusa</t>
  </si>
  <si>
    <t>Gázrugós felnyílók</t>
  </si>
  <si>
    <t>Szállítás a kiválasztott vasalatokkal</t>
  </si>
  <si>
    <t>A másik ajtó kivitelezése</t>
  </si>
  <si>
    <t>LFFL vastagság 18 mm</t>
  </si>
  <si>
    <t xml:space="preserve">A nyomtatvány kitöltésénél mindig haladjon fentről lefelé. Amennyiben bármilyen változtatást hajt végre a nyomtatványon, ellenőrizze az összes adatot, hogy rendben vannak-e. </t>
  </si>
  <si>
    <t>Ábrázolt  RAL és REF színek csak tájékoztató jellegűek !!!</t>
  </si>
  <si>
    <t>AVENTOS HK-S</t>
  </si>
  <si>
    <t>A megrendelés alapértelmezetten a vasalattal és a vezető profilokkal együtt kerül kiszállításra</t>
  </si>
  <si>
    <t>Itt vannak megadva az ajtó standard átnyúlásai</t>
  </si>
  <si>
    <t>AVENTOS HK-S TIP ON</t>
  </si>
  <si>
    <t>A nyílások szabványos fúrása pántok részére minden típusú Aventos HF vasalatnál 100 mm az éltől</t>
  </si>
  <si>
    <t>Mindig használja a legfrissebb megrendelő lapot, amelyet megtalál a weboldalunkon.</t>
  </si>
  <si>
    <t>Az összes Lacobal és Matelac üveget biztonsági fóliával lehet ellátni (amennyiben szükséges, kérjük beírni a megjegyzésbe)</t>
  </si>
  <si>
    <t>A nagy méretű keretekhez ( nagy méret 1200 x 800 mm felett), felárat számolhatunk fel a speciális csomagolásért és szállításért (részletesebb információért forduljon ügyfélközpontunkhoz).</t>
  </si>
  <si>
    <t>Az üveg minták megrendelhetőek: Lacobel kód VZK003P és Matelac kód VZK004P.</t>
  </si>
  <si>
    <t>A beadott ajtórajzok elölnézetben vannak megjelenítve.</t>
  </si>
  <si>
    <t>Sensys félig ráütődő csillapítós</t>
  </si>
  <si>
    <t>Sensys közézáródó csillapítós</t>
  </si>
  <si>
    <t>Intermat félig ráütődő</t>
  </si>
  <si>
    <t>Intermat közézáródó</t>
  </si>
  <si>
    <t>Sensys közézáródó csillapító nélkül</t>
  </si>
  <si>
    <t>félig ráütődő klip csillapítós 110°</t>
  </si>
  <si>
    <t>közézáródó klip csillapítós 110°</t>
  </si>
  <si>
    <t>félig ráütődő klip csillapító nélkül 110°</t>
  </si>
  <si>
    <t>félig ráütődő TIP-ON klip 110°</t>
  </si>
  <si>
    <t>közézáródó TIP-ON klip 110°</t>
  </si>
  <si>
    <t>félig ráütődő csillapítós klip 95°</t>
  </si>
  <si>
    <t>közézáródó csillapítós klip 95°</t>
  </si>
  <si>
    <t>ráütődő slide on</t>
  </si>
  <si>
    <t>félig ráütődő slide on</t>
  </si>
  <si>
    <t>közézáródó slide on</t>
  </si>
  <si>
    <t>H0 csavar slide on</t>
  </si>
  <si>
    <t>Euro csavar  H0 slide on</t>
  </si>
  <si>
    <t xml:space="preserve">Euro csavar  H2 slide on </t>
  </si>
  <si>
    <t>Sensys SiSy félig ráütődő</t>
  </si>
  <si>
    <t>Sensys SiSy közézáródó</t>
  </si>
  <si>
    <t>Sensys P2o félig ráütődő</t>
  </si>
  <si>
    <t>Sensys P2o közézáródó</t>
  </si>
  <si>
    <t>félig ráütődő csillapítós klip 110° ONYX</t>
  </si>
  <si>
    <t>közézáródó csillapítós klip 110° Onyx</t>
  </si>
  <si>
    <t>Bevezetés</t>
  </si>
  <si>
    <t>Szerelvények gyártója</t>
  </si>
  <si>
    <t>Szerelvények típusa</t>
  </si>
  <si>
    <t>Pántok felnyíló vasalatokhoz</t>
  </si>
  <si>
    <t>Fehér</t>
  </si>
  <si>
    <t>Alapkivitelben a keretek a H27AL (teherbírás 25 keret / keret) és a H37AL (teherbírás 35 kg / keret) csúszó szerelvényekhez vannak felkészítve.</t>
  </si>
  <si>
    <t>Standardowo ościeżnice przygotowane są pod okucia przesuwne H27AL (nośność 25 kg na ościeżnicę) i H37AL (nośność 35 kg na ościeżnicę).</t>
  </si>
  <si>
    <t>Cena za ramy przesuwne jest taka sama jak cena za zwykłe ramy.</t>
  </si>
  <si>
    <t>A csúszó keretek ára megegyezik a közönséges keretek árával.</t>
  </si>
  <si>
    <t>Zawias z podnośnikiem gazowym</t>
  </si>
  <si>
    <t>Półnakładany ze zintegrowanym Blumotionem</t>
  </si>
  <si>
    <t>Wpuszczany ze zintegrowanym Blumotionem</t>
  </si>
  <si>
    <t>Podwyższenie o 6mm</t>
  </si>
  <si>
    <t>Wybierz pozycję ramki</t>
  </si>
  <si>
    <t>W dół</t>
  </si>
  <si>
    <t>Płyta melaminowana grubość 18mm</t>
  </si>
  <si>
    <t xml:space="preserve">Ilość drzwi </t>
  </si>
  <si>
    <t>Nakładany ze zintegrowanym Blumotionem</t>
  </si>
  <si>
    <t>W przypadku niektórych typów uchwytów gwinty do wkrętów są wpuszczone i należy zastosować odpowiednie podkładki dystansowe.</t>
  </si>
  <si>
    <t>Szczelina między szprosami musi wynosić co najmniej 100 mm.</t>
  </si>
  <si>
    <t>Na prośbę klienta można dostarczyć ramki o maksymalnej długości profilu 3m. Rozmiar maksymalny szkła wynosi 2500 x 1300 mm.</t>
  </si>
  <si>
    <t>Wszystkie szkła Lacobel i Matelac można podkleić folią bezpieczną (należy dopisać taką informację w notatce)</t>
  </si>
  <si>
    <t>Przed odesłaniem zamówienia należy sprawdzić czy nie przekroczone zostały maksymalne wymiary ramki względem zastosowanego okucia. Formularz nie ma ustawionych ograniczeń.</t>
  </si>
  <si>
    <t>Podane rysunki techniczne frontów przedstawione są z przodu.</t>
  </si>
  <si>
    <t>Umieszczenie ramienia</t>
  </si>
  <si>
    <t>Nałożenie</t>
  </si>
  <si>
    <t>Zawiasy do podnośników</t>
  </si>
  <si>
    <t>Umieszczenie uchwytu</t>
  </si>
  <si>
    <t>Ramka złożona z dwóch różnych profili</t>
  </si>
  <si>
    <t>transparentna</t>
  </si>
  <si>
    <t>Biała</t>
  </si>
  <si>
    <t>czarna</t>
  </si>
  <si>
    <t>Kolejne</t>
  </si>
  <si>
    <t>Zpět</t>
  </si>
  <si>
    <t>Vissza</t>
  </si>
  <si>
    <t>Powrót</t>
  </si>
  <si>
    <t>Späť</t>
  </si>
  <si>
    <t>Lamane?</t>
  </si>
  <si>
    <t>Standardní vzdálenost závěsů od okraje je nastavena na 100mm (minimální  80mm). V případě potřeby změnit rozteč mezi jednotlivými závěsy, prosím, uveďte do poznámky (v mm).</t>
  </si>
  <si>
    <t>Štandardná vzdialenosť závesov od okraja je nastavená na 100mm (minimálna 80mm). V prípade potreby zmeniť rozstup medzi jednotlivými závesy, prosím, uveďte do poznámky (v mm).</t>
  </si>
  <si>
    <t>Standardowa odległość zawiasów od krawędzi wynosi 100 mm (minimum 80 mm). Jeżeli konieczna jest zmiana rozstawu między poszczególnymi zawiasami, prosimy podać w notatce (w mm).</t>
  </si>
  <si>
    <t>_corleone</t>
  </si>
  <si>
    <t>hettich tlumený 300279</t>
  </si>
  <si>
    <t>blum tlumený 118033</t>
  </si>
  <si>
    <t>blum tlumený 12103+12391</t>
  </si>
  <si>
    <t>strong tlumený 350863</t>
  </si>
  <si>
    <t>strong tlumený 92584T</t>
  </si>
  <si>
    <t>hettich tlumený 104717</t>
  </si>
  <si>
    <t>blum tlumený 12047</t>
  </si>
  <si>
    <t>strong tlumený 350827</t>
  </si>
  <si>
    <t>Rozteč úchytky (mm)</t>
  </si>
  <si>
    <t>Rozteč úchytiek (mm)</t>
  </si>
  <si>
    <t>Rozstaw uchwytu (mm)</t>
  </si>
  <si>
    <t>Fogantyú távolság (mm)</t>
  </si>
  <si>
    <t>Siena black (Left and right) + Varna black (Top and bottom)</t>
  </si>
  <si>
    <t>Rocca black (Left and right) + Varna black (Top and bottom)</t>
  </si>
  <si>
    <t>Type of glass</t>
  </si>
  <si>
    <t>Top door</t>
  </si>
  <si>
    <t>Bottom door</t>
  </si>
  <si>
    <t>45°angle</t>
  </si>
  <si>
    <t>Select Frame Position</t>
  </si>
  <si>
    <t>Hinge manufacturer</t>
  </si>
  <si>
    <t>Number of hinges per frame</t>
  </si>
  <si>
    <t>Supply including specified fittings</t>
  </si>
  <si>
    <t>Top</t>
  </si>
  <si>
    <t>Narrow ALU Frame</t>
  </si>
  <si>
    <t>Wide ALU Frame</t>
  </si>
  <si>
    <t>Hinge position</t>
  </si>
  <si>
    <t>Total Price</t>
  </si>
  <si>
    <t>ID No:</t>
  </si>
  <si>
    <t>Order No.</t>
  </si>
  <si>
    <t>Color previews for individual RAL and REF names are indicative only!!!!</t>
  </si>
  <si>
    <t>Internal cabinet size (mm)</t>
  </si>
  <si>
    <t>The standard door overlaps are shown here</t>
  </si>
  <si>
    <t>color</t>
  </si>
  <si>
    <t>ALU Order</t>
  </si>
  <si>
    <t>bottom</t>
  </si>
  <si>
    <t>The standard drilling of hinge holes for all types of Aventos HF fittings, is 100 mm from the edge.</t>
  </si>
  <si>
    <t>The standard diameter of the mounting holes is 7 mm in the glass and 5 mm in the frame (distance pads are included).</t>
  </si>
  <si>
    <t>If your request is different from the one above, please note it.</t>
  </si>
  <si>
    <t>Please fill in your contact details and then click on the required box below.</t>
  </si>
  <si>
    <t>At the customer's request, frames with a maximum profile length of 3m can be supplied. The maximum glass dimension in this case is 2500 x 1300 mm.</t>
  </si>
  <si>
    <t>All Lacobel and Matelac glasses can be floored with safety foil (add to note if necessary)</t>
  </si>
  <si>
    <t>Send your filled order to</t>
  </si>
  <si>
    <t>ordering@demos-trade.com</t>
  </si>
  <si>
    <t>H27AL narrow frame fitting set (88630)</t>
  </si>
  <si>
    <t>H37AL wide frame fitting set (88631)</t>
  </si>
  <si>
    <t>By default, the frames are ready for the sliding fittings H27AL (25 kg load-capacity per frame) and H37AL (35 kg load-capacity per frame).</t>
  </si>
  <si>
    <t>The appropriate frame sizes for a particular type of fitting must be verified before entering into the order (Aventplan, catalog, …), the form has no restrictions set.</t>
  </si>
  <si>
    <t>The glass sample can be ordered under the codes Lacebel VZK003P and Matelac VZK004P.</t>
  </si>
  <si>
    <t>The price for sliding frames is the same as the price for regular frames.</t>
  </si>
  <si>
    <t>The above door drawings are shown when viewed from the front.</t>
  </si>
  <si>
    <t>Oversized box, higher traffic may be charged</t>
  </si>
  <si>
    <t>Arm position</t>
  </si>
  <si>
    <t>The minimum hinge distance from the edge of the frame is 70mm</t>
  </si>
  <si>
    <t>The minimum hinge distance from the edge of the frame is 80mm</t>
  </si>
  <si>
    <t>Intermat inserted</t>
  </si>
  <si>
    <t>STRONG 30N Gray Automatic</t>
  </si>
  <si>
    <t>STRONG 80N Gray Automatic</t>
  </si>
  <si>
    <t>STRONG 120N Gray Positioning</t>
  </si>
  <si>
    <t>CARTON 164 Bottom</t>
  </si>
  <si>
    <t>CARTON 244 Bottom</t>
  </si>
  <si>
    <t>CARTON 355 Bottom</t>
  </si>
  <si>
    <t>Dividing bars</t>
  </si>
  <si>
    <t>Loading</t>
  </si>
  <si>
    <t>Pitch</t>
  </si>
  <si>
    <t>Yes</t>
  </si>
  <si>
    <t>No</t>
  </si>
  <si>
    <t>Transparent</t>
  </si>
  <si>
    <t>White</t>
  </si>
  <si>
    <t>Black</t>
  </si>
  <si>
    <t>Next</t>
  </si>
  <si>
    <t>Summary</t>
  </si>
  <si>
    <t>Back</t>
  </si>
  <si>
    <t>Angličtina</t>
  </si>
  <si>
    <t>Common frames</t>
  </si>
  <si>
    <t>Notes</t>
  </si>
  <si>
    <t>Fittings variant</t>
  </si>
  <si>
    <t>Fittings brand</t>
  </si>
  <si>
    <t>If the Handle is fixed through glass, a distance washer must always be used (e.g. 144516, 191970, C0315)</t>
  </si>
  <si>
    <t>Handle diameter (mm)</t>
  </si>
  <si>
    <t>Handle position</t>
  </si>
  <si>
    <t>VERONA</t>
  </si>
  <si>
    <t>ROCCA</t>
  </si>
  <si>
    <t>IMOLA</t>
  </si>
  <si>
    <t>MODENA</t>
  </si>
  <si>
    <t>PISA</t>
  </si>
  <si>
    <t>CORLEONE</t>
  </si>
  <si>
    <t>VIVARO</t>
  </si>
  <si>
    <t>Palio černá (Vlevo a vpravo) + Varna černá (Nahoře a dole)</t>
  </si>
  <si>
    <t>Palio čierna (Vľavo a vpravo) + Varna čierna (Hore a dole)</t>
  </si>
  <si>
    <t>Palio czarny (lewa i prawa) + Varna czarny (góra i dół)</t>
  </si>
  <si>
    <t>Palio fekete (bal és jobb) + Várna fekete (felső és alsó)</t>
  </si>
  <si>
    <t>Palio black (Left and right) + Varna black (Top and bottom)</t>
  </si>
  <si>
    <t>Varna černá výrobce doporučuje délku max. 1200 mm</t>
  </si>
  <si>
    <t>Varna čierna výrobca odporúča dĺžku max. 1200 mm</t>
  </si>
  <si>
    <t>Varna czarna - producent zaleca długość max. 1200 mm</t>
  </si>
  <si>
    <t>Varna fekete - a gyártó max. 1200 mm</t>
  </si>
  <si>
    <t>Varna black - the manufacturer recommends a length of max. 1200 mm</t>
  </si>
  <si>
    <t>VarnA čierna výrobca odporúča dĺžku max. 1200 mm</t>
  </si>
  <si>
    <t>Objednávka skla</t>
  </si>
  <si>
    <t>Zamówienie szkła</t>
  </si>
  <si>
    <t>Üvegrendelés</t>
  </si>
  <si>
    <t>Glass order</t>
  </si>
  <si>
    <t>Broušení hran</t>
  </si>
  <si>
    <t>harded</t>
  </si>
  <si>
    <t>Foil</t>
  </si>
  <si>
    <t>Not treated</t>
  </si>
  <si>
    <t>The standard hole for a hinge cup is drilled 3mm from the edge.</t>
  </si>
  <si>
    <t>Prices shown are VAT-free and do not include price of the fittings required!</t>
  </si>
  <si>
    <t>Type of profile</t>
  </si>
  <si>
    <t>Total price of fittings</t>
  </si>
  <si>
    <t>Total order price</t>
  </si>
  <si>
    <t>Hinges</t>
  </si>
  <si>
    <t>Aventos others</t>
  </si>
  <si>
    <t>STRONG soft-closing</t>
  </si>
  <si>
    <t>Hinges with lift up mechanism</t>
  </si>
  <si>
    <t>Overlay clip hinge</t>
  </si>
  <si>
    <t>Half-overlay clip hinge</t>
  </si>
  <si>
    <t>Inset clip hinge</t>
  </si>
  <si>
    <t xml:space="preserve">Overlay </t>
  </si>
  <si>
    <t>Half-overlay</t>
  </si>
  <si>
    <t>Overlay with reversed spring function</t>
  </si>
  <si>
    <t>Inset with reversed spring function</t>
  </si>
  <si>
    <t>Clip on plate H2 for screws fixing</t>
  </si>
  <si>
    <t>Clip on plate H4 for screws fixing</t>
  </si>
  <si>
    <t>Clip on plate H2 for Euro-screws fixing</t>
  </si>
  <si>
    <t>Clip on plate H4 for Euro-screws fixing</t>
  </si>
  <si>
    <t>Slide on plate H2  for screw fixing</t>
  </si>
  <si>
    <t>Slide on plate H4  for screw fixing</t>
  </si>
  <si>
    <t>Slide on plate H2  for Euro-screw fixing</t>
  </si>
  <si>
    <t>Slide on plate H4  for Euro-screw fixing</t>
  </si>
  <si>
    <t>Overlay for Blumotion</t>
  </si>
  <si>
    <t>Half-overlay with integrated Blumotion</t>
  </si>
  <si>
    <t>Inset with integrated Blumotion</t>
  </si>
  <si>
    <t>45° clip-on overlay</t>
  </si>
  <si>
    <t>45° clip-on half overlay</t>
  </si>
  <si>
    <t>Overlay without spring  (TIP-ON)</t>
  </si>
  <si>
    <t>Inset without spring (TIP-ON)</t>
  </si>
  <si>
    <t>Clip-on for Euro-screw fixing</t>
  </si>
  <si>
    <t>Clip-on for screw fixing</t>
  </si>
  <si>
    <t>45° clip-on</t>
  </si>
  <si>
    <t>Clip-on H0 for Euro-Screw fixing</t>
  </si>
  <si>
    <t>Clip-on H0 for screw fixing</t>
  </si>
  <si>
    <t>Type of hinge</t>
  </si>
  <si>
    <t>Type of Aventos</t>
  </si>
  <si>
    <t>Type of mounting plate</t>
  </si>
  <si>
    <t>Lift-up pistons</t>
  </si>
  <si>
    <t>Second door type</t>
  </si>
  <si>
    <t xml:space="preserve">MDF 16 mm </t>
  </si>
  <si>
    <t xml:space="preserve">MDF 18 mm </t>
  </si>
  <si>
    <t>Hinge distance from edge of door</t>
  </si>
  <si>
    <t>Fill in only if drilling is not symmetrical</t>
  </si>
  <si>
    <t>Ordering Form - ALU frames</t>
  </si>
  <si>
    <t>Fill the form from top to the bottom. In case of change some boxes, please check previous data.</t>
  </si>
  <si>
    <t>Phone:</t>
  </si>
  <si>
    <t>Contact E-mail:</t>
  </si>
  <si>
    <t>Address of shop:</t>
  </si>
  <si>
    <t>Type of fittings</t>
  </si>
  <si>
    <t>STRONG without soft-closing</t>
  </si>
  <si>
    <t>Default order is delivered including fittings and guiding profiles</t>
  </si>
  <si>
    <t>LACOBEL and Matelac colors</t>
  </si>
  <si>
    <t>Type of arm</t>
  </si>
  <si>
    <t>Types of profile</t>
  </si>
  <si>
    <t>Minimum distance of hinge</t>
  </si>
  <si>
    <t>Overlay with integrated Bluemotion</t>
  </si>
  <si>
    <t>Some types of handles threads for the bolts are embedded and suitable spacer pads must be used.</t>
  </si>
  <si>
    <t>Claims for damage cannot be accepted if the frame has already been fitted.</t>
  </si>
  <si>
    <t>To attach the fitting to the ALU frame, designated screws should be used (e.g. code 13681).</t>
  </si>
  <si>
    <t>Always use the current version of the form available on our web pages.</t>
  </si>
  <si>
    <t>The gap between the dividers should be at least 100 mm.</t>
  </si>
  <si>
    <t>An order can also contain multiple types (sizes) of frames at the same time, therefore please make sure that some columns do not content data form previous order.</t>
  </si>
  <si>
    <t>The form contains several pages. You can switch between the pages with the buttons on the top.</t>
  </si>
  <si>
    <t>By filling in your contact details, you are simultaneously agreeing to have read the informattion below!</t>
  </si>
  <si>
    <t>Drawings of profiles and connection fittings</t>
  </si>
  <si>
    <t>Top guide profile length 2 m (87313)</t>
  </si>
  <si>
    <t>Bottom guide profile, length 2 m (87315)</t>
  </si>
  <si>
    <t>Top guide profile length 3 m (87312)</t>
  </si>
  <si>
    <t>Bottom guide profile, length 3 m (87314)</t>
  </si>
  <si>
    <t>Other Request (pieces)</t>
  </si>
  <si>
    <t>Quantity (pieces)</t>
  </si>
  <si>
    <t>For oversize frames (over 1200 x 800 mm), extra special packaging and transport may be charged (more informattion at the customer centre).</t>
  </si>
  <si>
    <t>Maximum possible frame size is 2500x1300mm</t>
  </si>
  <si>
    <t>Sensys Overlay soft-closing</t>
  </si>
  <si>
    <t>Sensys half-Overlay soft-closing</t>
  </si>
  <si>
    <t>Sensys Inset soft-closing</t>
  </si>
  <si>
    <t>Sensys 90° hinge soft-closing</t>
  </si>
  <si>
    <t>Sensys Overlay Unsoft-closing</t>
  </si>
  <si>
    <t>Intermat Overlay</t>
  </si>
  <si>
    <t>Intermat Overlay 125°</t>
  </si>
  <si>
    <t>Intermat half-Overlay</t>
  </si>
  <si>
    <t>Intermat 90° hinge</t>
  </si>
  <si>
    <t>Sensys Overlay without soft-closing</t>
  </si>
  <si>
    <t>Sensys inserted without soft-closing</t>
  </si>
  <si>
    <t>screw plate</t>
  </si>
  <si>
    <t>plate for Euro-screw fixing</t>
  </si>
  <si>
    <t>spacer plate</t>
  </si>
  <si>
    <t>Overlay with 110° soft-closing clip-on</t>
  </si>
  <si>
    <t>half-Overlay with 110° soft-closing clip-on</t>
  </si>
  <si>
    <t>Inset with 110° soft-closing clip-on</t>
  </si>
  <si>
    <t>Overlay without soft-closing clip-on 110°</t>
  </si>
  <si>
    <t>half-Overlay without soft-closing clip-on 110°</t>
  </si>
  <si>
    <t>inserted without clip-on mute 110°</t>
  </si>
  <si>
    <t>Overlay TIP-ON clip-on 110°</t>
  </si>
  <si>
    <t>half-Overlay TIP-ON clip-on 110°</t>
  </si>
  <si>
    <t>Inset TIP-ON clip-on 110°</t>
  </si>
  <si>
    <t>Overlay with 95° soft-closing clip-on</t>
  </si>
  <si>
    <t>half-Overlay with 95° soft-closing clip-on</t>
  </si>
  <si>
    <t>inset with 95°clip-on soft-closing</t>
  </si>
  <si>
    <t>Overlay TIP-ON clip-on 95°</t>
  </si>
  <si>
    <t>Overlay TIP-ON clip-on 120°</t>
  </si>
  <si>
    <t>Overlay Slide-on</t>
  </si>
  <si>
    <t>Half-overlay Slide-on</t>
  </si>
  <si>
    <t>Inset Slide-on</t>
  </si>
  <si>
    <t>STRONG 60N white Free-stop</t>
  </si>
  <si>
    <t>STRONG 80N white Free-stop</t>
  </si>
  <si>
    <t>STRONG 100N white Free-stop</t>
  </si>
  <si>
    <t>STRONG 120N white Free-stop</t>
  </si>
  <si>
    <t>STRONG 60N grey Free-stop</t>
  </si>
  <si>
    <t>STRONG 80N grey Free-stop</t>
  </si>
  <si>
    <t>STRONG 100N grey Free-stop</t>
  </si>
  <si>
    <t>STRONG drop-downwhite</t>
  </si>
  <si>
    <t>STRONG drop-downgrey</t>
  </si>
  <si>
    <t>Slide-on H0 for screw fixing</t>
  </si>
  <si>
    <t>Slide-on H0 for Euro-screw fixing</t>
  </si>
  <si>
    <t>Slide-on H2 for screw fixing</t>
  </si>
  <si>
    <t>Slide-on H2 for Euro-screw fixing</t>
  </si>
  <si>
    <t>Clip-on H0 for screw fixing with excenter</t>
  </si>
  <si>
    <t>Sensys SiSy Overlay</t>
  </si>
  <si>
    <t>Sensys SiSy Half-Overlay</t>
  </si>
  <si>
    <t>Sensys SiSy Inset</t>
  </si>
  <si>
    <t>Sensys P2o Overlay</t>
  </si>
  <si>
    <t>Sensys P2o Half-Overlay</t>
  </si>
  <si>
    <t>Sensys P2o Inset</t>
  </si>
  <si>
    <t>Sensys Overlay with P2O</t>
  </si>
  <si>
    <t>Overlay with 110° soft-closing clip-on, ONYX</t>
  </si>
  <si>
    <t>Half-Overlay with 110° soft-closing clip-on, ONYX</t>
  </si>
  <si>
    <t>Inset with 110° clip-on soft-closing, ONYX</t>
  </si>
  <si>
    <t>Overlay 95°, Onyx</t>
  </si>
  <si>
    <t>The maximum possible dimension of Corleone frame is 1500x600mm</t>
  </si>
  <si>
    <t>Combination of 2 Profiles</t>
  </si>
  <si>
    <t>Hinges for lift-up mechanisms</t>
  </si>
  <si>
    <t>Lifts</t>
  </si>
  <si>
    <t>Frame composed of two different profiles</t>
  </si>
  <si>
    <t>Type of foil</t>
  </si>
  <si>
    <t>The view of the dividers is only illustrative and does not show the selected number of dividers horizontally/vertically.</t>
  </si>
  <si>
    <t>Default distance from the edge is set at 100mm (minimum 80mm). In case of different distances between hinges, please make a note (in mm).</t>
  </si>
  <si>
    <t>EN</t>
  </si>
  <si>
    <t>úzký_BLUM_Overlay</t>
  </si>
  <si>
    <t>úzký_HETTICH_Overlay</t>
  </si>
  <si>
    <t>úzký_STRONG_Overlay</t>
  </si>
  <si>
    <t>široký_BLUM_Overlay</t>
  </si>
  <si>
    <t>široký_HETTICH_Overlay</t>
  </si>
  <si>
    <t>široký_STRONG_Overlay</t>
  </si>
  <si>
    <t>úzký_BLUM_Half-overlay</t>
  </si>
  <si>
    <t>úzký_HETTICH_Half-overlay</t>
  </si>
  <si>
    <t>široký_BLUM_Half-overlay</t>
  </si>
  <si>
    <t>široký_HETTICH_Half-overlay</t>
  </si>
  <si>
    <t>široký_STRONG_Half-overlay</t>
  </si>
  <si>
    <t>úzký_BLUM_Inset</t>
  </si>
  <si>
    <t>úzký_HETTICH_Inset</t>
  </si>
  <si>
    <t>široký_BLUM_Inset</t>
  </si>
  <si>
    <t>široký_HETTICH_Inset</t>
  </si>
  <si>
    <t>široký_STRONG_Inset</t>
  </si>
  <si>
    <t>Overlay</t>
  </si>
  <si>
    <t>ezüst</t>
  </si>
  <si>
    <t>fekete</t>
  </si>
  <si>
    <t>silver</t>
  </si>
  <si>
    <t>black</t>
  </si>
  <si>
    <t>strieborná</t>
  </si>
  <si>
    <t>srebro</t>
  </si>
  <si>
    <t>czarny</t>
  </si>
  <si>
    <t>BRW złota</t>
  </si>
  <si>
    <t>Uwagi CZ</t>
  </si>
  <si>
    <t>Uwagi PL</t>
  </si>
  <si>
    <t>Ramka 1</t>
  </si>
  <si>
    <t>Ramka 2</t>
  </si>
  <si>
    <t>Ramka 3</t>
  </si>
  <si>
    <t>Ramka 4</t>
  </si>
  <si>
    <t>Ramka 5</t>
  </si>
  <si>
    <t>Ramka 6</t>
  </si>
  <si>
    <t>Do zelených buněk upřesněte vzdálenost vrtání úchytky od kraje rámečku.
Pokud požadujete vrtání úchytky na střed rámečku a do středu profilu, vepište prosím do zelených buněk "x".</t>
  </si>
  <si>
    <t>Please specify distance from edge of the frame to holes for handle in green box.
If you require drilling the handle to the center of the frame and the center of the profile, please enter "x" in both cells.</t>
  </si>
  <si>
    <t>12047 - záves s pružinou a tlmením - strieborná</t>
  </si>
  <si>
    <t>When used with glass, the maximum recommended dimension is 1500 x 600 mm</t>
  </si>
  <si>
    <t>Při použití se sklem je maximální doporučený rozměr 1500 x 600 mm</t>
  </si>
  <si>
    <t>W przypadku zastosowania ze szkłem maksymalny zalecany wymiar to 1500 x 600 mm</t>
  </si>
  <si>
    <t>Üveggel történő használat esetén a maximális ajánlott méret 1500 x 600 mm</t>
  </si>
  <si>
    <t>Pri použití so sklom je maximálny odporúčaný rozmer 1500 x 600 mm</t>
  </si>
  <si>
    <t>344691 - závěs s pružinou a tlumením - černá</t>
  </si>
  <si>
    <t>232346 - závěs s pružinou bez tlumení - stříbrná</t>
  </si>
  <si>
    <t>245723 - tip-on závěs bez pružiny/tlumení - stříbrná</t>
  </si>
  <si>
    <t>344694 - tip-on závěs bez pružiny/tlumení - černá</t>
  </si>
  <si>
    <t>104718 - závěs s pružinou a tlumením - stříbrná</t>
  </si>
  <si>
    <t>344692 - závěs s pružinou a tlumením - černá</t>
  </si>
  <si>
    <t>232347 - závěs s pružinou bez tlumení - stříbrná</t>
  </si>
  <si>
    <t>245724 - tip-on závěs bez pružiny/tlumení - stříbrná</t>
  </si>
  <si>
    <t>344695 - tip-on závěs bez pružiny/tlumení - černá</t>
  </si>
  <si>
    <t>104719 - závěs s pružinou a tlumením - stříbrná</t>
  </si>
  <si>
    <t>344693 - závěs s pružinou a tlumením - černá</t>
  </si>
  <si>
    <t>232348 - závěs s pružinou bez tlumení - stříbrná</t>
  </si>
  <si>
    <t>245725 - tip-on závěs bez pružiny/tlumení - stříbrná</t>
  </si>
  <si>
    <t>344696 - tip-on závěs bez pružiny/tlumení - černá</t>
  </si>
  <si>
    <t>92580T - závěs s pružinou a tlumením - stříbrná</t>
  </si>
  <si>
    <t>198818 - závěs s pružinou bez tlumení - stříbrná</t>
  </si>
  <si>
    <t>92581T - závěs s pružinou a tlumením - stříbrná</t>
  </si>
  <si>
    <t>198819 - závěs s pružinou bez tlumení - stříbrná</t>
  </si>
  <si>
    <t>92582T - závěs s pružinou a tlumením - stříbrná</t>
  </si>
  <si>
    <t>198820 - závěs s pružinou bez tlumení - stříbrná</t>
  </si>
  <si>
    <t>350827 - závěs s pružinou a tlumením - stříbrná</t>
  </si>
  <si>
    <t>350834 - závěs s pružinou bez tlumení - stříbrná</t>
  </si>
  <si>
    <t>350837 - tip-on závěs bez pružiny/tlumení - stříbrná</t>
  </si>
  <si>
    <t>350828 - závěs s pružinou a tlumením - stříbrná</t>
  </si>
  <si>
    <t>350835 - závěs s pružinou bez tlumení - stříbrná</t>
  </si>
  <si>
    <t>350838 - tip-on závěs bez pružiny/tlumení - stříbrná</t>
  </si>
  <si>
    <t>350829 - závěs s pružinou a tlumením - stříbrná</t>
  </si>
  <si>
    <t>350836 - závěs s pružinou bez tlumení - stříbrná</t>
  </si>
  <si>
    <t>350839 - tip-on závěs bez pružiny/tlumení - stříbrná</t>
  </si>
  <si>
    <t>118033 / 12103+12391 - závěs s pružinou a tlumením - stříbrná</t>
  </si>
  <si>
    <t>118033 / 12106 - závěs s pružinou bez tlumení - stříbrná</t>
  </si>
  <si>
    <t>306329 - závěs s pružinou bez tlumení - černá</t>
  </si>
  <si>
    <t>12109 - tip-on závěs bez pružiny/tlumení - stříbrná</t>
  </si>
  <si>
    <t>118120 / 12104+12385 - závěs s pružinou a tlumením - stříbrná</t>
  </si>
  <si>
    <t>118120 / 12107 - závěs s pružinou bez tlumení - stříbrná</t>
  </si>
  <si>
    <t>118121 - závěs s pružinou a tlumením - stříbrná</t>
  </si>
  <si>
    <t>118121 / 12108 - závěs s pružinou bez tlumení - stříbrná</t>
  </si>
  <si>
    <t>300279 - závěs s pružinou a tlumením - stříbrná</t>
  </si>
  <si>
    <t>344697 - závěs s pružinou a tlumením - černá</t>
  </si>
  <si>
    <t>300282 - závěs s pružinou bez tlumení - stříbrná</t>
  </si>
  <si>
    <t>300280 - závěs s pružinou a tlumením - stříbrná</t>
  </si>
  <si>
    <t>300283 - závěs s pružinou bez tlumení - stříbrná</t>
  </si>
  <si>
    <t>300286 - tip-on závěs bez pružiny/tlumení - stříbrná</t>
  </si>
  <si>
    <t>300281 - závěs s pružinou a tlumením - stříbrná</t>
  </si>
  <si>
    <t>300284 - závěs s pružinou bez tlumení - stříbrná</t>
  </si>
  <si>
    <t>300287 - tip-on závěs bez pružiny/tlumení - stříbrná</t>
  </si>
  <si>
    <t>92584T - závěs s pružinou a tlumením - stříbrná</t>
  </si>
  <si>
    <t>350863 - závěs s pružinou a tlumením - stříbrná</t>
  </si>
  <si>
    <t>350864 - tip-on závěs bez pružiny/tlumení - stříbrná</t>
  </si>
  <si>
    <t>12047 - závěs s pružinou a tlumením - stříbrná</t>
  </si>
  <si>
    <t>306317 - závěs s pružinou a tlumením - černá</t>
  </si>
  <si>
    <t>12052 - závěs s pružinou bez tlumení - stříbrná</t>
  </si>
  <si>
    <t>226668 - tip-on závěs bez pružiny/tlumení - stříbrná</t>
  </si>
  <si>
    <t>12048 - závěs s pružinou a tlumením - stříbrná</t>
  </si>
  <si>
    <t>306318 - závěs s pružinou a tlumením - černá</t>
  </si>
  <si>
    <t>12053 - závěs s pružinou bez tlumení - stříbrná</t>
  </si>
  <si>
    <t>226670 - tip-on závěs bez pružiny/tlumení - stříbrná</t>
  </si>
  <si>
    <t>12049 - závěs s pružinou a tlumením - stříbrná</t>
  </si>
  <si>
    <t>306319 - závěs s pružinou a tlumením - černá</t>
  </si>
  <si>
    <t>12059 - závěs s pružinou bez tlumení - stříbrná</t>
  </si>
  <si>
    <t>226671 - tip-on závěs bez pružiny/tlumení - stříbrná</t>
  </si>
  <si>
    <t>104717 - závěs s pružinou a tlumením - stříbrná</t>
  </si>
  <si>
    <t>118033 / 12103+12391 - záves s pružinou a tlmením - strieborná</t>
  </si>
  <si>
    <t>118033 / 12106 - záves s pružinou bez tlmenia - strieborná</t>
  </si>
  <si>
    <t>306329 - záves s pružinou bez tlmenia - čierna</t>
  </si>
  <si>
    <t>12109 - tip-on záves bez pružiny / tlmenia - strieborná</t>
  </si>
  <si>
    <t>118120 / 12104+12385 - záves s pružinou a tlmením - strieborná</t>
  </si>
  <si>
    <t>118120 / 12107 - záves s pružinou bez tlmenia - strieborná</t>
  </si>
  <si>
    <t>118121 - záves s pružinou a tlmením - strieborná</t>
  </si>
  <si>
    <t>118121 / 12108 - záves s pružinou bez tlmenia - strieborná</t>
  </si>
  <si>
    <t>300279 - záves s pružinou a tlmením - strieborná</t>
  </si>
  <si>
    <t>344697 - záves s pružinou a tlmením - čierna</t>
  </si>
  <si>
    <t>300282 - záves s pružinou bez tlmenia - strieborná</t>
  </si>
  <si>
    <t>300280 - záves s pružinou a tlmením - strieborná</t>
  </si>
  <si>
    <t>300283 - záves s pružinou bez tlmenia - strieborná</t>
  </si>
  <si>
    <t>300286 - tip-on záves bez pružiny / tlmenia - strieborná</t>
  </si>
  <si>
    <t>300281 - záves s pružinou a tlmením - strieborná</t>
  </si>
  <si>
    <t>300284 - záves s pružinou bez tlmenia - strieborná</t>
  </si>
  <si>
    <t>300287 - tip-on záves bez pružiny / tlmenia - strieborná</t>
  </si>
  <si>
    <t>92584T - záves s pružinou a tlmením - strieborná</t>
  </si>
  <si>
    <t>350863 - záves s pružinou a tlmením - strieborná</t>
  </si>
  <si>
    <t>350864 - tip-on záves bez pružiny / tlmenia - strieborná</t>
  </si>
  <si>
    <t>306317 - záves s pružinou a tlmením - čierna</t>
  </si>
  <si>
    <t>12052 - záves s pružinou bez tlmenia - strieborná</t>
  </si>
  <si>
    <t>226668 - tip-on záves bez pružiny / tlmenia - strieborná</t>
  </si>
  <si>
    <t>12048 - záves s pružinou a tlmením - strieborná</t>
  </si>
  <si>
    <t>306318 - záves s pružinou a tlmením - čierna</t>
  </si>
  <si>
    <t>12053 - záves s pružinou bez tlmenia - strieborná</t>
  </si>
  <si>
    <t>226670 - tip-on záves bez pružiny / tlmenia - strieborná</t>
  </si>
  <si>
    <t>12049 - záves s pružinou a tlmením - strieborná</t>
  </si>
  <si>
    <t>306319 - záves s pružinou a tlmením - čierna</t>
  </si>
  <si>
    <t>12059 - záves s pružinou bez tlmenia - strieborná</t>
  </si>
  <si>
    <t>226671 - tip-on záves bez pružiny / tlmenia - strieborná</t>
  </si>
  <si>
    <t>104717 - záves s pružinou a tlmením - strieborná</t>
  </si>
  <si>
    <t>344691 - záves s pružinou a tlmením - čierna</t>
  </si>
  <si>
    <t>232346 - záves s pružinou bez tlmenia - strieborná</t>
  </si>
  <si>
    <t>245723 - tip-on záves bez pružiny / tlmenia - strieborná</t>
  </si>
  <si>
    <t>344694 - tip-on záves bez pružiny / tlmenia - čierna</t>
  </si>
  <si>
    <t>104718 - záves s pružinou a tlmením - strieborná</t>
  </si>
  <si>
    <t>344692 - záves s pružinou a tlmením - čierna</t>
  </si>
  <si>
    <t>232347 - záves s pružinou bez tlmenia - strieborná</t>
  </si>
  <si>
    <t>245724 - tip-on záves bez pružiny / tlmenia - strieborná</t>
  </si>
  <si>
    <t>344695 - tip-on záves bez pružiny / tlmenia - čierna</t>
  </si>
  <si>
    <t>104719 - záves s pružinou a tlmením - strieborná</t>
  </si>
  <si>
    <t>344693 - záves s pružinou a tlmením - čierna</t>
  </si>
  <si>
    <t>232348 - záves s pružinou bez tlmenia - strieborná</t>
  </si>
  <si>
    <t>245725 - tip-on záves bez pružiny / tlmenia - strieborná</t>
  </si>
  <si>
    <t>344696 - tip-on záves bez pružiny / tlmenia - čierna</t>
  </si>
  <si>
    <t>92580T - záves s pružinou a tlmením - strieborná</t>
  </si>
  <si>
    <t>198818 - záves s pružinou bez tlmenia - strieborná</t>
  </si>
  <si>
    <t>92581T - záves s pružinou a tlmením - strieborná</t>
  </si>
  <si>
    <t>198819 - záves s pružinou bez tlmenia - strieborná</t>
  </si>
  <si>
    <t>92582T - záves s pružinou a tlmením - strieborná</t>
  </si>
  <si>
    <t>198820 - záves s pružinou bez tlmenia - strieborná</t>
  </si>
  <si>
    <t>350827 - záves s pružinou a tlmením - strieborná</t>
  </si>
  <si>
    <t>350834 - záves s pružinou bez tlmenia - strieborná</t>
  </si>
  <si>
    <t>350837 - tip-on záves bez pružiny / tlmenia - strieborná</t>
  </si>
  <si>
    <t>350828 - záves s pružinou a tlmením - strieborná</t>
  </si>
  <si>
    <t>350835 - záves s pružinou bez tlmenia - strieborná</t>
  </si>
  <si>
    <t>350838 - tip-on záves bez pružiny / tlmenia - strieborná</t>
  </si>
  <si>
    <t>350829 - záves s pružinou a tlmením - strieborná</t>
  </si>
  <si>
    <t>350836 - záves s pružinou bez tlmenia - strieborná</t>
  </si>
  <si>
    <t>350839 - tip-on záves bez pružiny / tlmenia - strieborná</t>
  </si>
  <si>
    <t>118033 / 12103+12391 - zawias ze sprężyną z tłumieniem - srebro</t>
  </si>
  <si>
    <t>118033 / 12106 - zawias ze sprężyną bez tłumienia - srebro</t>
  </si>
  <si>
    <t>306329 - zawias ze sprężyną bez tłumienia - czarny</t>
  </si>
  <si>
    <t>12109 - tip-on zawias bez sprężyny/tłumienie - srebro</t>
  </si>
  <si>
    <t>118120 / 12104+12385 - zawias ze sprężyną z tłumieniem - srebro</t>
  </si>
  <si>
    <t>118120 / 12107 - zawias ze sprężyną bez tłumienia - srebro</t>
  </si>
  <si>
    <t>118121 - zawias ze sprężyną z tłumieniem - srebro</t>
  </si>
  <si>
    <t>118121 / 12108 - zawias ze sprężyną bez tłumienia - srebro</t>
  </si>
  <si>
    <t>300279 - zawias ze sprężyną z tłumieniem - srebro</t>
  </si>
  <si>
    <t>344697 - zawias ze sprężyną z tłumieniem - czarny</t>
  </si>
  <si>
    <t>300282 - zawias ze sprężyną bez tłumienia - srebro</t>
  </si>
  <si>
    <t>300280 - zawias ze sprężyną z tłumieniem - srebro</t>
  </si>
  <si>
    <t>300283 - zawias ze sprężyną bez tłumienia - srebro</t>
  </si>
  <si>
    <t>300286 - tip-on zawias bez sprężyny/tłumienie - srebro</t>
  </si>
  <si>
    <t>300281 - zawias ze sprężyną z tłumieniem - srebro</t>
  </si>
  <si>
    <t>300284 - zawias ze sprężyną bez tłumienia - srebro</t>
  </si>
  <si>
    <t>300287 - tip-on zawias bez sprężyny/tłumienie - srebro</t>
  </si>
  <si>
    <t>92584T - zawias ze sprężyną z tłumieniem - srebro</t>
  </si>
  <si>
    <t>350863 - zawias ze sprężyną z tłumieniem - srebro</t>
  </si>
  <si>
    <t>350864 - tip-on zawias bez sprężyny/tłumienie - srebro</t>
  </si>
  <si>
    <t>12047 - zawias ze sprężyną z tłumieniem - srebro</t>
  </si>
  <si>
    <t>306317 - zawias ze sprężyną z tłumieniem - czarny</t>
  </si>
  <si>
    <t>12052 - zawias ze sprężyną bez tłumienia - srebro</t>
  </si>
  <si>
    <t>226668 - tip-on zawias bez sprężyny/tłumienie - srebro</t>
  </si>
  <si>
    <t>12048 - zawias ze sprężyną z tłumieniem - srebro</t>
  </si>
  <si>
    <t>306318 - zawias ze sprężyną z tłumieniem - czarny</t>
  </si>
  <si>
    <t>12053 - zawias ze sprężyną bez tłumienia - srebro</t>
  </si>
  <si>
    <t>226670 - tip-on zawias bez sprężyny/tłumienie - srebro</t>
  </si>
  <si>
    <t>12049 - zawias ze sprężyną z tłumieniem - srebro</t>
  </si>
  <si>
    <t>306319 - zawias ze sprężyną z tłumieniem - czarny</t>
  </si>
  <si>
    <t>12059 - zawias ze sprężyną bez tłumienia - srebro</t>
  </si>
  <si>
    <t>226671 - tip-on zawias bez sprężyny/tłumienie - srebro</t>
  </si>
  <si>
    <t>104717 - zawias ze sprężyną z tłumieniem - srebro</t>
  </si>
  <si>
    <t>344691 - zawias ze sprężyną z tłumieniem - czarny</t>
  </si>
  <si>
    <t>232346 - zawias ze sprężyną bez tłumienia - srebro</t>
  </si>
  <si>
    <t>245723 - tip-on zawias bez sprężyny/tłumienie - srebro</t>
  </si>
  <si>
    <t>344694 - tip-on zawias bez sprężyny/tłumienie - czarny</t>
  </si>
  <si>
    <t>104718 - zawias ze sprężyną z tłumieniem - srebro</t>
  </si>
  <si>
    <t>344692 - zawias ze sprężyną z tłumieniem - czarny</t>
  </si>
  <si>
    <t>232347 - zawias ze sprężyną bez tłumienia - srebro</t>
  </si>
  <si>
    <t>245724 - tip-on zawias bez sprężyny/tłumienie - srebro</t>
  </si>
  <si>
    <t>344695 - tip-on zawias bez sprężyny/tłumienie - czarny</t>
  </si>
  <si>
    <t>104719 - zawias ze sprężyną z tłumieniem - srebro</t>
  </si>
  <si>
    <t>344693 - zawias ze sprężyną z tłumieniem - czarny</t>
  </si>
  <si>
    <t>232348 - zawias ze sprężyną bez tłumienia - srebro</t>
  </si>
  <si>
    <t>245725 - tip-on zawias bez sprężyny/tłumienie - srebro</t>
  </si>
  <si>
    <t>344696 - tip-on zawias bez sprężyny/tłumienie - czarny</t>
  </si>
  <si>
    <t>92580T - zawias ze sprężyną z tłumieniem - srebro</t>
  </si>
  <si>
    <t>198818 - zawias ze sprężyną bez tłumienia - srebro</t>
  </si>
  <si>
    <t>92581T - zawias ze sprężyną z tłumieniem - srebro</t>
  </si>
  <si>
    <t>198819 - zawias ze sprężyną bez tłumienia - srebro</t>
  </si>
  <si>
    <t>92582T - zawias ze sprężyną z tłumieniem - srebro</t>
  </si>
  <si>
    <t>198820 - zawias ze sprężyną bez tłumienia - srebro</t>
  </si>
  <si>
    <t>350827 - zawias ze sprężyną z tłumieniem - srebro</t>
  </si>
  <si>
    <t>350834 - zawias ze sprężyną bez tłumienia - srebro</t>
  </si>
  <si>
    <t>350837 - tip-on zawias bez sprężyny/tłumienie - srebro</t>
  </si>
  <si>
    <t>350828 - zawias ze sprężyną z tłumieniem - srebro</t>
  </si>
  <si>
    <t>350835 - zawias ze sprężyną bez tłumienia - srebro</t>
  </si>
  <si>
    <t>350838 - tip-on zawias bez sprężyny/tłumienie - srebro</t>
  </si>
  <si>
    <t>350829 - zawias ze sprężyną z tłumieniem - srebro</t>
  </si>
  <si>
    <t>350836 - zawias ze sprężyną bez tłumienia - srebro</t>
  </si>
  <si>
    <t>350839 - tip-on zawias bez sprężyny/tłumienie - srebro</t>
  </si>
  <si>
    <t>118033 / 12103+12391 - hinge - with spring and damping - ezüst</t>
  </si>
  <si>
    <t>118033 / 12106 - hinge - without damping - ezüst</t>
  </si>
  <si>
    <t>306329 - hinge - without damping - fekete</t>
  </si>
  <si>
    <t>12109 - hinge - tip-on without spring / damping - ezüst</t>
  </si>
  <si>
    <t>118120 / 12104+12385 - hinge - with spring and damping - ezüst</t>
  </si>
  <si>
    <t>118120 / 12107 - hinge - without damping - ezüst</t>
  </si>
  <si>
    <t>118121 - hinge - with spring and damping - ezüst</t>
  </si>
  <si>
    <t>118121 / 12108 - hinge - without damping - ezüst</t>
  </si>
  <si>
    <t>300279 - hinge - with spring and damping - ezüst</t>
  </si>
  <si>
    <t>344697 - hinge - with spring and damping - fekete</t>
  </si>
  <si>
    <t>300282 - hinge - without damping - ezüst</t>
  </si>
  <si>
    <t>300285 - hinge - tip-on without spring / damping - ezüst</t>
  </si>
  <si>
    <t>300280 - hinge - with spring and damping - ezüst</t>
  </si>
  <si>
    <t>300283 - hinge - without damping - ezüst</t>
  </si>
  <si>
    <t>300286 - hinge - tip-on without spring / damping - ezüst</t>
  </si>
  <si>
    <t>300281 - hinge - with spring and damping - ezüst</t>
  </si>
  <si>
    <t>300284 - hinge - without damping - ezüst</t>
  </si>
  <si>
    <t>300287 - hinge - tip-on without spring / damping - ezüst</t>
  </si>
  <si>
    <t>92584T - hinge - with spring and damping - ezüst</t>
  </si>
  <si>
    <t>350863 - hinge - with spring and damping - ezüst</t>
  </si>
  <si>
    <t>350864 - hinge - tip-on without spring / damping - ezüst</t>
  </si>
  <si>
    <t>12047 - hinge - with spring and damping - ezüst</t>
  </si>
  <si>
    <t>306317 - hinge - with spring and damping - fekete</t>
  </si>
  <si>
    <t>12052 - hinge - without damping - ezüst</t>
  </si>
  <si>
    <t>226668 - hinge - tip-on without spring / damping - ezüst</t>
  </si>
  <si>
    <t>12048 - hinge - with spring and damping - ezüst</t>
  </si>
  <si>
    <t>306318 - hinge - with spring and damping - fekete</t>
  </si>
  <si>
    <t>12053 - hinge - without damping - ezüst</t>
  </si>
  <si>
    <t>226670 - hinge - tip-on without spring / damping - ezüst</t>
  </si>
  <si>
    <t>12049 - hinge - with spring and damping - ezüst</t>
  </si>
  <si>
    <t>306319 - hinge - with spring and damping - fekete</t>
  </si>
  <si>
    <t>12059 - hinge - without damping - ezüst</t>
  </si>
  <si>
    <t>226671 - hinge - tip-on without spring / damping - ezüst</t>
  </si>
  <si>
    <t>104717 - hinge - with spring and damping - ezüst</t>
  </si>
  <si>
    <t>344691 - hinge - with spring and damping - fekete</t>
  </si>
  <si>
    <t>232346 - hinge - without damping - ezüst</t>
  </si>
  <si>
    <t>245723 - hinge - tip-on without spring / damping - ezüst</t>
  </si>
  <si>
    <t>344694 - hinge - tip-on without spring / damping - fekete</t>
  </si>
  <si>
    <t>104718 - hinge - with spring and damping - ezüst</t>
  </si>
  <si>
    <t>344692 - hinge - with spring and damping - fekete</t>
  </si>
  <si>
    <t>232347 - hinge - without damping - ezüst</t>
  </si>
  <si>
    <t>245724 - hinge - tip-on without spring / damping - ezüst</t>
  </si>
  <si>
    <t>344695 - hinge - tip-on without spring / damping - fekete</t>
  </si>
  <si>
    <t>104719 - hinge - with spring and damping - ezüst</t>
  </si>
  <si>
    <t>344693 - hinge - with spring and damping - fekete</t>
  </si>
  <si>
    <t>232348 - hinge - without damping - ezüst</t>
  </si>
  <si>
    <t>245725 - hinge - tip-on without spring / damping - ezüst</t>
  </si>
  <si>
    <t>344696 - hinge - tip-on without spring / damping - fekete</t>
  </si>
  <si>
    <t>92580T - hinge - with spring and damping - ezüst</t>
  </si>
  <si>
    <t>198818 - hinge - without damping - ezüst</t>
  </si>
  <si>
    <t>92581T - hinge - with spring and damping - ezüst</t>
  </si>
  <si>
    <t>198819 - hinge - without damping - ezüst</t>
  </si>
  <si>
    <t>92582T - hinge - with spring and damping - ezüst</t>
  </si>
  <si>
    <t>198820 - hinge - without damping - ezüst</t>
  </si>
  <si>
    <t>350827 - hinge - with spring and damping - ezüst</t>
  </si>
  <si>
    <t>350834 - hinge - without damping - ezüst</t>
  </si>
  <si>
    <t>350837 - hinge - tip-on without spring / damping - ezüst</t>
  </si>
  <si>
    <t>350828 - hinge - with spring and damping - ezüst</t>
  </si>
  <si>
    <t>350835 - hinge - without damping - ezüst</t>
  </si>
  <si>
    <t>350838 - hinge - tip-on without spring / damping - ezüst</t>
  </si>
  <si>
    <t>350829 - hinge - with spring and damping - ezüst</t>
  </si>
  <si>
    <t>350836 - hinge - without damping - ezüst</t>
  </si>
  <si>
    <t>350839 - hinge - tip-on without spring / damping - ezüst</t>
  </si>
  <si>
    <t>118033 / 12103+12391 - hinge - with spring and damping - silver</t>
  </si>
  <si>
    <t>118033 / 12106 - hinge - without damping - silver</t>
  </si>
  <si>
    <t>306329 - hinge - without damping - black</t>
  </si>
  <si>
    <t>12109 - hinge - tip-on without spring / damping - silver</t>
  </si>
  <si>
    <t>118120 / 12104+12385 - hinge - with spring and damping - silver</t>
  </si>
  <si>
    <t>118120 / 12107 - hinge - without damping - silver</t>
  </si>
  <si>
    <t>118121 - hinge - with spring and damping - silver</t>
  </si>
  <si>
    <t>118121 / 12108 - hinge - without damping - silver</t>
  </si>
  <si>
    <t>300279 - hinge - with spring and damping - silver</t>
  </si>
  <si>
    <t>344697 - hinge - with spring and damping - black</t>
  </si>
  <si>
    <t>300282 - hinge - without damping - silver</t>
  </si>
  <si>
    <t>300285 - hinge - tip-on without spring / damping - silver</t>
  </si>
  <si>
    <t>300280 - hinge - with spring and damping - silver</t>
  </si>
  <si>
    <t>300283 - hinge - without damping - silver</t>
  </si>
  <si>
    <t>300286 - hinge - tip-on without spring / damping - silver</t>
  </si>
  <si>
    <t>300281 - hinge - with spring and damping - silver</t>
  </si>
  <si>
    <t>300284 - hinge - without damping - silver</t>
  </si>
  <si>
    <t>300287 - hinge - tip-on without spring / damping - silver</t>
  </si>
  <si>
    <t>92584T - hinge - with spring and damping - silver</t>
  </si>
  <si>
    <t>350863 - hinge - with spring and damping - silver</t>
  </si>
  <si>
    <t>350864 - hinge - tip-on without spring / damping - silver</t>
  </si>
  <si>
    <t>12047 - hinge - with spring and damping - silver</t>
  </si>
  <si>
    <t>306317 - hinge - with spring and damping - black</t>
  </si>
  <si>
    <t>12052 - hinge - without damping - silver</t>
  </si>
  <si>
    <t>226668 - hinge - tip-on without spring / damping - silver</t>
  </si>
  <si>
    <t>12048 - hinge - with spring and damping - silver</t>
  </si>
  <si>
    <t>306318 - hinge - with spring and damping - black</t>
  </si>
  <si>
    <t>12053 - hinge - without damping - silver</t>
  </si>
  <si>
    <t>226670 - hinge - tip-on without spring / damping - silver</t>
  </si>
  <si>
    <t>12049 - hinge - with spring and damping - silver</t>
  </si>
  <si>
    <t>306319 - hinge - with spring and damping - black</t>
  </si>
  <si>
    <t>12059 - hinge - without damping - silver</t>
  </si>
  <si>
    <t>226671 - hinge - tip-on without spring / damping - silver</t>
  </si>
  <si>
    <t>104717 - hinge - with spring and damping - silver</t>
  </si>
  <si>
    <t>344691 - hinge - with spring and damping - black</t>
  </si>
  <si>
    <t>232346 - hinge - without damping - silver</t>
  </si>
  <si>
    <t>245723 - hinge - tip-on without spring / damping - silver</t>
  </si>
  <si>
    <t>344694 - hinge - tip-on without spring / damping - black</t>
  </si>
  <si>
    <t>104718 - hinge - with spring and damping - silver</t>
  </si>
  <si>
    <t>344692 - hinge - with spring and damping - black</t>
  </si>
  <si>
    <t>232347 - hinge - without damping - silver</t>
  </si>
  <si>
    <t>245724 - hinge - tip-on without spring / damping - silver</t>
  </si>
  <si>
    <t>344695 - hinge - tip-on without spring / damping - black</t>
  </si>
  <si>
    <t>104719 - hinge - with spring and damping - silver</t>
  </si>
  <si>
    <t>344693 - hinge - with spring and damping - black</t>
  </si>
  <si>
    <t>232348 - hinge - without damping - silver</t>
  </si>
  <si>
    <t>245725 - hinge - tip-on without spring / damping - silver</t>
  </si>
  <si>
    <t>344696 - hinge - tip-on without spring / damping - black</t>
  </si>
  <si>
    <t>92580T - hinge - with spring and damping - silver</t>
  </si>
  <si>
    <t>198818 - hinge - without damping - silver</t>
  </si>
  <si>
    <t>92581T - hinge - with spring and damping - silver</t>
  </si>
  <si>
    <t>198819 - hinge - without damping - silver</t>
  </si>
  <si>
    <t>92582T - hinge - with spring and damping - silver</t>
  </si>
  <si>
    <t>198820 - hinge - without damping - silver</t>
  </si>
  <si>
    <t>350827 - hinge - with spring and damping - silver</t>
  </si>
  <si>
    <t>350834 - hinge - without damping - silver</t>
  </si>
  <si>
    <t>350837 - hinge - tip-on without spring / damping - silver</t>
  </si>
  <si>
    <t>350828 - hinge - with spring and damping - silver</t>
  </si>
  <si>
    <t>350835 - hinge - without damping - silver</t>
  </si>
  <si>
    <t>350838 - hinge - tip-on without spring / damping - silver</t>
  </si>
  <si>
    <t>350829 - hinge - with spring and damping - silver</t>
  </si>
  <si>
    <t>350836 - hinge - without damping - silver</t>
  </si>
  <si>
    <t>350839 - hinge - tip-on without spring / damping - silver</t>
  </si>
  <si>
    <t>Kalení cena</t>
  </si>
  <si>
    <t>Folie cena</t>
  </si>
  <si>
    <t>Lesk</t>
  </si>
  <si>
    <t>Mat</t>
  </si>
  <si>
    <t>Gloss</t>
  </si>
  <si>
    <t>Matt</t>
  </si>
  <si>
    <t>Połysk</t>
  </si>
  <si>
    <t>Fényes</t>
  </si>
  <si>
    <t>Matowy</t>
  </si>
  <si>
    <t>X = Wiercenie uchwytu na srod</t>
  </si>
  <si>
    <t xml:space="preserve">Do zelených buniek uveďte vzdialenosť vŕtania úchytky od kraja rámčeka._x000D_
Ak požadujete vŕtanie úchytky na stred rámčeka a do stredu profilu, vpíšte prosím do zelených buniek " x ". </t>
  </si>
  <si>
    <t>(alsó)</t>
  </si>
  <si>
    <t>(bal)</t>
  </si>
  <si>
    <t>(felső)</t>
  </si>
  <si>
    <t>(jobb)</t>
  </si>
  <si>
    <t>(bottom)</t>
  </si>
  <si>
    <t>(left)</t>
  </si>
  <si>
    <t>(upper)</t>
  </si>
  <si>
    <t>(right)</t>
  </si>
  <si>
    <t>(dolnej)</t>
  </si>
  <si>
    <t>(lewej)</t>
  </si>
  <si>
    <t>(górnej)</t>
  </si>
  <si>
    <t>(prawej)</t>
  </si>
  <si>
    <t>---</t>
  </si>
  <si>
    <t>275672- autom. 30N šedá</t>
  </si>
  <si>
    <t>275672- autom. 30N sivá</t>
  </si>
  <si>
    <t>275672- autom. 30N szary</t>
  </si>
  <si>
    <t>275672- autom. 30N szürke</t>
  </si>
  <si>
    <t>275672 -autom., 30N grey</t>
  </si>
  <si>
    <t>275673- autom. 60N šedá</t>
  </si>
  <si>
    <t>275673- autom. 60N sivá</t>
  </si>
  <si>
    <t>275673- autom. 60N szary</t>
  </si>
  <si>
    <t>275673- autom. 60N szürke</t>
  </si>
  <si>
    <t>275673 -autom., 60N grey</t>
  </si>
  <si>
    <t>275674- autom. 80N šedá</t>
  </si>
  <si>
    <t>275674- autom. 80N sivá</t>
  </si>
  <si>
    <t>275674- autom. 80N szary</t>
  </si>
  <si>
    <t>275674- autom. 80N szürke</t>
  </si>
  <si>
    <t>275674 -autom., 80N grey</t>
  </si>
  <si>
    <t>275675- autom. 100N šedá</t>
  </si>
  <si>
    <t>275675- autom. 100N sivá</t>
  </si>
  <si>
    <t>275675- autom. 100N szary</t>
  </si>
  <si>
    <t>275675- autom. 100N szürke</t>
  </si>
  <si>
    <t>275675 -autom., 100N grey</t>
  </si>
  <si>
    <t>275676- autom. 120N šedá</t>
  </si>
  <si>
    <t>275676- autom. 120N sivá</t>
  </si>
  <si>
    <t>275676- autom. 120N szary</t>
  </si>
  <si>
    <t>275676- autom. 120N szürke</t>
  </si>
  <si>
    <t>275676 -autom., 120N grey</t>
  </si>
  <si>
    <t>248162- autom. 30N bílá</t>
  </si>
  <si>
    <t>248162- autom. 30N biela</t>
  </si>
  <si>
    <t>248162- autom. 30N biały</t>
  </si>
  <si>
    <t>248162- autom. 30N fehér</t>
  </si>
  <si>
    <t>248162 -autom., 30N white</t>
  </si>
  <si>
    <t>248163- autom. 60N bílá</t>
  </si>
  <si>
    <t>248163- autom. 60N biela</t>
  </si>
  <si>
    <t>248163- autom. 60N biały</t>
  </si>
  <si>
    <t>248163- autom. 60N fehér</t>
  </si>
  <si>
    <t>248163 -autom., 60N white</t>
  </si>
  <si>
    <t>248164- autom. 80N bílá</t>
  </si>
  <si>
    <t>248164- autom. 80N biela</t>
  </si>
  <si>
    <t>248164- autom. 80N biały</t>
  </si>
  <si>
    <t>248164- autom. 80N fehér</t>
  </si>
  <si>
    <t>248164 -autom., 80N white</t>
  </si>
  <si>
    <t>248165- autom. 100N bílá</t>
  </si>
  <si>
    <t>248165- autom. 100N biela</t>
  </si>
  <si>
    <t>248165- autom. 100N biały</t>
  </si>
  <si>
    <t>248165- autom. 100N fehér</t>
  </si>
  <si>
    <t>248165 -autom., 100N white</t>
  </si>
  <si>
    <t>248166- autom. 120N bílá</t>
  </si>
  <si>
    <t>248166- autom. 120N biela</t>
  </si>
  <si>
    <t>248166- autom. 120N biały</t>
  </si>
  <si>
    <t>248166- autom. 120N fehér</t>
  </si>
  <si>
    <t>248166 -autom., 120N white</t>
  </si>
  <si>
    <t>284250- poloh. 60N šedá</t>
  </si>
  <si>
    <t>284250- poloh. 60N sivá</t>
  </si>
  <si>
    <t>284250 pozycj.60N szary</t>
  </si>
  <si>
    <t>284250-mutatva 60N szürke</t>
  </si>
  <si>
    <t>284250 - positio., 60N grey</t>
  </si>
  <si>
    <t>284251- poloh. 80N šedá</t>
  </si>
  <si>
    <t>284251- poloh. 80N sivá</t>
  </si>
  <si>
    <t>284251-pozycj. 80N szary</t>
  </si>
  <si>
    <t>284251-mutatva 80N szürke</t>
  </si>
  <si>
    <t>284251 - positio., 80N grey</t>
  </si>
  <si>
    <t>284252- poloh. 100N šedá</t>
  </si>
  <si>
    <t>284252- poloh. 100N sivá</t>
  </si>
  <si>
    <t>284252-pozycj. 100N szary</t>
  </si>
  <si>
    <t>284252-mutatva 100N szürke</t>
  </si>
  <si>
    <t>284252 - positio., 100N grey</t>
  </si>
  <si>
    <t>284253- poloh. 120N šedá</t>
  </si>
  <si>
    <t>284253- poloh. 120N sivá</t>
  </si>
  <si>
    <t>284253-pozycj. 120N szary</t>
  </si>
  <si>
    <t>284253-mutatva 120N szürke</t>
  </si>
  <si>
    <t>284253 - positio., 120N grey</t>
  </si>
  <si>
    <t>284254- poloh. 60N bílá</t>
  </si>
  <si>
    <t>284254- poloh. 60N biela</t>
  </si>
  <si>
    <t>284254-pozycj. 60N biały</t>
  </si>
  <si>
    <t>284254-mutatva 60N fehér</t>
  </si>
  <si>
    <t>284254 - positio., 60N white</t>
  </si>
  <si>
    <t>284255- poloh. 80N bílá</t>
  </si>
  <si>
    <t>284255- poloh. 80N biela</t>
  </si>
  <si>
    <t>284255-pozycj. 80N biały</t>
  </si>
  <si>
    <t>284255-mutatva 80N fehér</t>
  </si>
  <si>
    <t>284255 - positio., 80N white</t>
  </si>
  <si>
    <t>284256- poloh. 100N bílá</t>
  </si>
  <si>
    <t>284256- poloh. 100N biela</t>
  </si>
  <si>
    <t>284256-pozycj. 100N biały</t>
  </si>
  <si>
    <t>284256-mutatva 100N fehér</t>
  </si>
  <si>
    <t>284256 - positio., 100N white</t>
  </si>
  <si>
    <t>284257- poloh. 120N bílá</t>
  </si>
  <si>
    <t>284257- poloh. 120N biela</t>
  </si>
  <si>
    <t>284257-pozycj. 120N biały</t>
  </si>
  <si>
    <t>284257-mutatva 120N fehér</t>
  </si>
  <si>
    <t>284257 - positio., 120N white</t>
  </si>
  <si>
    <t>275689-spodná 80N sivá</t>
  </si>
  <si>
    <t>275689-barkowy 80N szary</t>
  </si>
  <si>
    <t>275689-alsó 80N szürke</t>
  </si>
  <si>
    <t>275689 - bottom, 80N grey</t>
  </si>
  <si>
    <t>248167-spodná 80N biela</t>
  </si>
  <si>
    <t>248167-barkowy 80N biały</t>
  </si>
  <si>
    <t>248167-alsó 80N fehér</t>
  </si>
  <si>
    <t>248167 - bottom, 80N white</t>
  </si>
  <si>
    <t>Servo:</t>
  </si>
  <si>
    <t>197612-21L3200.01-výška skříňky=300 – 349 mm</t>
  </si>
  <si>
    <t>197612-21L3200.01-výška skrinky=300 – 349 mm</t>
  </si>
  <si>
    <t>197612-21L3200.01-wysokość szafy=300 – 349 mm</t>
  </si>
  <si>
    <t>197612-21L3200.01-szekrény magassága=300 – 349 mm</t>
  </si>
  <si>
    <t>197612-21L3200.01-cabinet height=300 – 349 mm</t>
  </si>
  <si>
    <t>197613-21L3500.01-výška skříňky=350 – 399 mm</t>
  </si>
  <si>
    <t>197613-21L3500.01-výška skrinky=350 – 399 mm</t>
  </si>
  <si>
    <t>197613-21L3500.01-wysokość szafy=350 – 399 mm</t>
  </si>
  <si>
    <t>197613-21L3500.01-szekrény magassága=350 – 399 mm</t>
  </si>
  <si>
    <t>197613-21L3500.01-cabinet height=350 – 399 mm</t>
  </si>
  <si>
    <t>197614-21L3800.01-výška skříňky=400 – 550 mm</t>
  </si>
  <si>
    <t>197614-21L3800.01-výška skrinky=400 – 550 mm</t>
  </si>
  <si>
    <t>197614-21L3800.01-wysokość szafy=400 – 550 mm</t>
  </si>
  <si>
    <t>197614-21L3800.01-szekrény magassága=400 – 550 mm</t>
  </si>
  <si>
    <t>197614-21L3800.01-cabinet height=400 – 550 mm</t>
  </si>
  <si>
    <t>197615-21L3900.01-výška skříňky=450 – 580 mm</t>
  </si>
  <si>
    <t>197615-21L3900.01-výška skrinky=450 – 580 mm</t>
  </si>
  <si>
    <t>197615-21L3900.01-wysokość szafy=450 – 580 mm</t>
  </si>
  <si>
    <t>197615-21L3900.01-szekrény magassága=450 – 580 mm</t>
  </si>
  <si>
    <t>197615-21L3900.01-cabinet height=450 – 580 mm</t>
  </si>
  <si>
    <t>ENG</t>
  </si>
  <si>
    <t>"A zöld cellákban adja meg a fogantyú fúrási távolságát a keret szélétől. Ha a fogantyú-furatokat a keretre szeretné, a profil oldalsó és alsó-felső széleitől egyenlő távolságra, tegyen "x"-et a zöld cellákba.</t>
  </si>
  <si>
    <t>A pántok szabványos távolsága az éltől 100 mm (minimum 80 mm). Ha meg kell változtatni az egyes pántok közötti távolságot, kérjük, írja meg a megjegyzésben (mm-ben).</t>
  </si>
  <si>
    <t>Typ úpravy skla</t>
  </si>
  <si>
    <t>Typ upravy skla</t>
  </si>
  <si>
    <t>Blum_2</t>
  </si>
  <si>
    <t>Kesseböhmer _2</t>
  </si>
  <si>
    <t>ITALIANA ferramenta_2</t>
  </si>
  <si>
    <t>Hettich_2</t>
  </si>
  <si>
    <t>Blum_1</t>
  </si>
  <si>
    <t>Kesseböhmer _1</t>
  </si>
  <si>
    <t>_vyklopy_blum_kombo</t>
  </si>
  <si>
    <t>_vyklopy_kesse_kombo</t>
  </si>
  <si>
    <t>Do zelených buněk upřesněte vzdálenost vrtání úchytky od vnějšího kraje rámečku.</t>
  </si>
  <si>
    <t>Do zelených buniek uveďte vzdialenosť vŕtania úchytky od vonkajšieho kraja rámčeka.</t>
  </si>
  <si>
    <t>W zielonych komórkach określ odległość wiercenia rączki od zewnętrznej krawędzi ramy.</t>
  </si>
  <si>
    <t>A zöld cellákban adja meg a fogantyú fúrási távolságát a keret külső szélétől.</t>
  </si>
  <si>
    <t>In the green cells, specify the drilling distance of the handle from the outer edge of the frame.</t>
  </si>
  <si>
    <t>s pružinou a tlumením</t>
  </si>
  <si>
    <t>s pružinou bez tlumení</t>
  </si>
  <si>
    <t>tip-on bez pružiny/tlumení</t>
  </si>
  <si>
    <t>s pružinou a tlmením</t>
  </si>
  <si>
    <t>s pružinou bez tlmenia</t>
  </si>
  <si>
    <t>tip-on bez pružiny / tlmenia</t>
  </si>
  <si>
    <t>ze sprężyną z tłumieniem</t>
  </si>
  <si>
    <t>ze sprężyną bez tłumienia</t>
  </si>
  <si>
    <t>tip-on bez sprężyny/tłumienie</t>
  </si>
  <si>
    <t>rugóval, csillapítással</t>
  </si>
  <si>
    <t>Rugóval, csillapítás nélkül</t>
  </si>
  <si>
    <t>tip-on, rugó és csillapítás nélkül</t>
  </si>
  <si>
    <t>with spring and damping</t>
  </si>
  <si>
    <t>without damping</t>
  </si>
  <si>
    <t>tip-on without spring / damping</t>
  </si>
  <si>
    <t>Neplatná kombinace</t>
  </si>
  <si>
    <t>Invalid combination</t>
  </si>
  <si>
    <t>Érvénytelen kombináció</t>
  </si>
  <si>
    <t>Nieprawidłowa kombinacja</t>
  </si>
  <si>
    <t>Neplatná kombinácia</t>
  </si>
  <si>
    <t>Umístění</t>
  </si>
  <si>
    <t>Umiestnenie</t>
  </si>
  <si>
    <t>Umieszczenie</t>
  </si>
  <si>
    <t>Position</t>
  </si>
  <si>
    <t>Elhelyezése</t>
  </si>
  <si>
    <t>křížová vrut (excentr)</t>
  </si>
  <si>
    <t>N/A</t>
  </si>
  <si>
    <t>křížová vrut</t>
  </si>
  <si>
    <t>křížová euro</t>
  </si>
  <si>
    <t>křížová hmoždinka</t>
  </si>
  <si>
    <t>přímá vrut</t>
  </si>
  <si>
    <t>přímá euro</t>
  </si>
  <si>
    <t>přímá hmoždinka</t>
  </si>
  <si>
    <t>krížová skrutka</t>
  </si>
  <si>
    <t>krzyżakowy, wkręt</t>
  </si>
  <si>
    <t>talp ker.csavar</t>
  </si>
  <si>
    <t>cross screw</t>
  </si>
  <si>
    <t>na vrut (s excentrom)</t>
  </si>
  <si>
    <t>na wkręt (z mimośrodem)</t>
  </si>
  <si>
    <t>csavarra (excenterrel)</t>
  </si>
  <si>
    <t>on screw (w/ cam adjust)</t>
  </si>
  <si>
    <t>euroskrut</t>
  </si>
  <si>
    <t>eurócsavar</t>
  </si>
  <si>
    <t>euroscrew</t>
  </si>
  <si>
    <t>křížová expando</t>
  </si>
  <si>
    <t>expando</t>
  </si>
  <si>
    <t>priama Skrut</t>
  </si>
  <si>
    <t>prosty wkręt</t>
  </si>
  <si>
    <t>direct screw</t>
  </si>
  <si>
    <t>egyenesen csavarral</t>
  </si>
  <si>
    <t>egyenesen eurócsavar</t>
  </si>
  <si>
    <t>direct euroscrew</t>
  </si>
  <si>
    <t>prosty eurowkręt</t>
  </si>
  <si>
    <t>prosty expando</t>
  </si>
  <si>
    <t>egyenesen expando</t>
  </si>
  <si>
    <t>direct expando</t>
  </si>
  <si>
    <t>krzyżakowy eurowkręt</t>
  </si>
  <si>
    <t>krzyżakowy expando</t>
  </si>
  <si>
    <t>Aventos_HK_XS</t>
  </si>
  <si>
    <t>_kombo_Blum_naložený</t>
  </si>
  <si>
    <t>_kombo_Blum_polonaložený</t>
  </si>
  <si>
    <t>_kombo_Blum_vložený</t>
  </si>
  <si>
    <t>_kombo_Hettich_polonaložený</t>
  </si>
  <si>
    <t>_kombo_Hettich_vložený</t>
  </si>
  <si>
    <t>_kombo_Hettich_naložený</t>
  </si>
  <si>
    <t>_úzký_Blum_polonaložený</t>
  </si>
  <si>
    <t>_úzký_Blum_vložený</t>
  </si>
  <si>
    <t>_úzký_Blum_naložený</t>
  </si>
  <si>
    <t>_úzký_Hettich_polonaložený</t>
  </si>
  <si>
    <t>_úzký_Hettich_vložený</t>
  </si>
  <si>
    <t>_úzký_Hettich_naložený</t>
  </si>
  <si>
    <t>délka max. 2150 mm</t>
  </si>
  <si>
    <t>dĺžka max. 2150 mm</t>
  </si>
  <si>
    <t>długość max. 2150 mm</t>
  </si>
  <si>
    <t>length max. 2150 mm</t>
  </si>
  <si>
    <t>_široký_Blum_polonaložený</t>
  </si>
  <si>
    <t>_široký_Blum_vložený</t>
  </si>
  <si>
    <t>_široký_Blum_naložený</t>
  </si>
  <si>
    <t>_široký_Hettich_polonaložený</t>
  </si>
  <si>
    <t>_široký_Hettich_vložený</t>
  </si>
  <si>
    <t>_široký_Hettich_naložený</t>
  </si>
  <si>
    <t>92584T - Naložený s pružinou a tlumením - stříbrná</t>
  </si>
  <si>
    <t>Kč</t>
  </si>
  <si>
    <t>€</t>
  </si>
  <si>
    <t>zl</t>
  </si>
  <si>
    <t>HUF</t>
  </si>
  <si>
    <t>Distance from the bottom edge</t>
  </si>
  <si>
    <t>Distance from the top edge</t>
  </si>
  <si>
    <t>Odległość od dolnej krawędzi</t>
  </si>
  <si>
    <t>Odległość od górnej krawędzi</t>
  </si>
  <si>
    <t>Vzdialenosť od spodného okraja</t>
  </si>
  <si>
    <t>Vzdialenosť od horného okraja</t>
  </si>
  <si>
    <t>Távolság az alsó éltől</t>
  </si>
  <si>
    <t>Távolság a felső éltől</t>
  </si>
  <si>
    <t>RAL 9007</t>
  </si>
  <si>
    <t>RAL 0327</t>
  </si>
  <si>
    <t>RAL 0128</t>
  </si>
  <si>
    <t>RAL 1435</t>
  </si>
  <si>
    <t>RAL 1604</t>
  </si>
  <si>
    <t>RAL 0667</t>
  </si>
  <si>
    <t>RAL 1164</t>
  </si>
  <si>
    <t>RAL 1586</t>
  </si>
  <si>
    <t>BRĄZOWY LUSTRO</t>
  </si>
  <si>
    <t>GRAFITOWY LUSTRO</t>
  </si>
  <si>
    <t>Příslušenství u broušení 1x</t>
  </si>
  <si>
    <t>Počet tabulek</t>
  </si>
  <si>
    <t>Montáž okének - předěly za ks</t>
  </si>
  <si>
    <t>úzký_BLUM_Félig ráütődő</t>
  </si>
  <si>
    <t>úzký_HETTICH_Félig ráütődő</t>
  </si>
  <si>
    <t>široký_BLUM_Félig ráütődő</t>
  </si>
  <si>
    <t>široký_HETTICH_Félig ráütődő</t>
  </si>
  <si>
    <t>široký_STRONG_Félig ráütődő</t>
  </si>
  <si>
    <t>úzký_BLUM_Közézáródó</t>
  </si>
  <si>
    <t>úzký_HETTICH_Közézáródó</t>
  </si>
  <si>
    <t>široký_BLUM_Közézáródó</t>
  </si>
  <si>
    <t>široký_HETTICH_Közézáródó</t>
  </si>
  <si>
    <t>široký_STRONG_Közézáródó</t>
  </si>
  <si>
    <t>_úzký_BLUM_Naložený</t>
  </si>
  <si>
    <t>_úzký_BLUM_Polonaložený</t>
  </si>
  <si>
    <t>_úzký_BLUM_Vložený</t>
  </si>
  <si>
    <t>_úzký_HETTICH_Naložený</t>
  </si>
  <si>
    <t>_úzký_HETTICH_Polonaložený</t>
  </si>
  <si>
    <t>_úzký_HETTICH_Vložený</t>
  </si>
  <si>
    <t>_úzký_BLUM_Nakładany</t>
  </si>
  <si>
    <t>_úzký_BLUM_Półnakładany</t>
  </si>
  <si>
    <t>_úzký_BLUM_Wpuszczany</t>
  </si>
  <si>
    <t>_úzký_HETTICH_Nakładany</t>
  </si>
  <si>
    <t>_úzký_HETTICH_Półnakładany</t>
  </si>
  <si>
    <t>_úzký_HETTICH_Wpuszczany</t>
  </si>
  <si>
    <t>_úzký_BLUM_Ráütődő</t>
  </si>
  <si>
    <t>_úzký_BLUM_Félig ráütődő</t>
  </si>
  <si>
    <t>_úzký_BLUM_Közézáródó</t>
  </si>
  <si>
    <t>_úzký_HETTICH_Ráütődő</t>
  </si>
  <si>
    <t>_úzký_HETTICH_Félig ráütődő</t>
  </si>
  <si>
    <t>_úzký_HETTICH_Közézáródó</t>
  </si>
  <si>
    <t>_úzký_BLUM_Overlay</t>
  </si>
  <si>
    <t>_úzký_BLUM_Half-overlay</t>
  </si>
  <si>
    <t>_úzký_BLUM_Inset</t>
  </si>
  <si>
    <t>_úzký_HETTICH_Overlay</t>
  </si>
  <si>
    <t>_úzký_HETTICH_Half-overlay</t>
  </si>
  <si>
    <t>_úzký_HETTICH_Inset</t>
  </si>
  <si>
    <t>_široký_BLUM_Naložený</t>
  </si>
  <si>
    <t>_široký_BLUM_Polonaložený</t>
  </si>
  <si>
    <t>_široký_BLUM_Vložený</t>
  </si>
  <si>
    <t>_široký_HETTICH_Naložený</t>
  </si>
  <si>
    <t>_široký_HETTICH_Polonaložený</t>
  </si>
  <si>
    <t>_široký_HETTICH_Vložený</t>
  </si>
  <si>
    <t>_široký_BLUM_Nakładany</t>
  </si>
  <si>
    <t>_široký_BLUM_Półnakładany</t>
  </si>
  <si>
    <t>_široký_BLUM_Wpuszczany</t>
  </si>
  <si>
    <t>_široký_HETTICH_Nakładany</t>
  </si>
  <si>
    <t>_široký_HETTICH_Półnakładany</t>
  </si>
  <si>
    <t>_široký_HETTICH_Wpuszczany</t>
  </si>
  <si>
    <t>_široký_BLUM_Ráütődő</t>
  </si>
  <si>
    <t>_široký_BLUM_Félig ráütődő</t>
  </si>
  <si>
    <t>_široký_BLUM_Közézáródó</t>
  </si>
  <si>
    <t>_široký_HETTICH_Ráütődő</t>
  </si>
  <si>
    <t>_široký_HETTICH_Félig ráütődő</t>
  </si>
  <si>
    <t>_široký_HETTICH_Közézáródó</t>
  </si>
  <si>
    <t>_široký_BLUM_Overlay</t>
  </si>
  <si>
    <t>_široký_BLUM_Half-overlay</t>
  </si>
  <si>
    <t>_široký_BLUM_Inset</t>
  </si>
  <si>
    <t>_široký_HETTICH_Overlay</t>
  </si>
  <si>
    <t>_široký_HETTICH_Half-overlay</t>
  </si>
  <si>
    <t>_široký_HETTICH_Inset</t>
  </si>
  <si>
    <t xml:space="preserve">Rámy bez skla sa dodávajú v demontovanom stave. </t>
  </si>
  <si>
    <t xml:space="preserve">Rámečky bez skla se dodávají v demontovaném stavu. </t>
  </si>
  <si>
    <t xml:space="preserve">Ramki aluminiowe bez szkła dostarczane są w stanie rozmontowanym. </t>
  </si>
  <si>
    <t>Az üveg nélkül rendelt alukereteket, nem összeszerelt állapotban szállítjuk a hozzá tartozó alkatrészekkel együtt.</t>
  </si>
  <si>
    <t>Aventos_ HKI</t>
  </si>
  <si>
    <t>ASTI</t>
  </si>
  <si>
    <t>Salice</t>
  </si>
  <si>
    <t>závěsy jen pro ROMA</t>
  </si>
  <si>
    <t>Max. gyártható méret 2150 mm</t>
  </si>
  <si>
    <t>Maximální doporučený rozměr je 1500x600. Při objednání většího rozměru se může sklo vysunout z profilu. Za takové reklamace výrobce nenese odpovědnost.</t>
  </si>
  <si>
    <t>Az ajánlott maximális méret 1500 x 600 mm. Ha az ajánlottnál nagyobb méretet rendel, az üveg kicsúszhat a profilból. A gyártó nem vállal felelősséget az ilyen reklamációkért.</t>
  </si>
  <si>
    <t>Maximálny odporúčaný rozmer je 1500x600. Pri objednaní väčšieho rozmeru sa sklo môže vysunúť z profilu. Za také reklamácie výrobca nenesie zodpovednosť.</t>
  </si>
  <si>
    <t>Maksym. zalecany rozmiar to 1500 x 600 mm. Przy zamówieniu większego rozmiaru szyba może wysunąć się z profilu. Producent nie odpowiada za tego typu reklamacje.</t>
  </si>
  <si>
    <t>The max. recommended size is 1500 x 600 mm. When ordering a larger size, the glass can slide out of the profile. The manufacturer is not responsible for such complaints.</t>
  </si>
  <si>
    <t>ROMA</t>
  </si>
  <si>
    <t>ROMA GRIP</t>
  </si>
  <si>
    <t>Výplň rámečku síťka</t>
  </si>
  <si>
    <t>bude výplní síťka?</t>
  </si>
  <si>
    <t>síťky</t>
  </si>
  <si>
    <t>závěsy_ Salice</t>
  </si>
  <si>
    <t>max. rozměr 1000x500mm</t>
  </si>
  <si>
    <t>max. rozmer 1000x500mm</t>
  </si>
  <si>
    <t>maks. wymiar 1000x500mm</t>
  </si>
  <si>
    <t>max. méret 1000x500</t>
  </si>
  <si>
    <t>max. dimension 1000x500</t>
  </si>
  <si>
    <t>Typ síťky</t>
  </si>
  <si>
    <t>Typ sieťky</t>
  </si>
  <si>
    <t>Rodzaj siatky</t>
  </si>
  <si>
    <t>Hálós típus</t>
  </si>
  <si>
    <t>Mesh type</t>
  </si>
  <si>
    <t>Typ skla/síťky</t>
  </si>
  <si>
    <t>Typ skla/sieťky</t>
  </si>
  <si>
    <t>Rodzaj szkła/siatka</t>
  </si>
  <si>
    <t>Üveg/hálós típus</t>
  </si>
  <si>
    <t>Type of glass/mesh</t>
  </si>
  <si>
    <t>_profily_síťka</t>
  </si>
  <si>
    <t>507355-22L3200-výška skříňky=300 – 339 mm</t>
  </si>
  <si>
    <t>507356-22L3500-výška skříňky=340 – 389 mm</t>
  </si>
  <si>
    <t>507357-22L3800-výška skříňky=390 – 540 mm</t>
  </si>
  <si>
    <t>507358-22L3900-výška skříňky=480 – 580 mm</t>
  </si>
  <si>
    <t>507355-22L3200-výška skrinky=300 – 339 mm</t>
  </si>
  <si>
    <t>507356-22L3500-výška skrinky=340 – 389 mm</t>
  </si>
  <si>
    <t>507357-22L3800-výška skrinky=390 – 540 mm</t>
  </si>
  <si>
    <t>507358-22L3900-výška skrinky=480 – 580 mm</t>
  </si>
  <si>
    <t>507355-22L3200-wysokość szafki=300 – 339 mm</t>
  </si>
  <si>
    <t>507356-22L3500-wysokość szafki=340 – 389 mm</t>
  </si>
  <si>
    <t>507357-22L3800-wysokość szafki=390 – 540 mm</t>
  </si>
  <si>
    <t>507358-22L3900-wysokość szafki=480 – 580 mm</t>
  </si>
  <si>
    <t>507355-22L3200-szekrény magassága=300 – 339 mm</t>
  </si>
  <si>
    <t>507356-22L3500-szekrény magassága=340 – 389 mm</t>
  </si>
  <si>
    <t>507357-22L3800-szekrény magassága=390 – 540 mm</t>
  </si>
  <si>
    <t>507358-22L3900-szekrény magassága=480 – 580 mm</t>
  </si>
  <si>
    <t>507355-22L3200-cabinet height=300 – 339 mm</t>
  </si>
  <si>
    <t>507356-22L3500-cabinet height=340 – 389 mm</t>
  </si>
  <si>
    <t>507357-22L3800-cabinet height=390 – 540 mm</t>
  </si>
  <si>
    <t>507358-22L3900-cabinet height=480 – 580 mm</t>
  </si>
  <si>
    <t>_úzký_Blum_naložený_Rocca</t>
  </si>
  <si>
    <t>_úzký_Blum_polonaložený_Rocca</t>
  </si>
  <si>
    <t>_úzký_Blum_vložený_Rocca</t>
  </si>
  <si>
    <t>_úzký_Blum_Wpuszczany_Rocca</t>
  </si>
  <si>
    <t>_úzký_Blum_Közézáródó_Rocca</t>
  </si>
  <si>
    <t>_úzký_Blum_Inset_Rocca</t>
  </si>
  <si>
    <t>_úzký_Blum_Nakładany_Rocca</t>
  </si>
  <si>
    <t>_úzký_Blum_Ráütődő_Rocca</t>
  </si>
  <si>
    <t>_úzký_Blum_Overlay_Rocca</t>
  </si>
  <si>
    <t>_úzký_Blum_Półnakładany_Rocca</t>
  </si>
  <si>
    <t>_úzký_Blum_Félig ráütődő_Rocca</t>
  </si>
  <si>
    <t>_úzký_Blum_Half-overlay_Rocca</t>
  </si>
  <si>
    <t>Frames without glass are delivered disassembled.</t>
  </si>
  <si>
    <t>Závěsy k výklopu</t>
  </si>
  <si>
    <t>Počet závěsů na 1 rámeček</t>
  </si>
  <si>
    <t xml:space="preserve">StrongHinges Clip na eurošroub H0 </t>
  </si>
  <si>
    <t>StrongHinges Clip na euroskrutku H0</t>
  </si>
  <si>
    <t xml:space="preserve">StrongHinges Clip na wkręt euro H0 </t>
  </si>
  <si>
    <t xml:space="preserve">StrongHinges Klip EURO csavarra H0 </t>
  </si>
  <si>
    <t>StrongHinges clip-on on Euro Screw H0</t>
  </si>
  <si>
    <t>StrongHinges Clip na vrut H0</t>
  </si>
  <si>
    <t>StrongHinges Clip na skrutku H0</t>
  </si>
  <si>
    <t>StrongHinges Clip na wkręt H0</t>
  </si>
  <si>
    <t>StrongHinges Klip csavarra H0</t>
  </si>
  <si>
    <t>StrongHinges clip-on to vrut H0</t>
  </si>
  <si>
    <t>StrongHinges Clip na eurošroub H2</t>
  </si>
  <si>
    <t>StrongHinges Clip na euroskrutku H2</t>
  </si>
  <si>
    <t>StrongHinges Clip na wkręt euro H2</t>
  </si>
  <si>
    <t>StrongHinges Klip EURO csavarra H2</t>
  </si>
  <si>
    <t>StrongHinges clip-on to H2 Euro Screw</t>
  </si>
  <si>
    <t>StrongHinges Clip na vrut H2</t>
  </si>
  <si>
    <t>StrongHinges Clip na skrutku H2</t>
  </si>
  <si>
    <t>StrongHinges Clip na wkręt H2</t>
  </si>
  <si>
    <t>StrongHinges Klip csavarra H2</t>
  </si>
  <si>
    <t>StrongHinges clip-on to vrut H2</t>
  </si>
  <si>
    <t>STRONGHINGES</t>
  </si>
  <si>
    <t>úzký_STRONGHINGES_Naložený</t>
  </si>
  <si>
    <t>široký_STRONGHINGES_Naložený</t>
  </si>
  <si>
    <t>široký_STRONGHINGES_Polonaložený</t>
  </si>
  <si>
    <t>široký_STRONGHINGES_Vložený</t>
  </si>
  <si>
    <t>široký_STRONGHINGES_Nakładany</t>
  </si>
  <si>
    <t>široký_STRONGHINGES_Półnakładany</t>
  </si>
  <si>
    <t>široký_STRONGHINGES_Wpuszczany</t>
  </si>
  <si>
    <t>úzký_STRONGHINGES_Ráütődő</t>
  </si>
  <si>
    <t>široký_STRONGHINGES_Ráütődő</t>
  </si>
  <si>
    <t>široký_STRONGHINGES_Félig ráütődő</t>
  </si>
  <si>
    <t>široký_STRONGHINGES_Közézáródó</t>
  </si>
  <si>
    <t>úzký_STRONGHINGES_Overlay</t>
  </si>
  <si>
    <t>široký_STRONGHINGES_Overlay</t>
  </si>
  <si>
    <t>široký_STRONGHINGES_Half-overlay</t>
  </si>
  <si>
    <t>široký_STRONGHINGES_Inset</t>
  </si>
  <si>
    <t>StorngHinges vložený clip bez pružiny</t>
  </si>
  <si>
    <t>StorngHinges inserted clip-on without spring</t>
  </si>
  <si>
    <t>Polonaložená a vložená varianta neexistuje</t>
  </si>
  <si>
    <t xml:space="preserve">Nie istnieje wariant półnakładany i wpuszczany </t>
  </si>
  <si>
    <t>Félig ráütődő és közézáródó változat nem létezik</t>
  </si>
  <si>
    <t>Halfoverlay and inset is not possible</t>
  </si>
  <si>
    <t>Aventos_HF_TOP</t>
  </si>
  <si>
    <t>Aventos_ HL_TOP</t>
  </si>
  <si>
    <t>Aventos_ HS_TOP</t>
  </si>
  <si>
    <t>Aventos HF TOP</t>
  </si>
  <si>
    <t>Aventos_ HK_TOP</t>
  </si>
  <si>
    <t>Aventos HK_XS</t>
  </si>
  <si>
    <t>Aventos_ HK_S</t>
  </si>
  <si>
    <t>Příčky</t>
  </si>
  <si>
    <t xml:space="preserve">Czyste hartowane (dostawa 3 tygodnie) </t>
  </si>
  <si>
    <t>Výplň rámčeka sieťka</t>
  </si>
  <si>
    <t>Brúsenie hrán</t>
  </si>
  <si>
    <t>Szlifowanie krawędzi</t>
  </si>
  <si>
    <t>Edge finishing</t>
  </si>
  <si>
    <t>Élcsiszolás</t>
  </si>
  <si>
    <t>Siena elox (Vlevo a vpravo) + Varna elox (Nahoře a dole)</t>
  </si>
  <si>
    <t>Palio elox (Vlevo a vpravo) + Varna elox (Nahoře a dole)</t>
  </si>
  <si>
    <t>Rocca elox (Vlevo a vpravo) + Varna elox (Nahoře a dole)</t>
  </si>
  <si>
    <t>Siena elox (Vľavo a vpravo) + Varna elox (Hore a dole)</t>
  </si>
  <si>
    <t>Palio elox (Vľavo a vpravo) + Varna elox (Hore a dole)</t>
  </si>
  <si>
    <t>Rocca elox (Vľavo a vpravo) + Varna elox (Hore a dole)</t>
  </si>
  <si>
    <t>Siena elox (Left and Right) + Varna elox (Top and Bottom)</t>
  </si>
  <si>
    <t>Palio elox (Left and Right) + Varna elox (Top and Bottom)</t>
  </si>
  <si>
    <t>Rocca elox (lewa i prawa) + Varna elox (góra i dół)</t>
  </si>
  <si>
    <t>Rocca elox (Left and Right) + Varna elox (Top and Bottom)</t>
  </si>
  <si>
    <t>Siena elox (bal és jobb) + Várna elox (felső és alsó)</t>
  </si>
  <si>
    <t>Palio elox (bal és jobb) + Várna elox (felső és alsó)</t>
  </si>
  <si>
    <t>Rocca elox (bal és jobb) + Várna elox (felső és alsó)</t>
  </si>
  <si>
    <t>StrongHinges S3</t>
  </si>
  <si>
    <t>StrongHinges S3 naložený clip bez pružiny</t>
  </si>
  <si>
    <t xml:space="preserve">StrongHinges S3 Naložený clip bez pružiny </t>
  </si>
  <si>
    <t xml:space="preserve">StrongHinges S3 nakładany clip bez sprężyny </t>
  </si>
  <si>
    <t>StrongHinges S3 ráütődő klip rugó nélkül</t>
  </si>
  <si>
    <t>StrongHinges S3 Overlay clip-on without spring</t>
  </si>
  <si>
    <t>StrongHinges S3 polonaložený clip bez pružiny</t>
  </si>
  <si>
    <t>StrongHinges S3 vložený bez pružiny</t>
  </si>
  <si>
    <t xml:space="preserve">StrongHinges S3 wpuszczany bez sprężyny </t>
  </si>
  <si>
    <t>StrongHinges S3 közézáródó rugó nélkül</t>
  </si>
  <si>
    <t>StrongHinges S3 30° clip bez pružiny</t>
  </si>
  <si>
    <t>StrongHinges S3 30° clip  bez pružiny</t>
  </si>
  <si>
    <t xml:space="preserve">StrongHinges S3 30° clip bez sprężyny </t>
  </si>
  <si>
    <t>StrongHinges S3 30° klip rugó nélkül</t>
  </si>
  <si>
    <t>StrongHinges S3 30° clip-on without spring</t>
  </si>
  <si>
    <t>StrongHinges S3 naložený clip</t>
  </si>
  <si>
    <t>StrongHinges S3 nakładany Clip</t>
  </si>
  <si>
    <t>StrongHinges S3 ráütődő klip</t>
  </si>
  <si>
    <t>StrongHinges S3 Overlay clip-on</t>
  </si>
  <si>
    <t>StrongHinges S3 polonaložený clip</t>
  </si>
  <si>
    <t>StrongHinges S3 półnakładany ¨clip</t>
  </si>
  <si>
    <t>StrongHinges S3 félig ráütődő klip</t>
  </si>
  <si>
    <t>StrongHinges S3 Half-Overlay clip-on</t>
  </si>
  <si>
    <t>StrongHinges S3 vložený clip</t>
  </si>
  <si>
    <t>StrongHinges S3 wpuszczany Clip</t>
  </si>
  <si>
    <t>StrongHinges S3 közézáródó klip</t>
  </si>
  <si>
    <t>StrongHinges S3 Inset clip-on</t>
  </si>
  <si>
    <t>StrongHinges S3 30°clip</t>
  </si>
  <si>
    <t>StrongHinges S3 30°clip-on</t>
  </si>
  <si>
    <t>StrongHinges S3 Clip vrut s excentrem H0</t>
  </si>
  <si>
    <t>StrongHinges S3 Clip vrut s excentrom H0</t>
  </si>
  <si>
    <t>StrongHinges S3 Clip wkręt z mimośrodem H0</t>
  </si>
  <si>
    <t>StrongHinges S3 Excentes klipes csavar H0</t>
  </si>
  <si>
    <t>StrongHinges S3 Clip-on H0 for screw with excenter</t>
  </si>
  <si>
    <t>StrongHinges S3 Clip vrut s excentrem H2</t>
  </si>
  <si>
    <t>StrongHinges S3 Clip vrut s excentrom H2</t>
  </si>
  <si>
    <t>StrongHinges S3 Clip wkręt z mimośrodem H2</t>
  </si>
  <si>
    <t>StrongHinges S3 Excentes klipes csavar H2</t>
  </si>
  <si>
    <t>StrongHinges S3 Clip-on H2 for screw with excenter</t>
  </si>
  <si>
    <t>StrongHingesS5</t>
  </si>
  <si>
    <t>Závěs StrongHingesS5 1</t>
  </si>
  <si>
    <t>Závěs StrongHingesS5 2</t>
  </si>
  <si>
    <t>Závěs StrongHingesS5 3</t>
  </si>
  <si>
    <t>Závěs StrongHingesS5 4</t>
  </si>
  <si>
    <t>Závěs StrongHingesS5 5</t>
  </si>
  <si>
    <t>StrongHingesS3</t>
  </si>
  <si>
    <t>_Závěsy_StrongHingesS5</t>
  </si>
  <si>
    <t>_zavesy_strongHingesS5</t>
  </si>
  <si>
    <t>_kombo_STRONGHINGESS3_polonaložený</t>
  </si>
  <si>
    <t>_úzký_STRONGHINGESS3_polonaložený</t>
  </si>
  <si>
    <t>_kombo_STRONGHINGESS3_vložený</t>
  </si>
  <si>
    <t>_úzký_STRONGHINGESS3_vložený</t>
  </si>
  <si>
    <t>_kombo_STRONGHINGESS3_naložený</t>
  </si>
  <si>
    <t>_úzký_STRONGHINGESS3_naložený</t>
  </si>
  <si>
    <t>_kombo_STRONGHINGESS5_polonaložený</t>
  </si>
  <si>
    <t>_úzký_STRONGHINGESS5_polonaložený</t>
  </si>
  <si>
    <t>_kombo_STRONGHINGESS5_vložený</t>
  </si>
  <si>
    <t>_úzký_STRONGHINGESS5_vložený</t>
  </si>
  <si>
    <t>_kombo_STRONGHINGESS5_naložený</t>
  </si>
  <si>
    <t>_úzký_STRONGHINGESS5_naložený</t>
  </si>
  <si>
    <t>_široký_STRONGHINGESS3_polonaložený</t>
  </si>
  <si>
    <t>_široký_STRONGHINGESS3_vložený</t>
  </si>
  <si>
    <t>_široký_STRONGHINGESS3_naložený</t>
  </si>
  <si>
    <t>_široký_STRONGHINGESS5_polonaložený</t>
  </si>
  <si>
    <t>_široký_STRONGHINGESS5_vložený</t>
  </si>
  <si>
    <t>_široký_STRONGHINGESS5_naložený</t>
  </si>
  <si>
    <t>_úzký_STRONGHINGESS5_Naložený</t>
  </si>
  <si>
    <t>_úzký_STRONGHINGESS3_Naložený</t>
  </si>
  <si>
    <t>_široký_STRONGHINGESS5_Naložený</t>
  </si>
  <si>
    <t>_široký_STRONGHINGESS5_Polonaložený</t>
  </si>
  <si>
    <t>_široký_STRONGHINGESS5_Vložený</t>
  </si>
  <si>
    <t>_široký_STRONGHINGESS3_Naložený</t>
  </si>
  <si>
    <t>_široký_STRONGHINGESS3_Polonaložený</t>
  </si>
  <si>
    <t>_široký_STRONGHINGESS3_Vložený</t>
  </si>
  <si>
    <t>_úzký_STRONGHINGESS5_Nakładany</t>
  </si>
  <si>
    <t>_úzký_STRONGHINGESS3_Nakładany</t>
  </si>
  <si>
    <t>_široký_STRONGHINGESS5_Nakładany</t>
  </si>
  <si>
    <t>_široký_STRONGHINGESS5_Półnakładany</t>
  </si>
  <si>
    <t>_široký_STRONGHINGESS5_Wpuszczany</t>
  </si>
  <si>
    <t>_široký_STRONGHINGESS3_Nakładany</t>
  </si>
  <si>
    <t>_široký_STRONGHINGESS3_Półnakładany</t>
  </si>
  <si>
    <t>_široký_STRONGHINGESS3_Wpuszczany</t>
  </si>
  <si>
    <t>_úzký_STRONGHINGESS5_Ráütődő</t>
  </si>
  <si>
    <t>_úzký_STRONGHINGESS3_Ráütődő</t>
  </si>
  <si>
    <t>_široký_STRONGHINGESS5_Ráütődő</t>
  </si>
  <si>
    <t>_široký_STRONGHINGESS5_Félig ráütődő</t>
  </si>
  <si>
    <t>_široký_STRONGHINGESS5_Közézáródó</t>
  </si>
  <si>
    <t>_široký_STRONGHINGESS3_Ráütődő</t>
  </si>
  <si>
    <t>_široký_STRONGHINGESS3_Félig ráütődő</t>
  </si>
  <si>
    <t>_široký_STRONGHINGESS3_Közézáródó</t>
  </si>
  <si>
    <t>_úzký_STRONGHINGESS5_Overlay</t>
  </si>
  <si>
    <t>_úzký_STRONGHINGESS3_Overlay</t>
  </si>
  <si>
    <t>_široký_STRONGHINGESS5_Overlay</t>
  </si>
  <si>
    <t>_široký_STRONGHINGESS5_Half-overlay</t>
  </si>
  <si>
    <t>_široký_STRONGHINGESS5_Inset</t>
  </si>
  <si>
    <t>_široký_STRONGHINGESS3_Overlay</t>
  </si>
  <si>
    <t>_široký_STRONGHINGESS3_Half-overlay</t>
  </si>
  <si>
    <t>_široký_STRONGHINGESS3_Inset</t>
  </si>
  <si>
    <t>StrongHingesS51</t>
  </si>
  <si>
    <t>StrongHingesS31</t>
  </si>
  <si>
    <t>_Výklopy_StrongLift</t>
  </si>
  <si>
    <t>_vyklopy_stronglift</t>
  </si>
  <si>
    <t>StrongLift</t>
  </si>
  <si>
    <t>StrongLift_2</t>
  </si>
  <si>
    <t>StrongLift_horní</t>
  </si>
  <si>
    <t>StrongLift_spodní</t>
  </si>
  <si>
    <t>Stronglift_horní</t>
  </si>
  <si>
    <t>Stronglift_spodní</t>
  </si>
  <si>
    <t>300285 - P2O záves bez pružiny / tlmenia - strieborná</t>
  </si>
  <si>
    <t>300285 - P2O zawias bez sprężyny/tłumienie - srebro</t>
  </si>
  <si>
    <t>300285 - P2O závěs bez pružiny/tlumení - stříbrná</t>
  </si>
  <si>
    <t>hettich P2O 300285</t>
  </si>
  <si>
    <t>hettich P2O 245723</t>
  </si>
  <si>
    <t>Wypełnienie z siatki</t>
  </si>
  <si>
    <t>StrongLift_gorny</t>
  </si>
  <si>
    <t>StrongLift_horný</t>
  </si>
  <si>
    <t>StrongLift_spodný</t>
  </si>
  <si>
    <t>StrongLift_felső</t>
  </si>
  <si>
    <t>StrongLift_upper</t>
  </si>
  <si>
    <t>StrongLift_dolny</t>
  </si>
  <si>
    <t>StrongLift_alsó</t>
  </si>
  <si>
    <t>StrongLift_bottom</t>
  </si>
  <si>
    <t>korpusový závěs</t>
  </si>
  <si>
    <t>korpusový záves</t>
  </si>
  <si>
    <t>zawias do korpusu</t>
  </si>
  <si>
    <t>corpus hinge</t>
  </si>
  <si>
    <t>tlmený</t>
  </si>
  <si>
    <t>z tłumieniem</t>
  </si>
  <si>
    <t>soft-closing</t>
  </si>
  <si>
    <t>gorny</t>
  </si>
  <si>
    <t>dolny</t>
  </si>
  <si>
    <t>felső</t>
  </si>
  <si>
    <t>alsó</t>
  </si>
  <si>
    <t>upper</t>
  </si>
  <si>
    <t>korpusz pánt</t>
  </si>
  <si>
    <t>Úzky</t>
  </si>
  <si>
    <t>spodní_K12</t>
  </si>
  <si>
    <t>spodní_kraby</t>
  </si>
  <si>
    <t>hettich dolny 300282</t>
  </si>
  <si>
    <t>blum dolny 12106</t>
  </si>
  <si>
    <t>strong dolny 350863</t>
  </si>
  <si>
    <t>hettich dolny 232346</t>
  </si>
  <si>
    <t>blum dolny 12052</t>
  </si>
  <si>
    <t>strong dolny 350834</t>
  </si>
  <si>
    <t>hettich közézáródó csillapítós 300279</t>
  </si>
  <si>
    <t>strong közézáródó csillapítós 350863</t>
  </si>
  <si>
    <t>strong közézáródó csillapítós 92584T</t>
  </si>
  <si>
    <t>hettich közézáródó csillapítós 104717</t>
  </si>
  <si>
    <t>blum közézáródó csillapítós 12047</t>
  </si>
  <si>
    <t>strong közézáródó csillapítós 350827</t>
  </si>
  <si>
    <t>spodní_Kraby</t>
  </si>
  <si>
    <t>alsó_K12</t>
  </si>
  <si>
    <t>alsó_kraby</t>
  </si>
  <si>
    <t>Nákresy profilov a spoj. kovania</t>
  </si>
  <si>
    <t>Dólne K12</t>
  </si>
  <si>
    <t>Dólne Kraby</t>
  </si>
  <si>
    <t>upper_K12</t>
  </si>
  <si>
    <t>bottom_kraby</t>
  </si>
  <si>
    <t>Přesáhli jste maximální rozměr skla</t>
  </si>
  <si>
    <t>Presiahli ste maximálny rozmer skla</t>
  </si>
  <si>
    <t>Przekroczono maksymalny wymiar szkła</t>
  </si>
  <si>
    <t>You have exceeded the maximum size of the glass</t>
  </si>
  <si>
    <t>Túllépte a maximális üvegméretet</t>
  </si>
  <si>
    <t>Rocca black matt - maximum profile length 2150 mm</t>
  </si>
  <si>
    <t>Varna black - maximum profile length 1200 mm</t>
  </si>
  <si>
    <t>Verona gold brushed - maximum profile length 2150 mm</t>
  </si>
  <si>
    <t>Vivaro gold brushed - maximum profile length 2150 mm</t>
  </si>
  <si>
    <t>onyx</t>
  </si>
  <si>
    <t>siatka stal czarny mat RAL 9005– oko 8x4x1 mm</t>
  </si>
  <si>
    <t>síťka ocel černá mat RAL 9005 – rozměr oka 8x4x1 mm</t>
  </si>
  <si>
    <t xml:space="preserve">Master  Ligne poziomo </t>
  </si>
  <si>
    <t>blum tip-on 13764</t>
  </si>
  <si>
    <t>blum tip-on 12023</t>
  </si>
  <si>
    <t>520405 SALICE AIR SOFT niklový závěs s úhlem otevírání 92° sada 2ks</t>
  </si>
  <si>
    <t>520405 SALICE AIR SOFT zawiasy niklowe o kącie otwarcia 92° kpl. 2 szt</t>
  </si>
  <si>
    <t>520405 SALICE AIR AIR SOFT nikkel pánt 92°-os nyitási szöggel 2 db-os készlet</t>
  </si>
  <si>
    <t>520406 SALICE AIR PUSH TO OPEN niklový závěs s adaptérem sada 2ks</t>
  </si>
  <si>
    <t>520406 SALICE AIR PUSH TO OPEN zawiasy niklowe z zestawem adapterów 2 szt</t>
  </si>
  <si>
    <t>520406 SALICE AIR PUSH TO OPEN nikkel pánt adapterrel 2 darabos készlet</t>
  </si>
  <si>
    <t>520407 SALICE AIR PUSH TO OPEN niklový závěs s adaptérem sada 2ks</t>
  </si>
  <si>
    <t>520407 SALICE AIR PUSH TO OPEN zawiasy niklowe z zestawem adapterów 2 szt</t>
  </si>
  <si>
    <t>520408 SALICE AIR SOFT niklový závěs s adaptérem sada 2ks</t>
  </si>
  <si>
    <t>520408 SALICE AIR SOFT zawiasy niklowe z zestawem adapterów 2 szt</t>
  </si>
  <si>
    <t>520408 SALICE AIR SOFT nikkel pánt adapterrel, 2 darabos készlet</t>
  </si>
  <si>
    <t>520410 SALICE AIR SOFT TITANIUM závěs s úhlem otevírání 92' sada 2ks</t>
  </si>
  <si>
    <t>520410 SALICE AIR SOFT TITANIUM  zawiasy o kącie otwarcia 92° kpl. 2 szt</t>
  </si>
  <si>
    <t>520410 SALICE AIR SOFT TITANIUM pánt 92°-os nyitási szöggel 2 darabos készlet</t>
  </si>
  <si>
    <t>520411 SALICE AIR TITANIUM PUSH TO OPEN závěs sada 2ks</t>
  </si>
  <si>
    <t>520411 SALICE AIR TITANIUM PUSH TO OPEN zawiasy komplet 2 szt</t>
  </si>
  <si>
    <t>520411 SALICE AIR SALICE AIR TITANIUM PUSH TO OPEN pánt 2 darabos készlet</t>
  </si>
  <si>
    <t>520412 SALICE AIR TITANIUM PUSH TO OPEN závěs s adaptérem sada 2ks</t>
  </si>
  <si>
    <t>520412 SALICE AIR TITANIUM PUSH TO OPEN zawiasy z zestawem adapterów 2 szt</t>
  </si>
  <si>
    <t>520412 SALICE AIR TITANIUM PUSH TO OPEN pánt adapterrel 2 db-os készlet</t>
  </si>
  <si>
    <t>520413 SALICE AIR SOFT TITANIUM závěs s adaptérem sada 2ks</t>
  </si>
  <si>
    <t>520413 SALICE AIR SOFT TITANIUM zawiasy z zestawem adapterów 2 szt</t>
  </si>
  <si>
    <t>520413 SALICE AIR SOFT TITANIUM pánt adapterrel, 2 darabos készlet</t>
  </si>
  <si>
    <t>Pisa gold - maximum profile length 2150 mm</t>
  </si>
  <si>
    <t>Podmínky a doporučení pro správné objednání hliníkových rámečků</t>
  </si>
  <si>
    <t>Podmienky a odporúčania pre správne objednanie hliníkových rámčekov</t>
  </si>
  <si>
    <t>Az alumínium keretek helyes megrendelésének feltételei és ajánlásai</t>
  </si>
  <si>
    <t>Conditions and recomendations for correct ordering aluminium frames</t>
  </si>
  <si>
    <t>Obecná doporučení:</t>
  </si>
  <si>
    <t>Všeobecné odporúčania:</t>
  </si>
  <si>
    <t>Általános javaslatok:</t>
  </si>
  <si>
    <t>General recomendations:</t>
  </si>
  <si>
    <t>Při vyplňování formuláře postupujte vždy shora dolů.</t>
  </si>
  <si>
    <t>Pri vypĺňaní formulára postupujte vždy zhora nadol.</t>
  </si>
  <si>
    <t>Az űrlap kitöltésekor mindig felülről lefelé haladjon.</t>
  </si>
  <si>
    <t>Fill in the form step by step from up towards down.</t>
  </si>
  <si>
    <t>Provedete-li zpětně změnu, je potřeba znovu zadat položky níže od této změny.</t>
  </si>
  <si>
    <t>Ak spätne vykonáte zmenu, musíte znovu zadať položky nižšie od tejto zmeny.</t>
  </si>
  <si>
    <t>Ha visszamenőlegesen változtat, akkor a módosítástól kezdődően újra be kell írnia az alatta lévő adatokat.</t>
  </si>
  <si>
    <t>If you make any change, you have to continue again from this changed item</t>
  </si>
  <si>
    <t xml:space="preserve">Před odesláním objednávky zkontrolujte formulář, zda obsahuje pouze Vámi požadované rámečky.     </t>
  </si>
  <si>
    <t xml:space="preserve">Pred odoslaním objednávky skontrolujte, či formulár obsahuje len vami požadované rámčeky.     </t>
  </si>
  <si>
    <t xml:space="preserve">A megrendelés elküldése előtt ellenőrizze az űrlapot, hogy csak az Ön által kért kereteket tartalmazza-e.     </t>
  </si>
  <si>
    <t>Before you order, make sure that the form contains only the desired frames</t>
  </si>
  <si>
    <r>
      <t xml:space="preserve">Standardní doba dodání zakázky je maximálně tři týdny. Pro upřesnění termínu dodání prosím kontaktujte </t>
    </r>
    <r>
      <rPr>
        <b/>
        <sz val="11"/>
        <color rgb="FFFF0000"/>
        <rFont val="Calibri"/>
        <family val="2"/>
        <scheme val="minor"/>
      </rPr>
      <t>pracovníky</t>
    </r>
    <r>
      <rPr>
        <sz val="11"/>
        <color theme="1"/>
        <rFont val="Calibri"/>
        <family val="2"/>
        <charset val="238"/>
        <scheme val="minor"/>
      </rPr>
      <t xml:space="preserve"> Zákaznického servisu.</t>
    </r>
  </si>
  <si>
    <t>Štandardná dodacia lehota je maximálne tri týždne. Pre upresnenie termínu dodania kontaktujte náš Zákaznícky servis.</t>
  </si>
  <si>
    <t>A standard szállítási idő legfeljebb három hét. Kérjük, a szállítási határidő meghatározásához vegye fel a kapcsolatot ügyfélszolgálati munkatársainkkal.</t>
  </si>
  <si>
    <t>Usual delivery is maximaly three weeks. For precise date please contact our Customers service</t>
  </si>
  <si>
    <t>Praktické informace:</t>
  </si>
  <si>
    <t>Praktické informácie:</t>
  </si>
  <si>
    <t>Praktikus információk:</t>
  </si>
  <si>
    <t>Practical information:</t>
  </si>
  <si>
    <t>Pro vyšší rozměr rámečku než 2500 mm doporučujeme použít dělící příčky, v opačném případě hrozí prohnutí profilu nebo uvolnění skla z profilu.</t>
  </si>
  <si>
    <t>Pri rozmeroch rámu vyšších ako 2500 mm odporúčame použiť deliace prvky, inak hrozí riziko ohnutia profilu alebo uvoľnenia skla z profilu.</t>
  </si>
  <si>
    <t>A 2500 mm-nél nagyobb keretméretek esetén ajánljuk a választóelemek használatát, különben fennáll a veszélye annak, hogy a profil meghajlik, vagy az üveg kiválik a profilból.</t>
  </si>
  <si>
    <t>For bigger frames then 2500mm we recomend to use middle profiles, otherwise there is a risk of bending profile or glass may get loose.</t>
  </si>
  <si>
    <r>
      <t xml:space="preserve">K nadrozměrným rámečkům (nad rozměr 1200 x 800 mm), může být účtován příplatek za speciální balení a dopravu (více informací u </t>
    </r>
    <r>
      <rPr>
        <b/>
        <sz val="11"/>
        <color rgb="FFFF0000"/>
        <rFont val="Calibri"/>
        <family val="2"/>
        <scheme val="minor"/>
      </rPr>
      <t>pracovníků</t>
    </r>
    <r>
      <rPr>
        <sz val="11"/>
        <color theme="1"/>
        <rFont val="Calibri"/>
        <family val="2"/>
        <charset val="238"/>
        <scheme val="minor"/>
      </rPr>
      <t xml:space="preserve"> Zákaznického servisu).</t>
    </r>
  </si>
  <si>
    <t>U nadrozmerných rámov (nad 1200 x 800 mm) sa môže účtovať príplatok za špeciálne balenie a prepravu (bližšie informácie vám poskytne Zákaznícky servis).</t>
  </si>
  <si>
    <t>A túlméretes (1200 x 800 mm-nél nagyobb) keretekért külön díjat számíthatunk fel a speciális csomagolásért és szállításért (további információért forduljon az ügyfélszolgálathoz).</t>
  </si>
  <si>
    <t>An extra fee may be charged when ordering frames larger than 1200 x 800 mm. For more information please contact our Customer service</t>
  </si>
  <si>
    <t>Síťka v rámečku je standardně orientovaná horizontálně. Pokud mají být otvory síťky orientované vertikálně, uvěďte toto do poznámky.</t>
  </si>
  <si>
    <t>Mriežka v ráme je štandardne orientovaná horizontálne. Ak majú byť otvory v sieti orientované vertikálne, uveďte to v poznámke.</t>
  </si>
  <si>
    <t>A keretben lévő rács alapesetben vízszintesen orientált. Ha a rácslyukakat függőlegesen kell elhelyezni, kérjük, ezt a megjegyzésben tüntesse fel.</t>
  </si>
  <si>
    <t>Steel mesh is normally turned horizantaly. Shall the holes in the mesh be turned verticaly, make a note.</t>
  </si>
  <si>
    <t>Potvrzuji, že rozumím a přijímám výše uvedené podmínky a doporučení.</t>
  </si>
  <si>
    <t>Potvrdzujem, že som porozumel a súhlasím s uvedenými podmienkami a odporúčaniami.</t>
  </si>
  <si>
    <t>Megerősítem, hogy megértettem és elfogadom a fenti feltételeket és ajánlásokat.</t>
  </si>
  <si>
    <t>K nadrozměrným rámečkům (nad rozměr 1200 x 800 mm), může být účtován příplatek za speciální balení a dopravu (více informací u pracovníků Zákaznického servisu).</t>
  </si>
  <si>
    <t>Ogólne zalecenia:</t>
  </si>
  <si>
    <t>Praktyczne informacje:</t>
  </si>
  <si>
    <t>Dla większych wymiarów ramki niż 2500 mm zalecamy użycie szprosów, w przeciwnym razie istnieje ryzyko wygięcia profilu lub wysunięcia szkła z profilu.</t>
  </si>
  <si>
    <t>Do ramek ponadwymiarowych (ponad wymiar 1200 x 800 mm) może zostać doliczona opłata za specjalne pakowanie i transport (więcej informacji u pracowników Obsługi Klienta).</t>
  </si>
  <si>
    <t>Siatka w ramce jest standardowo ustawiona poziomo. Jeśli otwory siatki mają być ustawione pionowo, prosimy o wskazanie tego w uwagach.</t>
  </si>
  <si>
    <t>Potwierdzam, że rozumiem i akceptuję powyższe warunki i zalecenia.</t>
  </si>
  <si>
    <t>Vždy používejte aktuální verzi formuláře, který je dostupný na našich stránkách.</t>
  </si>
  <si>
    <t>22L3200-wysokość szafki=300 – 339 mm</t>
  </si>
  <si>
    <t>22L3500-wysokość szafki=340 – 389 mm</t>
  </si>
  <si>
    <t>22L3900-wysokość szafki=480 – 580 mm</t>
  </si>
  <si>
    <t>22L3800-wysokość szafki=390 – 540 mm</t>
  </si>
  <si>
    <t>350863 - Naložený s pružinou a tlmením - strieborná</t>
  </si>
  <si>
    <t>118033 - Naložený s pružinou a tlumením - stříbrná</t>
  </si>
  <si>
    <t>118033 - Nakładany ze sprężyną z tłumieniem - srebro</t>
  </si>
  <si>
    <t>12106 - Naložený s pružinou bez tlumení - stříbrná</t>
  </si>
  <si>
    <t>12106 - Nakładany ze sprężyną bez tłumienia - srebro</t>
  </si>
  <si>
    <t>306329 - Naložený s pružinou bez tlumení - černá</t>
  </si>
  <si>
    <t>306329 - Nakładany ze sprężyną bez tłumienia - czarny</t>
  </si>
  <si>
    <t>12109 - Naložený tip-on bez pružiny/tlumení - stříbrná</t>
  </si>
  <si>
    <t>12109 - Nakładany tip-on bez sprężyny/tłumienie - srebro</t>
  </si>
  <si>
    <t>497120 - Naložený tip-on bez pružiny/tlumení - onyx</t>
  </si>
  <si>
    <t>497120 - Nakładany tip-on bez sprężyny/tłumienie - onyx</t>
  </si>
  <si>
    <t>118120 - Polonaložený s pružinou a tlumením - stříbrná</t>
  </si>
  <si>
    <t>118120 - Półnakładany ze sprężyną z tłumieniem - srebro</t>
  </si>
  <si>
    <t>12107 - Polonaložený s pružinou bez tlumení - stříbrná</t>
  </si>
  <si>
    <t>12107 - Półnakładany ze sprężyną bez tłumienia - srebro</t>
  </si>
  <si>
    <t>118121 - Vložený s pružinou a tlumením - stříbrná</t>
  </si>
  <si>
    <t>118121 - Wpuszczany ze sprężyną z tłumieniem - srebro</t>
  </si>
  <si>
    <t>12108 - Vložený s pružinou bez tlumení - stříbrná</t>
  </si>
  <si>
    <t>12108 - Wpuszczany ze sprężyną bez tłumienia - srebro</t>
  </si>
  <si>
    <t>300279 - Naložený s pružinou a tlumením - stříbrná</t>
  </si>
  <si>
    <t>300279 - Nakładany ze sprężyną z tłumieniem - srebro</t>
  </si>
  <si>
    <t>344697 - Naložený s pružinou a tlumením - černá</t>
  </si>
  <si>
    <t>344697 - Nakładany ze sprężyną z tłumieniem - czarny</t>
  </si>
  <si>
    <t>300282 - Naložený s pružinou bez tlumení - stříbrná</t>
  </si>
  <si>
    <t>300282 - Nakładany ze sprężyną bez tłumienia - srebro</t>
  </si>
  <si>
    <t>300285 - Naložený tip-on bez pružiny/tlumení - stříbrná</t>
  </si>
  <si>
    <t>300285 - Nakładany tip-on bez sprężyny/tłumienie - srebro</t>
  </si>
  <si>
    <t>300280 - Polonaložený s pružinou a tlumením - stříbrná</t>
  </si>
  <si>
    <t>300280 - Półnakładany ze sprężyną z tłumieniem - srebro</t>
  </si>
  <si>
    <t>300283 - Polonaložený s pružinou bez tlumení - stříbrná</t>
  </si>
  <si>
    <t>300283 - Półnakładany ze sprężyną bez tłumienia - srebro</t>
  </si>
  <si>
    <t>300286 - Polonaložený tip-on bez pružiny/tlumení - stříbrná</t>
  </si>
  <si>
    <t>300286 - Półnakładany tip-on bez sprężyny/tłumienie - srebro</t>
  </si>
  <si>
    <t>300281 - Vložený s pružinou a tlumením - stříbrná</t>
  </si>
  <si>
    <t>300281 - Wpuszczany ze sprężyną z tłumieniem - srebro</t>
  </si>
  <si>
    <t>300284 - Vložený s pružinou bez tlumení - stříbrná</t>
  </si>
  <si>
    <t>300284 - Wpuszczany ze sprężyną bez tłumienia - srebro</t>
  </si>
  <si>
    <t>300287 - Vložený tip-on bez pružiny/tlumení - stříbrná</t>
  </si>
  <si>
    <t>300287 - Wpuszczany tip-on bez sprężyny/tłumienie - srebro</t>
  </si>
  <si>
    <t>92584T - Nakładany ze sprężyną z tłumieniem - srebro</t>
  </si>
  <si>
    <t>350863 - Naložený s pružinou a tlumením - stříbrná</t>
  </si>
  <si>
    <t>350863 - Nakładany ze sprężyną z tłumieniem - srebro</t>
  </si>
  <si>
    <t>350864 - Naložený tip-on bez pružiny/tlumení - stříbrná</t>
  </si>
  <si>
    <t>350864 - Nakładany tip-on bez sprężyny/tłumienie - srebro</t>
  </si>
  <si>
    <t>12047 - Naložený s pružinou a tlumením - stříbrná</t>
  </si>
  <si>
    <t>12047 - Nakładany ze sprężyną z tłumieniem - srebro</t>
  </si>
  <si>
    <t>306317 - Naložený s pružinou a tlumením - černá</t>
  </si>
  <si>
    <t>306317 - Nakładany ze sprężyną z tłumieniem - czarny</t>
  </si>
  <si>
    <t>12052 - Naložený s pružinou bez tlumení - stříbrná</t>
  </si>
  <si>
    <t>12052 - Nakładany ze sprężyną bez tłumienia - srebro</t>
  </si>
  <si>
    <t>226668 - Naložený tip-on bez pružiny/tlumení - stříbrná</t>
  </si>
  <si>
    <t>226668 - Nakładany tip-on bez sprężyny/tłumienie - srebro</t>
  </si>
  <si>
    <t>318173 - Naložený tip-on bez pružiny/tlumení - onyx</t>
  </si>
  <si>
    <t>318173 - Nakładany tip-on bez sprężyny/tłumienie - onyx</t>
  </si>
  <si>
    <t>12048 - Polonaložený s pružinou a tlumením - stříbrná</t>
  </si>
  <si>
    <t>12048 - Półnakładany ze sprężyną z tłumieniem - srebro</t>
  </si>
  <si>
    <t>306318 - Polonaložený s pružinou a tlumením - černá</t>
  </si>
  <si>
    <t>306318 - Półnakładany ze sprężyną z tłumieniem - czarny</t>
  </si>
  <si>
    <t>12053 - Polonaložený s pružinou bez tlumení - stříbrná</t>
  </si>
  <si>
    <t>12053 - Półnakładany ze sprężyną bez tłumienia - srebro</t>
  </si>
  <si>
    <t>226670 - Polonaložený tip-on bez pružiny/tlumení - stříbrná</t>
  </si>
  <si>
    <t>226670 - Półnakładany tip-on bez sprężyny/tłumienie - srebro</t>
  </si>
  <si>
    <t>12049 - Vložený s pružinou a tlumením - stříbrná</t>
  </si>
  <si>
    <t>12049 - Wpuszczany ze sprężyną z tłumieniem - srebro</t>
  </si>
  <si>
    <t>306319 - Vložený s pružinou a tlumením - černá</t>
  </si>
  <si>
    <t>306319 - Wpuszczany ze sprężyną z tłumieniem - czarny</t>
  </si>
  <si>
    <t>12059 - Vložený s pružinou bez tlumení - stříbrná</t>
  </si>
  <si>
    <t>12059 - Wpuszczany ze sprężyną bez tłumienia - srebro</t>
  </si>
  <si>
    <t>226671 - Vložený tip-on bez pružiny/tlumení - stříbrná</t>
  </si>
  <si>
    <t>226671 - Wpuszczany tip-on bez sprężyny/tłumienie - srebro</t>
  </si>
  <si>
    <t>104717 - Naložený s pružinou a tlumením - stříbrná</t>
  </si>
  <si>
    <t>104717 - Nakładany ze sprężyną z tłumieniem - srebro</t>
  </si>
  <si>
    <t>344691 - Naložený s pružinou a tlumením - černá</t>
  </si>
  <si>
    <t>344691 - Nakładany ze sprężyną z tłumieniem - czarny</t>
  </si>
  <si>
    <t>232346 - Naložený s pružinou bez tlumení - stříbrná</t>
  </si>
  <si>
    <t>232346 - Nakładany ze sprężyną bez tłumienia - srebro</t>
  </si>
  <si>
    <t>245723 - Naložený tip-on bez pružiny/tlumení - stříbrná</t>
  </si>
  <si>
    <t>245723 - Nakładany tip-on bez sprężyny/tłumienie - srebro</t>
  </si>
  <si>
    <t>344694 - Naložený tip-on bez pružiny/tlumení - černá</t>
  </si>
  <si>
    <t>344694 - Nakładany tip-on bez sprężyny/tłumienie - czarny</t>
  </si>
  <si>
    <t>104718 - Polonaložený s pružinou a tlumením - stříbrná</t>
  </si>
  <si>
    <t>104718 - Półnakładany ze sprężyną z tłumieniem - srebro</t>
  </si>
  <si>
    <t>344692 - Polonaložený s pružinou a tlumením - černá</t>
  </si>
  <si>
    <t>344692 - Półnakładany ze sprężyną z tłumieniem - czarny</t>
  </si>
  <si>
    <t>232347 - Polonaložený s pružinou bez tlumení - stříbrná</t>
  </si>
  <si>
    <t>232347 - Półnakładany ze sprężyną bez tłumienia - srebro</t>
  </si>
  <si>
    <t>245724 - Polonaložený tip-on bez pružiny/tlumení - stříbrná</t>
  </si>
  <si>
    <t>245724 - Półnakładany tip-on bez sprężyny/tłumienie - srebro</t>
  </si>
  <si>
    <t>344695 - Polonaložený tip-on bez pružiny/tlumení - černá</t>
  </si>
  <si>
    <t>344695 - Półnakładany tip-on bez sprężyny/tłumienie - czarny</t>
  </si>
  <si>
    <t>104719 - Vložený s pružinou a tlumením - stříbrná</t>
  </si>
  <si>
    <t>104719 - Wpuszczany ze sprężyną z tłumieniem - srebro</t>
  </si>
  <si>
    <t>344693 - Vložený s pružinou a tlumením - černá</t>
  </si>
  <si>
    <t>344693 - Wpuszczany ze sprężyną z tłumieniem - czarny</t>
  </si>
  <si>
    <t>232348 - Vložený s pružinou bez tlumení - stříbrná</t>
  </si>
  <si>
    <t>232348 - Wpuszczany ze sprężyną bez tłumienia - srebro</t>
  </si>
  <si>
    <t>245725 - Vložený tip-on bez pružiny/tlumení - stříbrná</t>
  </si>
  <si>
    <t>245725 - Wpuszczany tip-on bez sprężyny/tłumienie - srebro</t>
  </si>
  <si>
    <t>344696 - Vložený tip-on bez pružiny/tlumení - černá</t>
  </si>
  <si>
    <t>344696 - Wpuszczany tip-on bez sprężyny/tłumienie - czarny</t>
  </si>
  <si>
    <t>92580T - Naložený s pružinou a tlumením - stříbrná</t>
  </si>
  <si>
    <t>92580T - Nakładany ze sprężyną z tłumieniem - srebro</t>
  </si>
  <si>
    <t>198818 - Naložený s pružinou bez tlumení - stříbrná</t>
  </si>
  <si>
    <t>198818 - Nakładany ze sprężyną bez tłumienia - srebro</t>
  </si>
  <si>
    <t>92581T - Polonaložený s pružinou a tlumením - stříbrná</t>
  </si>
  <si>
    <t>92581T - Półnakładany ze sprężyną z tłumieniem - srebro</t>
  </si>
  <si>
    <t>198819 - Polonaložený s pružinou bez tlumení - stříbrná</t>
  </si>
  <si>
    <t>198819 - Półnakładany ze sprężyną bez tłumienia - srebro</t>
  </si>
  <si>
    <t>92582T - Vložený s pružinou a tlumením - stříbrná</t>
  </si>
  <si>
    <t>92582T - Wpuszczany ze sprężyną z tłumieniem - srebro</t>
  </si>
  <si>
    <t>198820 - Vložený s pružinou bez tlumení - stříbrná</t>
  </si>
  <si>
    <t>198820 - Wpuszczany ze sprężyną bez tłumienia - srebro</t>
  </si>
  <si>
    <t>350827 - Naložený s pružinou a tlumením - stříbrná</t>
  </si>
  <si>
    <t>350827 - Nakładany ze sprężyną z tłumieniem - srebro</t>
  </si>
  <si>
    <t>350834 - Naložený s pružinou bez tlumení - stříbrná</t>
  </si>
  <si>
    <t>350834 - Nakładany ze sprężyną bez tłumienia - srebro</t>
  </si>
  <si>
    <t>350837 - Naložený tip-on bez pružiny/tlumení - stříbrná</t>
  </si>
  <si>
    <t>350837 - Nakładany tip-on bez sprężyny/tłumienie - srebro</t>
  </si>
  <si>
    <t>350828 - Polonaložený s pružinou a tlumením - stříbrná</t>
  </si>
  <si>
    <t>350828 - Półnakładany ze sprężyną z tłumieniem - srebro</t>
  </si>
  <si>
    <t>350835 - Polonaložený s pružinou bez tlumení - stříbrná</t>
  </si>
  <si>
    <t>350835 - Półnakładany ze sprężyną bez tłumienia - srebro</t>
  </si>
  <si>
    <t>350838 - Polonaložený tip-on bez pružiny/tlumení - stříbrná</t>
  </si>
  <si>
    <t>350838 - Półnakładany tip-on bez sprężyny/tłumienie - srebro</t>
  </si>
  <si>
    <t>350829 - Vložený s pružinou a tlumením - stříbrná</t>
  </si>
  <si>
    <t>350829 - Wpuszczany ze sprężyną z tłumieniem - srebro</t>
  </si>
  <si>
    <t>350836 - Vložený s pružinou bez tlumení - stříbrná</t>
  </si>
  <si>
    <t>350836 - Wpuszczany ze sprężyną bez tłumienia - srebro</t>
  </si>
  <si>
    <t>350839 - Vložený tip-on bez pružiny/tlumení - stříbrná</t>
  </si>
  <si>
    <t>350839 - Wpuszczany tip-on bez sprężyny/tłumienie - srebro</t>
  </si>
  <si>
    <t>118033 - Naložený s pružinou a tlmením - strieborná</t>
  </si>
  <si>
    <t>12106 - Naložený s pružinou bez tlmenia - strieborná</t>
  </si>
  <si>
    <t>306329 - Naložený s pružinou bez tlmenia - čierna</t>
  </si>
  <si>
    <t>12109 - Naložený tip-on bez pružiny / tlmenia - strieborná</t>
  </si>
  <si>
    <t>497120 - Naložený tip-on bez pružiny / tlmenia - onyx</t>
  </si>
  <si>
    <t>118120 - Polonaložený s pružinou a tlmením - strieborná</t>
  </si>
  <si>
    <t>12107 - Polonaložený s pružinou bez tlmenia - strieborná</t>
  </si>
  <si>
    <t>118121 - Vložený s pružinou a tlmením - strieborná</t>
  </si>
  <si>
    <t>12108 - Vložený s pružinou bez tlmenia - strieborná</t>
  </si>
  <si>
    <t>300279 - Naložený s pružinou a tlmením - strieborná</t>
  </si>
  <si>
    <t>344697 - Naložený s pružinou a tlmením - čierna</t>
  </si>
  <si>
    <t>300282 - Naložený s pružinou bez tlmenia - strieborná</t>
  </si>
  <si>
    <t>300285 - Naložený tip-on bez pružiny / tlmenia - strieborná</t>
  </si>
  <si>
    <t>300280 - Polonaložený s pružinou a tlmením - strieborná</t>
  </si>
  <si>
    <t>300283 - Polonaložený s pružinou bez tlmenia - strieborná</t>
  </si>
  <si>
    <t>300286 - Polonaložený tip-on bez pružiny / tlmenia - strieborná</t>
  </si>
  <si>
    <t>300281 - Vložený s pružinou a tlmením - strieborná</t>
  </si>
  <si>
    <t>300284 - Vložený s pružinou bez tlmenia - strieborná</t>
  </si>
  <si>
    <t>300287 - Vložený tip-on bez pružiny / tlmenia - strieborná</t>
  </si>
  <si>
    <t>92584T - Naložený s pružinou a tlmením - strieborná</t>
  </si>
  <si>
    <t>350864 - Naložený tip-on bez pružiny / tlmenia - strieborná</t>
  </si>
  <si>
    <t>12047 - Naložený s pružinou a tlmením - strieborná</t>
  </si>
  <si>
    <t>306317 - Naložený s pružinou a tlmením - čierna</t>
  </si>
  <si>
    <t>12052 - Naložený s pružinou bez tlmenia - strieborná</t>
  </si>
  <si>
    <t>226668 - Naložený tip-on bez pružiny / tlmenia - strieborná</t>
  </si>
  <si>
    <t>318173 - Naložený tip-on bez pružiny / tlmenia - onyx</t>
  </si>
  <si>
    <t>12048 - Polonaložený s pružinou a tlmením - strieborná</t>
  </si>
  <si>
    <t>306318 - Polonaložený s pružinou a tlmením - čierna</t>
  </si>
  <si>
    <t>12053 - Polonaložený s pružinou bez tlmenia - strieborná</t>
  </si>
  <si>
    <t>226670 - Polonaložený tip-on bez pružiny / tlmenia - strieborná</t>
  </si>
  <si>
    <t>12049 - Vložený s pružinou a tlmením - strieborná</t>
  </si>
  <si>
    <t>306319 - Vložený s pružinou a tlmením - čierna</t>
  </si>
  <si>
    <t>12059 - Vložený s pružinou bez tlmenia - strieborná</t>
  </si>
  <si>
    <t>226671 - Vložený tip-on bez pružiny / tlmenia - strieborná</t>
  </si>
  <si>
    <t>104717 - Naložený s pružinou a tlmením - strieborná</t>
  </si>
  <si>
    <t>344691 - Naložený s pružinou a tlmením - čierna</t>
  </si>
  <si>
    <t>232346 - Naložený s pružinou bez tlmenia - strieborná</t>
  </si>
  <si>
    <t>245723 - Naložený tip-on bez pružiny / tlmenia - strieborná</t>
  </si>
  <si>
    <t>344694 - Naložený tip-on bez pružiny / tlmenia - čierna</t>
  </si>
  <si>
    <t>104718 - Polonaložený s pružinou a tlmením - strieborná</t>
  </si>
  <si>
    <t>344692 - Polonaložený s pružinou a tlmením - čierna</t>
  </si>
  <si>
    <t>232347 - Polonaložený s pružinou bez tlmenia - strieborná</t>
  </si>
  <si>
    <t>245724 - Polonaložený tip-on bez pružiny / tlmenia - strieborná</t>
  </si>
  <si>
    <t>344695 - Polonaložený tip-on bez pružiny / tlmenia - čierna</t>
  </si>
  <si>
    <t>104719 - Vložený s pružinou a tlmením - strieborná</t>
  </si>
  <si>
    <t>344693 - Vložený s pružinou a tlmením - čierna</t>
  </si>
  <si>
    <t>232348 - Vložený s pružinou bez tlmenia - strieborná</t>
  </si>
  <si>
    <t>245725 - Vložený tip-on bez pružiny / tlmenia - strieborná</t>
  </si>
  <si>
    <t>344696 - Vložený tip-on bez pružiny / tlmenia - čierna</t>
  </si>
  <si>
    <t>92580T - Naložený s pružinou a tlmením - strieborná</t>
  </si>
  <si>
    <t>198818 - Naložený s pružinou bez tlmenia - strieborná</t>
  </si>
  <si>
    <t>92581T - Polonaložený s pružinou a tlmením - strieborná</t>
  </si>
  <si>
    <t>198819 - Polonaložený s pružinou bez tlmenia - strieborná</t>
  </si>
  <si>
    <t>92582T - Vložený s pružinou a tlmením - strieborná</t>
  </si>
  <si>
    <t>198820 - Vložený s pružinou bez tlmenia - strieborná</t>
  </si>
  <si>
    <t>350827 - Naložený s pružinou a tlmením - strieborná</t>
  </si>
  <si>
    <t>350834 - Naložený s pružinou bez tlmenia - strieborná</t>
  </si>
  <si>
    <t>350837 - Naložený tip-on bez pružiny / tlmenia - strieborná</t>
  </si>
  <si>
    <t>350828 - Polonaložený s pružinou a tlmením - strieborná</t>
  </si>
  <si>
    <t>350835 - Polonaložený s pružinou bez tlmenia - strieborná</t>
  </si>
  <si>
    <t>350838 - Polonaložený tip-on bez pružiny / tlmenia - strieborná</t>
  </si>
  <si>
    <t>350829 - Vložený s pružinou a tlmením - strieborná</t>
  </si>
  <si>
    <t>350836 - Vložený s pružinou bez tlmenia - strieborná</t>
  </si>
  <si>
    <t>350839 - Vložený tip-on bez pružiny / tlmenia - strieborná</t>
  </si>
  <si>
    <t>118033 - Ráütődő rugóval, csillapítással - ezüst</t>
  </si>
  <si>
    <t>12106 - Ráütődő Rugóval, csillapítás nélkül - ezüst</t>
  </si>
  <si>
    <t>306329 - Ráütődő Rugóval, csillapítás nélkül - fekete</t>
  </si>
  <si>
    <t>12109 - Ráütődő tip-on, rugó és csillapítás nélkül - ezüst</t>
  </si>
  <si>
    <t>497120 - Ráütődő tip-on, rugó és csillapítás nélkül - onyx</t>
  </si>
  <si>
    <t>118120 - Félig ráütődő rugóval, csillapítással - ezüst</t>
  </si>
  <si>
    <t>12107 - Félig ráütődő Rugóval, csillapítás nélkül - ezüst</t>
  </si>
  <si>
    <t>118121 - Közézáródó rugóval, csillapítással - ezüst</t>
  </si>
  <si>
    <t>12108 - Közézáródó Rugóval, csillapítás nélkül - ezüst</t>
  </si>
  <si>
    <t>300279 - Ráütődő rugóval, csillapítással - ezüst</t>
  </si>
  <si>
    <t>344697 - Ráütődő rugóval, csillapítással - fekete</t>
  </si>
  <si>
    <t>300282 - Ráütődő Rugóval, csillapítás nélkül - ezüst</t>
  </si>
  <si>
    <t>300285 - Ráütődő tip-on, rugó és csillapítás nélkül - ezüst</t>
  </si>
  <si>
    <t>300280 - Félig ráütődő rugóval, csillapítással - ezüst</t>
  </si>
  <si>
    <t>300283 - Félig ráütődő Rugóval, csillapítás nélkül - ezüst</t>
  </si>
  <si>
    <t>300286 - Félig ráütődő tip-on, rugó és csillapítás nélkül - ezüst</t>
  </si>
  <si>
    <t>300281 - Közézáródó rugóval, csillapítással - ezüst</t>
  </si>
  <si>
    <t>300284 - Közézáródó Rugóval, csillapítás nélkül - ezüst</t>
  </si>
  <si>
    <t>300287 - Közézáródó tip-on, rugó és csillapítás nélkül - ezüst</t>
  </si>
  <si>
    <t>92584T - Ráütődő rugóval, csillapítással - ezüst</t>
  </si>
  <si>
    <t>350863 - Ráütődő rugóval, csillapítással - ezüst</t>
  </si>
  <si>
    <t>350864 - Ráütődő tip-on, rugó és csillapítás nélkül - ezüst</t>
  </si>
  <si>
    <t>12047 - Ráütődő rugóval, csillapítással - ezüst</t>
  </si>
  <si>
    <t>306317 - Ráütődő rugóval, csillapítással - fekete</t>
  </si>
  <si>
    <t>12052 - Ráütődő Rugóval, csillapítás nélkül - ezüst</t>
  </si>
  <si>
    <t>226668 - Ráütődő tip-on, rugó és csillapítás nélkül - ezüst</t>
  </si>
  <si>
    <t>318173 - Ráütődő tip-on, rugó és csillapítás nélkül - onyx</t>
  </si>
  <si>
    <t>12048 - Félig ráütődő rugóval, csillapítással - ezüst</t>
  </si>
  <si>
    <t>306318 - Félig ráütődő rugóval, csillapítással - fekete</t>
  </si>
  <si>
    <t>12053 - Félig ráütődő Rugóval, csillapítás nélkül - ezüst</t>
  </si>
  <si>
    <t>226670 - Félig ráütődő tip-on, rugó és csillapítás nélkül - ezüst</t>
  </si>
  <si>
    <t>12049 - Közézáródó rugóval, csillapítással - ezüst</t>
  </si>
  <si>
    <t>306319 - Közézáródó rugóval, csillapítással - fekete</t>
  </si>
  <si>
    <t>12059 - Közézáródó Rugóval, csillapítás nélkül - ezüst</t>
  </si>
  <si>
    <t>226671 - Közézáródó tip-on, rugó és csillapítás nélkül - ezüst</t>
  </si>
  <si>
    <t>104717 - Ráütődő rugóval, csillapítással - ezüst</t>
  </si>
  <si>
    <t>344691 - Ráütődő rugóval, csillapítással - fekete</t>
  </si>
  <si>
    <t>232346 - Ráütődő Rugóval, csillapítás nélkül - ezüst</t>
  </si>
  <si>
    <t>245723 - Ráütődő tip-on, rugó és csillapítás nélkül - ezüst</t>
  </si>
  <si>
    <t>344694 - Ráütődő tip-on, rugó és csillapítás nélkül - fekete</t>
  </si>
  <si>
    <t>104718 - Félig ráütődő rugóval, csillapítással - ezüst</t>
  </si>
  <si>
    <t>344692 - Félig ráütődő rugóval, csillapítással - fekete</t>
  </si>
  <si>
    <t>232347 - Félig ráütődő Rugóval, csillapítás nélkül - ezüst</t>
  </si>
  <si>
    <t>245724 - Félig ráütődő tip-on, rugó és csillapítás nélkül - ezüst</t>
  </si>
  <si>
    <t>344695 - Félig ráütődő tip-on, rugó és csillapítás nélkül - fekete</t>
  </si>
  <si>
    <t>104719 - Közézáródó rugóval, csillapítással - ezüst</t>
  </si>
  <si>
    <t>344693 - Közézáródó rugóval, csillapítással - fekete</t>
  </si>
  <si>
    <t>232348 - Közézáródó Rugóval, csillapítás nélkül - ezüst</t>
  </si>
  <si>
    <t>245725 - Közézáródó tip-on, rugó és csillapítás nélkül - ezüst</t>
  </si>
  <si>
    <t>344696 - Közézáródó tip-on, rugó és csillapítás nélkül - fekete</t>
  </si>
  <si>
    <t>92580T - Ráütődő rugóval, csillapítással - ezüst</t>
  </si>
  <si>
    <t>198818 - Ráütődő Rugóval, csillapítás nélkül - ezüst</t>
  </si>
  <si>
    <t>92581T - Félig ráütődő rugóval, csillapítással - ezüst</t>
  </si>
  <si>
    <t>198819 - Félig ráütődő Rugóval, csillapítás nélkül - ezüst</t>
  </si>
  <si>
    <t>92582T - Közézáródó rugóval, csillapítással - ezüst</t>
  </si>
  <si>
    <t>198820 - Közézáródó Rugóval, csillapítás nélkül - ezüst</t>
  </si>
  <si>
    <t>350827 - Ráütődő rugóval, csillapítással - ezüst</t>
  </si>
  <si>
    <t>350834 - Ráütődő Rugóval, csillapítás nélkül - ezüst</t>
  </si>
  <si>
    <t>350837 - Ráütődő tip-on, rugó és csillapítás nélkül - ezüst</t>
  </si>
  <si>
    <t>350828 - Félig ráütődő rugóval, csillapítással - ezüst</t>
  </si>
  <si>
    <t>350835 - Félig ráütődő Rugóval, csillapítás nélkül - ezüst</t>
  </si>
  <si>
    <t>350838 - Félig ráütődő tip-on, rugó és csillapítás nélkül - ezüst</t>
  </si>
  <si>
    <t>350829 - Közézáródó rugóval, csillapítással - ezüst</t>
  </si>
  <si>
    <t>350836 - Közézáródó Rugóval, csillapítás nélkül - ezüst</t>
  </si>
  <si>
    <t>350839 - Közézáródó tip-on, rugó és csillapítás nélkül - ezüst</t>
  </si>
  <si>
    <t>118033 - Overlay with spring and damping - silver</t>
  </si>
  <si>
    <t>12106 - Overlay without damping - silver</t>
  </si>
  <si>
    <t>306329 - Overlay without damping - black</t>
  </si>
  <si>
    <t>12109 - Overlay tip-on without spring / damping - silver</t>
  </si>
  <si>
    <t>497120 - Overlay tip-on without spring / damping - onyx</t>
  </si>
  <si>
    <t>118120 - Half-overlay with spring and damping - silver</t>
  </si>
  <si>
    <t>12107 - Half-overlay without damping - silver</t>
  </si>
  <si>
    <t>118121 - Inset with spring and damping - silver</t>
  </si>
  <si>
    <t>12108 - Inset without damping - silver</t>
  </si>
  <si>
    <t>300279 - Overlay with spring and damping - silver</t>
  </si>
  <si>
    <t>344697 - Overlay with spring and damping - black</t>
  </si>
  <si>
    <t>300282 - Overlay without damping - silver</t>
  </si>
  <si>
    <t>300285 - Overlay tip-on without spring / damping - silver</t>
  </si>
  <si>
    <t>300280 - Half-overlay with spring and damping - silver</t>
  </si>
  <si>
    <t>300283 - Half-overlay without damping - silver</t>
  </si>
  <si>
    <t>300286 - Half-overlay tip-on without spring / damping - silver</t>
  </si>
  <si>
    <t>300281 - Inset with spring and damping - silver</t>
  </si>
  <si>
    <t>300284 - Inset without damping - silver</t>
  </si>
  <si>
    <t>300287 - Inset tip-on without spring / damping - silver</t>
  </si>
  <si>
    <t>92584T - Overlay with spring and damping - silver</t>
  </si>
  <si>
    <t>350863 - Overlay with spring and damping - silver</t>
  </si>
  <si>
    <t>350864 - Overlay tip-on without spring / damping - silver</t>
  </si>
  <si>
    <t>12047 - Overlay with spring and damping - silver</t>
  </si>
  <si>
    <t>306317 - Overlay with spring and damping - black</t>
  </si>
  <si>
    <t>12052 - Overlay without damping - silver</t>
  </si>
  <si>
    <t>226668 - Overlay tip-on without spring / damping - silver</t>
  </si>
  <si>
    <t>318173 - Overlay tip-on without spring / damping - onyx</t>
  </si>
  <si>
    <t>12048 - Half-overlay with spring and damping - silver</t>
  </si>
  <si>
    <t>306318 - Half-overlay with spring and damping - black</t>
  </si>
  <si>
    <t>12053 - Half-overlay without damping - silver</t>
  </si>
  <si>
    <t>226670 - Half-overlay tip-on without spring / damping - silver</t>
  </si>
  <si>
    <t>12049 - Inset with spring and damping - silver</t>
  </si>
  <si>
    <t>306319 - Inset with spring and damping - black</t>
  </si>
  <si>
    <t>12059 - Inset without damping - silver</t>
  </si>
  <si>
    <t>226671 - Inset tip-on without spring / damping - silver</t>
  </si>
  <si>
    <t>104717 - Overlay with spring and damping - silver</t>
  </si>
  <si>
    <t>344691 - Overlay with spring and damping - black</t>
  </si>
  <si>
    <t>232346 - Overlay without damping - silver</t>
  </si>
  <si>
    <t>245723 - Overlay tip-on without spring / damping - silver</t>
  </si>
  <si>
    <t>344694 - Overlay tip-on without spring / damping - black</t>
  </si>
  <si>
    <t>104718 - Half-overlay with spring and damping - silver</t>
  </si>
  <si>
    <t>344692 - Half-overlay with spring and damping - black</t>
  </si>
  <si>
    <t>232347 - Half-overlay without damping - silver</t>
  </si>
  <si>
    <t>245724 - Half-overlay tip-on without spring / damping - silver</t>
  </si>
  <si>
    <t>344695 - Half-overlay tip-on without spring / damping - black</t>
  </si>
  <si>
    <t>104719 - Inset with spring and damping - silver</t>
  </si>
  <si>
    <t>344693 - Inset with spring and damping - black</t>
  </si>
  <si>
    <t>232348 - Inset without damping - silver</t>
  </si>
  <si>
    <t>245725 - Inset tip-on without spring / damping - silver</t>
  </si>
  <si>
    <t>344696 - Inset tip-on without spring / damping - black</t>
  </si>
  <si>
    <t>92580T - Overlay with spring and damping - silver</t>
  </si>
  <si>
    <t>198818 - Overlay without damping - silver</t>
  </si>
  <si>
    <t>92581T - Half-overlay with spring and damping - silver</t>
  </si>
  <si>
    <t>198819 - Half-overlay without damping - silver</t>
  </si>
  <si>
    <t>92582T - Inset with spring and damping - silver</t>
  </si>
  <si>
    <t>198820 - Inset without damping - silver</t>
  </si>
  <si>
    <t>350827 - Overlay with spring and damping - silver</t>
  </si>
  <si>
    <t>350834 - Overlay without damping - silver</t>
  </si>
  <si>
    <t>350837 - Overlay tip-on without spring / damping - silver</t>
  </si>
  <si>
    <t>350828 - Half-overlay with spring and damping - silver</t>
  </si>
  <si>
    <t>350835 - Half-overlay without damping - silver</t>
  </si>
  <si>
    <t>350838 - Half-overlay tip-on without spring / damping - silver</t>
  </si>
  <si>
    <t>350829 - Inset with spring and damping - silver</t>
  </si>
  <si>
    <t>350836 - Inset without damping - silver</t>
  </si>
  <si>
    <t>350839 - Inset tip-on without spring / damping - silver</t>
  </si>
  <si>
    <t>hettich gorny 300279</t>
  </si>
  <si>
    <t>hettich gorny 104717</t>
  </si>
  <si>
    <t>blum gorny 12047</t>
  </si>
  <si>
    <t>strong gorny 350863</t>
  </si>
  <si>
    <t>strong gorny 92584T</t>
  </si>
  <si>
    <t>strong gorny 350827</t>
  </si>
  <si>
    <t>blum tlmený 118033</t>
  </si>
  <si>
    <t>blum tlmený 12047</t>
  </si>
  <si>
    <t>hettich tlmený 300279</t>
  </si>
  <si>
    <t>hettich tlmený 104717</t>
  </si>
  <si>
    <t>strong tlmený 350863</t>
  </si>
  <si>
    <t>strong tlmený 92584T</t>
  </si>
  <si>
    <t>strong tlmený 350827</t>
  </si>
  <si>
    <t>blum közézáródó csillapítós 118033</t>
  </si>
  <si>
    <t>blum soft-closing 118033</t>
  </si>
  <si>
    <t>blum soft-closing 12047</t>
  </si>
  <si>
    <t>hettich bottom 300282</t>
  </si>
  <si>
    <t>hettich bottom 232346</t>
  </si>
  <si>
    <t>hettich soft-closing 300279</t>
  </si>
  <si>
    <t>hettich soft-closing 104717</t>
  </si>
  <si>
    <t>hettich upper 300279</t>
  </si>
  <si>
    <t>hettich upper 104717</t>
  </si>
  <si>
    <t>blum bottom 12106</t>
  </si>
  <si>
    <t>blum bottom 12052</t>
  </si>
  <si>
    <t>strong bottom 350863</t>
  </si>
  <si>
    <t>blum upper 12047</t>
  </si>
  <si>
    <t>strong bottom 350834</t>
  </si>
  <si>
    <t>strong soft-closing 350863</t>
  </si>
  <si>
    <t>strong upper 350863</t>
  </si>
  <si>
    <t>strong soft-closing 92584T</t>
  </si>
  <si>
    <t>strong soft-closing 350827</t>
  </si>
  <si>
    <t>strong upper 92584T</t>
  </si>
  <si>
    <t>strong upper 350827</t>
  </si>
  <si>
    <t>horní</t>
  </si>
  <si>
    <t>horný</t>
  </si>
  <si>
    <t>dolný</t>
  </si>
  <si>
    <t>horní dvířko</t>
  </si>
  <si>
    <t>spodní dvířko</t>
  </si>
  <si>
    <t>StrongLifts podnośnik gorny</t>
  </si>
  <si>
    <t>StrongLifts podnośnik dolny</t>
  </si>
  <si>
    <t>síťka alu zlatá - rozměr oka 10x6x1 mm</t>
  </si>
  <si>
    <t>sieťka ocel čierna mat - rozmer oka 8x4x1 mm</t>
  </si>
  <si>
    <t>sieťka alu zlatá - rozmer oka 10x6x1 mm</t>
  </si>
  <si>
    <t>siatka alu złota - oko 10x6x1 mm</t>
  </si>
  <si>
    <t>Háló acél arany -szem 10x6x1 mm</t>
  </si>
  <si>
    <t>síťka ocel bílá - rozměr oka 8x4x1 mm</t>
  </si>
  <si>
    <t>síťka elox - rozměr oka 10x6x1 mm</t>
  </si>
  <si>
    <t>sieťka elox - rozmer oka 10x6x1 mm</t>
  </si>
  <si>
    <t>sieťka ocel biela - rozmer oka 8x4x1 mm</t>
  </si>
  <si>
    <t>siatka stalowa biała - oko 8x4x1 mm</t>
  </si>
  <si>
    <t>siatka elox - oko 10x6x1 mm</t>
  </si>
  <si>
    <t>Háló eloxált  - szem 10x6x1 mm</t>
  </si>
  <si>
    <t>Háló acél fekete matt  - szem 8x4x1 mm</t>
  </si>
  <si>
    <t>Háló acél fehér - szem 8x4x1 mm</t>
  </si>
  <si>
    <t>mesh steel black matt - field 8x4x1 mm</t>
  </si>
  <si>
    <t>mesh steel white - field 8x4x1 mm</t>
  </si>
  <si>
    <t>mesh anodized - field 10x6x1 mm</t>
  </si>
  <si>
    <t>mesh aluminum gold - field 10x6x1 mm</t>
  </si>
  <si>
    <t>průhlednost 50%</t>
  </si>
  <si>
    <t>průhlednost 67 %</t>
  </si>
  <si>
    <t>priehľadnosť 50%</t>
  </si>
  <si>
    <t>priehľadnosť 67%</t>
  </si>
  <si>
    <t>przezroczystość 50%</t>
  </si>
  <si>
    <t>przezroczystość 67%</t>
  </si>
  <si>
    <t>átláthatóság 50%</t>
  </si>
  <si>
    <t>átláthatóság 67%</t>
  </si>
  <si>
    <t>transparency 50%</t>
  </si>
  <si>
    <t>transparency 67%</t>
  </si>
  <si>
    <t>BRW (elox.) - maximum profile length 2500 mm</t>
  </si>
  <si>
    <t>Modena (elox.) - maximum profile length 2500 mm</t>
  </si>
  <si>
    <t>Palio (elox.) - maximum profile length 2500 mm</t>
  </si>
  <si>
    <t>Pisa (elox.) - maximum profile length 2500 mm</t>
  </si>
  <si>
    <t>Siena (elox.) - maximum profile length 2500 mm</t>
  </si>
  <si>
    <t>Verona (elox.) - maximum profile length 2500 mm</t>
  </si>
  <si>
    <t>Verona champagne - maximum profile length 2500 mm</t>
  </si>
  <si>
    <t>BRW champagne - maximum profile length 2500 mm</t>
  </si>
  <si>
    <t>ROMA black matt  - maximum profile length 2696 mm</t>
  </si>
  <si>
    <t>ROMA champagne matt  - maximum profile length 2696 mm</t>
  </si>
  <si>
    <t>ROMA GRIP black matt  - maximum profile length 2696 mm</t>
  </si>
  <si>
    <t>ROMA GRIP champagne matt  - maximum profile length 2696 mm</t>
  </si>
  <si>
    <t>Siena elox (lewa i prawa) + Varna elox (góra i dół)</t>
  </si>
  <si>
    <t>Siena czarny (lewa i prawa) + Varna czarny (góra i dół)</t>
  </si>
  <si>
    <t>Palio elox (lewy i prawy) + Varna elox (góra i dół)</t>
  </si>
  <si>
    <t>Rocca černá délka max. 2150 mm
Varna černá délka max. 1200 mm</t>
  </si>
  <si>
    <t>Rocca čierna dĺžka max. 2150 mm
Varny čierna dĺžka max. 1200 mm</t>
  </si>
  <si>
    <t>Rocca czarny - długość max. 2150 mm
Varna czarna - długość max. 1200 mm</t>
  </si>
  <si>
    <t>Rocca fekete - a gyártó max. 2150 mm
Varna fekete - a gyártó max. 1200 mm</t>
  </si>
  <si>
    <t>Rocca black length max. 2150 mm 
Varna black length max. 1200 mm</t>
  </si>
  <si>
    <t>Pohled na předěly je jen ilustrativní a nezobrazuje zvolený počet ks předělů horizontálně / vertikálně.</t>
  </si>
  <si>
    <t>Widok szpros ma charakter poglądowy i nie pokazuje wybranej liczby szpros.</t>
  </si>
  <si>
    <t>Pohľad na predely je len ilustratívny a nezobrazuje zvolený počet ks predelov horizontálne / vertikálne.</t>
  </si>
  <si>
    <t>A partíciók nézete csak illusztráció, és nem mutatja a kiválasztott partíciók számát vízszintesen / függőlegesen.</t>
  </si>
  <si>
    <t>_Úzký_dolny_K12</t>
  </si>
  <si>
    <t>_široký_dolny_K12</t>
  </si>
  <si>
    <t>_Úzký_dolny_Kraby</t>
  </si>
  <si>
    <t>_široký_dolny_Kraby</t>
  </si>
  <si>
    <t>_Úzký_Stronglift_gorny</t>
  </si>
  <si>
    <t>_široký_Stronglift_gorny</t>
  </si>
  <si>
    <t>_Úzký_Stronglift_dolny</t>
  </si>
  <si>
    <t>_široký_Stronglift_dolny</t>
  </si>
  <si>
    <t>hettich z tłumieniem 300279</t>
  </si>
  <si>
    <t>hettich z tłumieniem 104717</t>
  </si>
  <si>
    <t>strong z tłumieniem 350863</t>
  </si>
  <si>
    <t>strong z tłumieniem 92584T</t>
  </si>
  <si>
    <t>strong z tłumieniem 350827</t>
  </si>
  <si>
    <t>_Úzký_alsó_K12</t>
  </si>
  <si>
    <t>_široký_alsó_K12</t>
  </si>
  <si>
    <t>_Úzký_alsó_Kraby</t>
  </si>
  <si>
    <t>_široký_alsó_Kraby</t>
  </si>
  <si>
    <t>hettich alsó 300282</t>
  </si>
  <si>
    <t>_Úzký_Stronglift_felső</t>
  </si>
  <si>
    <t>_široký_Stronglift_felső</t>
  </si>
  <si>
    <t>_Úzký_Stronglift_alsó</t>
  </si>
  <si>
    <t>_široký_Stronglift_alsó</t>
  </si>
  <si>
    <t>blum alsó 12106</t>
  </si>
  <si>
    <t>hettich alsó 232346</t>
  </si>
  <si>
    <t>blum alsó 12052</t>
  </si>
  <si>
    <t>strong alsó 350834</t>
  </si>
  <si>
    <t>Vivaro white gloss RAL 9003 - maximum profile length 2500 mm</t>
  </si>
  <si>
    <t>Maximální doporučený rozměr rámečku je 2500 x 1250 mm (v případě rámečků s nalepeným sklem, např. Corleone 1500 x 600 mm)</t>
  </si>
  <si>
    <t>Maximálny doporučený rozmer rámčeka je 2500 x 1250 mm (v prípade rámčekov s nalepeným sklom, napr. Corleone 1500 x 600 mm)</t>
  </si>
  <si>
    <t>Maksymalny zalecany rozmiar ramki to 2500 x 1250 mm (w wypadku ramek ze szkłem wklejanym, np. Corleone 1500 x 600 mm)</t>
  </si>
  <si>
    <r>
      <t>A keretek maximális mérete 2500 x 1250 mm</t>
    </r>
    <r>
      <rPr>
        <b/>
        <sz val="11"/>
        <color indexed="10"/>
        <rFont val="Calibri"/>
        <family val="2"/>
        <charset val="238"/>
      </rPr>
      <t xml:space="preserve"> ( kereteknél ragasztott üveggel, Corleone 1500 x 600 mm)</t>
    </r>
  </si>
  <si>
    <t>The maximum recommended frame size is 2500 x 1250 mm (1500 x 600 mm in the case of glued glass frames, e.g. Corleone)</t>
  </si>
  <si>
    <t>BRW anthracite RAL 7021 - maximum profile length 2500 mm</t>
  </si>
  <si>
    <t>BRW white matt RAL 9003 - maximum profile length 2500 mm</t>
  </si>
  <si>
    <t>BRW brushed - maximum profile length 2500 mm</t>
  </si>
  <si>
    <t>BRW black matt - maximum profile length 2500 mm</t>
  </si>
  <si>
    <t>BRW black brushed - maximum profile length 2500 mm</t>
  </si>
  <si>
    <t>Imola black matt - maximum profile length 2500 mm</t>
  </si>
  <si>
    <t>Imola white matt RAL 9003 - maximum profile length 2500 mm</t>
  </si>
  <si>
    <t>Modena black matt - maximum profile length 2500 mm</t>
  </si>
  <si>
    <t>black black brushed - maximum profile length 2500 mm</t>
  </si>
  <si>
    <t>Palio black matt - maximum profile length 2500 mm</t>
  </si>
  <si>
    <t>Siena black matt - maximum profile length 2500 mm</t>
  </si>
  <si>
    <t>Verona brushed aluminium - maximum profile length 2500 mm</t>
  </si>
  <si>
    <t>Verona black gloss - maximum profile length 2500 mm</t>
  </si>
  <si>
    <t>Verona black matt - maximum profile length 2500 mm</t>
  </si>
  <si>
    <t>Verona brown - maximum profile length 2500 mm</t>
  </si>
  <si>
    <t>Vivaro black matt - maximum profile length 2500 mm</t>
  </si>
  <si>
    <t>Vivaro white matt RAL 9003 - maximum profile length 2500 mm</t>
  </si>
  <si>
    <t>Pisa white matt RAL 9003 - maximum profile length 2500 mm</t>
  </si>
  <si>
    <t>Pisa white gloss RAL 9003 - maximum profile length 2500 mm</t>
  </si>
  <si>
    <t>BRW arany csiszolt - maximum profile length 2500 mm</t>
  </si>
  <si>
    <t>BRW champagne light - maximum profile length 2500 mm</t>
  </si>
  <si>
    <t>Kalené (termín dodání 4 týdny)</t>
  </si>
  <si>
    <t>Kalené (termín dodania 4 týždne)</t>
  </si>
  <si>
    <t>Hartowane (termin dostawy 4 tygodnie)</t>
  </si>
  <si>
    <t>Edzett (Szállítási határidő 4 hét)</t>
  </si>
  <si>
    <t>Harded (delivery is 4 weeks)</t>
  </si>
  <si>
    <t>Horizontálně (termín dodání 4 týdny)</t>
  </si>
  <si>
    <t>horizontálne (termín dodania 4 týždne)</t>
  </si>
  <si>
    <t>Poziomo (termin dostawy 4 tygodnie)</t>
  </si>
  <si>
    <t>Vízszintesen (Szállítási határidő 4 hét)</t>
  </si>
  <si>
    <t>Horizontal (delivery is 4 weeks)</t>
  </si>
  <si>
    <t>Vertikálně (termín dodání 4 týdny)</t>
  </si>
  <si>
    <t>Vertikálne (termín dodania 4 týždne)</t>
  </si>
  <si>
    <t>Pionowo (termin dostawy 4 tygodnie)</t>
  </si>
  <si>
    <t>Függőlegesen (Szállítási határidő 4 hét)</t>
  </si>
  <si>
    <t>Vertical (delivery is 4 weeks)</t>
  </si>
  <si>
    <t>Horizontálně i vertikálně (termín dodání 4 týdny)</t>
  </si>
  <si>
    <t>Horizontálne aj vertikálne (termín dodania 4 týždne)</t>
  </si>
  <si>
    <t>Poziomo i pionowo (termin dostawy 4 tygodnie)</t>
  </si>
  <si>
    <t>Vízszintesen és függőlegesen (Szállítási határidő 4 hét)</t>
  </si>
  <si>
    <t>Horizontal and vertical (delivery is 4 weeks)</t>
  </si>
  <si>
    <t>objednavkySK@demos-trade.com</t>
  </si>
  <si>
    <t>Dolní vedení délka 2 m (87315)</t>
  </si>
  <si>
    <t>Dolní vedení délka 3 m (87314)</t>
  </si>
  <si>
    <t>Czyste hartowane</t>
  </si>
  <si>
    <t xml:space="preserve">Satinato </t>
  </si>
  <si>
    <t xml:space="preserve">MASTER SOFT </t>
  </si>
  <si>
    <t xml:space="preserve">Satinato brązowe </t>
  </si>
  <si>
    <t xml:space="preserve">Satinato grafit </t>
  </si>
  <si>
    <t xml:space="preserve">Venus VG10 </t>
  </si>
  <si>
    <t xml:space="preserve">Stopsol brąz </t>
  </si>
  <si>
    <t xml:space="preserve">Lakomat </t>
  </si>
  <si>
    <t xml:space="preserve">MASTER FLEX </t>
  </si>
  <si>
    <t xml:space="preserve">Antisol brąz </t>
  </si>
  <si>
    <t xml:space="preserve">Antisol grafit </t>
  </si>
  <si>
    <t xml:space="preserve">Lustro </t>
  </si>
  <si>
    <t xml:space="preserve">Lustro brązowe </t>
  </si>
  <si>
    <t xml:space="preserve">Lustro grafit </t>
  </si>
  <si>
    <t xml:space="preserve">VISIOSUN poziomo </t>
  </si>
  <si>
    <t xml:space="preserve">Krizet </t>
  </si>
  <si>
    <t xml:space="preserve">Master (Carre) </t>
  </si>
  <si>
    <t xml:space="preserve">Master  Point </t>
  </si>
  <si>
    <t xml:space="preserve">FLUTES poziomo </t>
  </si>
  <si>
    <t xml:space="preserve">Master  Shine </t>
  </si>
  <si>
    <t xml:space="preserve">Master  Ligne pionowo </t>
  </si>
  <si>
    <t xml:space="preserve">Lacobel RAL 1013 </t>
  </si>
  <si>
    <t xml:space="preserve">Lacobel RAL 1015 </t>
  </si>
  <si>
    <t xml:space="preserve">FLUTES pionowo </t>
  </si>
  <si>
    <t xml:space="preserve">VISIOSUN pionowo </t>
  </si>
  <si>
    <t xml:space="preserve">Lacobel RAL 7035 </t>
  </si>
  <si>
    <t xml:space="preserve">Lacobel RAL 9003 </t>
  </si>
  <si>
    <t xml:space="preserve">Lacobel RAL 9005 </t>
  </si>
  <si>
    <t xml:space="preserve">Lacobel RAL 9006 </t>
  </si>
  <si>
    <t xml:space="preserve">Lacobel RAL 9007 </t>
  </si>
  <si>
    <t xml:space="preserve">Lacobel RAL 9010 </t>
  </si>
  <si>
    <t xml:space="preserve">Moru brąz pionowo </t>
  </si>
  <si>
    <t xml:space="preserve">Moru grafit pionowo </t>
  </si>
  <si>
    <t xml:space="preserve">Moru brąz poziomo </t>
  </si>
  <si>
    <t xml:space="preserve">Moru grafit poziomo </t>
  </si>
  <si>
    <t xml:space="preserve">Matelac RAL 9003 </t>
  </si>
  <si>
    <t xml:space="preserve">Matelac RAL 9005 </t>
  </si>
  <si>
    <t xml:space="preserve">Matelac lustro bronz </t>
  </si>
  <si>
    <t xml:space="preserve">Optiwhite </t>
  </si>
  <si>
    <t xml:space="preserve">Matelac lustro grafit </t>
  </si>
  <si>
    <t xml:space="preserve">Matelac lustro srebrny </t>
  </si>
  <si>
    <t>Závěs</t>
  </si>
  <si>
    <t>118033 71B950A / 12103+12391 - zawias ze sprężyną z tłumieniem - srebro</t>
  </si>
  <si>
    <t>118033 71B950A/ 12103+12391 - zawias ze sprężyną z tłumieniem - srebro</t>
  </si>
  <si>
    <t>118033 - Nakładany ze sprężyną z tłumieniem - srebro 71B950A</t>
  </si>
  <si>
    <t>118033 71B950A / 12106 71T950A - zawias ze sprężyną bez tłumienia - srebro</t>
  </si>
  <si>
    <t>12106 - Nakładany ze sprężyną bez tłumienia - srebro 71T950A</t>
  </si>
  <si>
    <t>306329 - Nakładany ze sprężyną bez tłumienia - czarny 71T950A</t>
  </si>
  <si>
    <t>12109 - Nakładany tip-on bez sprężyny/tłumienie - srebro 70T950A.TL</t>
  </si>
  <si>
    <t>497120 - Nakładany tip-on bez sprężyny/tłumienie - onyx 70T950A.TL</t>
  </si>
  <si>
    <t>118120 71B960A / 12104+12385 - zawias ze sprężyną z tłumieniem - srebro</t>
  </si>
  <si>
    <t>118120 - Półnakładany ze sprężyną z tłumieniem - srebro 71B960A</t>
  </si>
  <si>
    <t>118120 71B960A / 12107 71T960A - zawias ze sprężyną bez tłumienia - srebro</t>
  </si>
  <si>
    <t>12107 - Półnakładany ze sprężyną bez tłumienia - srebro 71T960A</t>
  </si>
  <si>
    <t>118121 - Wpuszczany ze sprężyną z tłumieniem - srebro 71B970A</t>
  </si>
  <si>
    <t>118121 71B970A / 12108 71T970A - zawias ze sprężyną bez tłumienia - srebro</t>
  </si>
  <si>
    <t>12108 - Wpuszczany ze sprężyną bez tłumienia - srebro 71T970A</t>
  </si>
  <si>
    <t>12047 - Nakładany ze sprężyną z tłumieniem - srebro 71B3550</t>
  </si>
  <si>
    <t>306317 - Nakładany ze sprężyną z tłumieniem - czarny 71B3550</t>
  </si>
  <si>
    <t>12052 - Nakładany ze sprężyną bez tłumienia - srebro 71T3550</t>
  </si>
  <si>
    <t>226668 - Nakładany tip-on bez sprężyny/tłumienie - srebro 70T3550.TL</t>
  </si>
  <si>
    <t>318173 - Nakładany tip-on bez sprężyny/tłumienie - onyx 70T9550.TL</t>
  </si>
  <si>
    <t>12048 - Półnakładany ze sprężyną z tłumieniem - srebro 71B3650</t>
  </si>
  <si>
    <t>306318 - Półnakładany ze sprężyną z tłumieniem - czarny 71B3650</t>
  </si>
  <si>
    <t>12053 - Półnakładany ze sprężyną bez tłumienia - srebro 71T3650</t>
  </si>
  <si>
    <t>226670 - Półnakładany tip-on bez sprężyny/tłumienie - srebro 70T3650.TL</t>
  </si>
  <si>
    <t>12049 - Wpuszczany ze sprężyną z tłumieniem - srebro 71B3750</t>
  </si>
  <si>
    <t>306319 - Wpuszczany ze sprężyną z tłumieniem - czarny 71B3750</t>
  </si>
  <si>
    <t>12059 - Wpuszczany ze sprężyną bez tłumienia - srebro 71T3750</t>
  </si>
  <si>
    <t>226671 - Wpuszczany tip-on bez sprężyny/tłumienie - srebro 70T3750.TL</t>
  </si>
  <si>
    <t>blum tip-on 13764 / 72T550A.TL</t>
  </si>
  <si>
    <t>blum dolny 12052 / 71T3550</t>
  </si>
  <si>
    <t>blum dolny 12106 / 71T950A</t>
  </si>
  <si>
    <t>blum tip-on 12109 / 70T950A.TL</t>
  </si>
  <si>
    <t>blum gorny 12047 / 71B3550</t>
  </si>
  <si>
    <t>Vzdálenost od spodního okraje</t>
  </si>
  <si>
    <t>Vzdálenost od horního okraje</t>
  </si>
  <si>
    <t>275689- spodní 80N šedá</t>
  </si>
  <si>
    <t>248167- spodní 80N bílá</t>
  </si>
  <si>
    <t>STRONG horní šedý</t>
  </si>
  <si>
    <t>cena profily</t>
  </si>
  <si>
    <t>cena sklo</t>
  </si>
  <si>
    <t>Ár</t>
  </si>
  <si>
    <t>Price</t>
  </si>
  <si>
    <t>Zvolený rozměr rámečku neodpovídá maximálním rozměrům skla, nebo profilu</t>
  </si>
  <si>
    <t>Wybrany rozmiar ramki nie odpowiada maksymalnym wymiarom szkła lub profilu</t>
  </si>
  <si>
    <t>Size of the frame does not match with maximal possible size of the glass or of the profile</t>
  </si>
  <si>
    <t>Zvolený rozmer rámčeka nezodpovedá maximálnym rozmerom skla, alebo profilu</t>
  </si>
  <si>
    <t>A kiválasztott keretméret nem felel meg az üveg vagy a profil maximális méreteinek</t>
  </si>
  <si>
    <t>Imola gold - maximum profile length 2150 mm</t>
  </si>
  <si>
    <t>BRW (elox.) - maximální doporučená délka profilu 2500 mm</t>
  </si>
  <si>
    <t>BRW antracit RAL 7021 - maximální doporučená délka profilu 2500 mm</t>
  </si>
  <si>
    <t>BRW bílá mat RAL 9003 - maximální doporučená délka profilu 2500 mm</t>
  </si>
  <si>
    <t>BRW hnědá - maximální doporučená délka profilu 2500 mm</t>
  </si>
  <si>
    <t>BRW broušené - maximální doporučená délka profilu 2500 mm</t>
  </si>
  <si>
    <t>BRW černá mat - maximální doporučená délka profilu 2500 mm</t>
  </si>
  <si>
    <t>BRW černá broušená - maximální doporučená délka profilu 2500 mm</t>
  </si>
  <si>
    <t>Imola černá mat - maximální doporučená délka profilu 2500 mm</t>
  </si>
  <si>
    <t>Imola bílá mat RAL 9003 - maximální doporučená délka profilu 2500 mm</t>
  </si>
  <si>
    <t>Modena (elox.) - maximální doporučená délka profilu 2500 mm</t>
  </si>
  <si>
    <t>Modena černá mat - maximální doporučená délka profilu 2500 mm</t>
  </si>
  <si>
    <t>Modena černá broušená - maximální doporučená délka profilu 2500 mm</t>
  </si>
  <si>
    <t>Modena tmavá nerez br. (inox lija) - maximální doporučená délka profilu 2500 mm</t>
  </si>
  <si>
    <t>Palio (elox.) - maximální doporučená délka profilu 2500 mm</t>
  </si>
  <si>
    <t>Palio černá mat - maximální doporučená délka profilu 2500 mm</t>
  </si>
  <si>
    <t>Pisa (elox.) - maximální doporučená délka profilu 2500 mm</t>
  </si>
  <si>
    <t>Siena (elox.) - maximální doporučená délka profilu 2500 mm</t>
  </si>
  <si>
    <t>Siena černá mat - maximální doporučená délka profilu 2500 mm</t>
  </si>
  <si>
    <t>Verona (elox.) - maximální doporučená délka profilu 2500 mm</t>
  </si>
  <si>
    <t>Verona broušený hliník - maximální doporučená délka profilu 2500 mm</t>
  </si>
  <si>
    <t>Verona černá lesk - maximální doporučená délka profilu 2500 mm</t>
  </si>
  <si>
    <t>Verona černá mat - maximální doporučená délka profilu 2500 mm</t>
  </si>
  <si>
    <t>Verona hnědá - maximální doporučená délka profilu 2500 mm</t>
  </si>
  <si>
    <t>Verona champagne - maximální doporučená délka profilu 2500 mm</t>
  </si>
  <si>
    <t>Rocca černá mat - maximální doporučená délka profilu 2150 mm</t>
  </si>
  <si>
    <t>Vivaro (elox.) - maximální doporučená délka profilu 2500 mm</t>
  </si>
  <si>
    <t>Vivaro černá mat - maximální doporučená délka profilu 2500 mm</t>
  </si>
  <si>
    <t>Imola zlatá - maximální doporučená délka profilu 2150 mm</t>
  </si>
  <si>
    <t>Vivaro tmavá nerez br. (inox lija) - maximální doporučená délka profilu 2500 mm</t>
  </si>
  <si>
    <t>Vivaro bílá mat RAL 9003 - maximální doporučená délka profilu 2500 mm</t>
  </si>
  <si>
    <t>Vivaro bílá lesk RAL 9003 - maximální doporučená délka profilu 2500 mm</t>
  </si>
  <si>
    <t>Varna (elox.) - maximální doporučená délka profilu 2500 mm</t>
  </si>
  <si>
    <t>Pisa bílá mat RAL 9003 - maximální doporučená délka profilu 2500 mm</t>
  </si>
  <si>
    <t>Pisa bílá lesk RAL 9003 - maximální doporučená délka profilu 2500 mm</t>
  </si>
  <si>
    <t>Varna černá - maximální doporučená délka profilu 1200 mm</t>
  </si>
  <si>
    <t>BRW zlatá broušená - maximální doporučená délka profilu 2500 mm</t>
  </si>
  <si>
    <t>Verona zlatá broušená - maximální doporučená délka profilu 2150 mm</t>
  </si>
  <si>
    <t>Vivaro zlatá broušená - maximální doporučená délka profilu 2150 mm</t>
  </si>
  <si>
    <t>Pisa zlatá - maximální doporučená délka profilu 2150 mm</t>
  </si>
  <si>
    <t>BRW champagne - maximální doporučená délka profilu 2500 mm</t>
  </si>
  <si>
    <t>BRW champagne light - maximální doporučená délka profilu 2500 mm</t>
  </si>
  <si>
    <t>ROMA černá mat - maximální doporučená délka profilu 2696 mm</t>
  </si>
  <si>
    <t>ROMA champagne mat - maximální doporučená délka profilu 2696 mm</t>
  </si>
  <si>
    <t>ROMA GRIP černá mat - maximální doporučená délka profilu 2696 mm</t>
  </si>
  <si>
    <t>ROMA GRIP champagne mat - maximální doporučená délka profilu 2696 mm</t>
  </si>
  <si>
    <t>BRW (elox.) - maximálna odporúčaná odporúčaná dĺžka profilu 2500 mm</t>
  </si>
  <si>
    <t>BRW antracit RAL 7021 - maximálna odporúčaná dĺžka profilu 2500 mm</t>
  </si>
  <si>
    <t>BRW biela matt RAL 9003 - maximálna odporúčaná dĺžka profilu 2500 mm</t>
  </si>
  <si>
    <t>BRW hnědá - maximálna odporúčaná dĺžka profilu 2500 mm</t>
  </si>
  <si>
    <t>BRW brúsené - maximálna odporúčaná dĺžka profilu 2500 mm</t>
  </si>
  <si>
    <t>BRW čierna matt - maximálna odporúčaná dĺžka profilu 2500 mm</t>
  </si>
  <si>
    <t>BRW čierna brúsená - maximálna odporúčaná dĺžka profilu 2500 mm</t>
  </si>
  <si>
    <t>Imola čierna mat - maximálna odporúčaná dĺžka profilu 2500 mm</t>
  </si>
  <si>
    <t>Imola biela matt RAL 9003 - maximálna odporúčaná dĺžka profilu 2500 mm</t>
  </si>
  <si>
    <t>Modena (elox.) - maximálna odporúčaná dĺžka profilu 2500 mm</t>
  </si>
  <si>
    <t>Modena čierna matt - maximálna odporúčaná dĺžka profilu 2500 mm</t>
  </si>
  <si>
    <t>Modena čierna brúsená - maximálna odporúčaná dĺžka profilu 2500 mm</t>
  </si>
  <si>
    <t>Palio (elox.) - maximálna odporúčaná dĺžka profilu 2500 mm</t>
  </si>
  <si>
    <t>Palio čierna matt - maximálna odporúčaná dĺžka profilu 2500 mm</t>
  </si>
  <si>
    <t>Pisa (elox.) - maximálna odporúčaná dĺžka profilu 2500 mm</t>
  </si>
  <si>
    <t>Siena (elox.) - maximálna odporúčaná dĺžka profilu 2500 mm</t>
  </si>
  <si>
    <t>Siena čierna mat - maximálna odporúčaná dĺžka profilu 2500 mm</t>
  </si>
  <si>
    <t>Verona (elox.) - maximálna odporúčaná dĺžka profilu 2500 mm</t>
  </si>
  <si>
    <t>Verona brúsená - maximálna odporúčaná dĺžka profilu 2500 mm</t>
  </si>
  <si>
    <t>Verona čierna lesk - maximálna odporúčaná dĺžka profilu 2500 mm</t>
  </si>
  <si>
    <t>Verona čierna mat - maximálna odporúčaná dĺžka profilu 2500 mm</t>
  </si>
  <si>
    <t>Verona hnědá - maximálna odporúčaná dĺžka profilu 2500 mm</t>
  </si>
  <si>
    <t>Verona champagne - maximálna odporúčaná dĺžka profilu 2500 mm</t>
  </si>
  <si>
    <t>Verona svetlá nerez brúsená Acier - maximálna odporúčaná dĺžka profilu 2500 mm</t>
  </si>
  <si>
    <t>Rocca čierna mat - maximálna odporúčaná dĺžka profilu 2150 mm</t>
  </si>
  <si>
    <t>Vivaro (elox.) - maximálna odporúčaná dĺžka profilu 2500 mm</t>
  </si>
  <si>
    <t>Vivaro čierne mat - maximálna odporúčaná dĺžka profilu 2500 mm</t>
  </si>
  <si>
    <t>Imola zlatá - maximálna odporúčaná dĺžka profilu 2150 mm</t>
  </si>
  <si>
    <t>Vivaro tmavá nerez br. (inox lija) - maximálna odporúčaná dĺžka profilu 2500 mm</t>
  </si>
  <si>
    <t>Vivaro biela matt RAL 9003 - maximálna odporúčaná dĺžka profilu 2500 mm</t>
  </si>
  <si>
    <t>Vivaro biela lesk RAL 9003 - maximálna odporúčaná dĺžka profilu 2500 mm</t>
  </si>
  <si>
    <t>Varna - maximálna odporúčaná dĺžka profilu 2500 mm</t>
  </si>
  <si>
    <t>Pisa biela mat RAL 9003 - maximálna odporúčaná dĺžka profilu 2500 mm</t>
  </si>
  <si>
    <t>Pisa biela lesk RAL 9003 - maximálna odporúčaná dĺžka profilu 2500 mm</t>
  </si>
  <si>
    <t>Varna čierna - maximálna odporúčaná dĺžka profilu 1200 mm</t>
  </si>
  <si>
    <t>BRW zlatá brúsená - maximálna odporúčaná dĺžka profilu 2500 mm</t>
  </si>
  <si>
    <t>Verona zlatá brúsená - maximálna odporúčaná dĺžka profilu 2150 mm</t>
  </si>
  <si>
    <t>Vivaro zlatá brúsená - maximálna odporúčaná dĺžka profilu 2150 mm</t>
  </si>
  <si>
    <t>Pisa zlatá - maximálna odporúčaná dĺžka profilu 2150 mm</t>
  </si>
  <si>
    <t>BRW champagne - maximálna odporúčaná dĺžka profilu 2500 mm</t>
  </si>
  <si>
    <t>BRW champagne light - maximálna odporúčaná dĺžka profilu 2500 mm</t>
  </si>
  <si>
    <t>ROMA čierna mat - maximálna odporúčaná dĺžka profilu 2696 mm</t>
  </si>
  <si>
    <t>ROMA champagne mat - maximálna odporúčaná dĺžka profilu 2696 mm</t>
  </si>
  <si>
    <t>ROMA GRIP čierna mat - maximálna odporúčaná dĺžka profilu 2696 mm</t>
  </si>
  <si>
    <t>ROMA GRIP champagne mat - maximálna odporúčaná dĺžka profilu 2696 mm</t>
  </si>
  <si>
    <t>Pisa złota - maksymalna zalecana długość profilu 2150 mm</t>
  </si>
  <si>
    <t>BRW champagne - maksymalna zalecana długość profilu 2500 mm</t>
  </si>
  <si>
    <t>BRW champagne light - maksymalna zalecana długość profilu 2500 mm</t>
  </si>
  <si>
    <t>ROMA czarna matowa -  maksymalna zalecana długość profilu 2696 mm</t>
  </si>
  <si>
    <t>ROMA champagne mat - maksymalna zalecana długość profilu 2696 mm</t>
  </si>
  <si>
    <t>ROMA GRIP czarna matowa - maksymalna zalecana długość profilu 2696 mm</t>
  </si>
  <si>
    <t>ROMA GRIP champagne mat - maksymalna zalecana długość profilu 2696 mm</t>
  </si>
  <si>
    <t>BRW (elox.) - maksymalna zalecana długość profilu 2500 mm</t>
  </si>
  <si>
    <t>BRW antracyt RAL 7021 - maksymalna zalecana długość profilu 2500 mm</t>
  </si>
  <si>
    <t>BRW bialy matowy RAL 9003 - maksymalna zalecana długość profilu 2500 mm</t>
  </si>
  <si>
    <t>BRW brąz - maksymalna zalecana długość profilu 2500 mm</t>
  </si>
  <si>
    <t>BRW szczotkowany - maksymalna zalecana długość profilu 2500 mm</t>
  </si>
  <si>
    <t>BRW Czarny matowy - maksymalna zalecana długość profilu 2500 mm</t>
  </si>
  <si>
    <t>BRW czarna szczotka - maksymalna zalecana długość profilu 2500 mm</t>
  </si>
  <si>
    <t>Imola Czarny matowy - maksymalna zalecana długość profilu 2500 mm</t>
  </si>
  <si>
    <t>Imola bialy matowy RAL 9003 - maksymalna zalecana długość profilu 2500 mm</t>
  </si>
  <si>
    <t>Modena (elox.) - maksymalna zalecana długość profilu 2500 mm</t>
  </si>
  <si>
    <t>Modena Czarny matowy - maksymalna zalecana długość profilu 2500 mm</t>
  </si>
  <si>
    <t>Modena czarna szczotka - maksymalna zalecana długość profilu 2500 mm</t>
  </si>
  <si>
    <t>Palio (elox.) - maksymalna zalecana długość profilu 2500 mm</t>
  </si>
  <si>
    <t>Palio Czarny matowy - maksymalna zalecana długość profilu 2500 mm</t>
  </si>
  <si>
    <t>Pisa (elox.) - maksymalna zalecana długość profilu 2500 mm</t>
  </si>
  <si>
    <t>Siena (elox.) - maksymalna zalecana zalecana długość profilu 2500 mm</t>
  </si>
  <si>
    <t>Siena czarny matowy - maksymalna zalecana zalecana długość profilu 2500 mm</t>
  </si>
  <si>
    <t>Verona (elox.) - maksymalna zalecana zalecana długość profilu 2500 mm</t>
  </si>
  <si>
    <t>Verona szczotkowany - maksymalna zalecana zalecana długość profilu 2500 mm</t>
  </si>
  <si>
    <t>Verona czarny połysk - maksymalna zalecana zalecana długość profilu 2500 mm</t>
  </si>
  <si>
    <t>Verona czarny matowy - maksymalna zalecana zalecana długość profilu 2500 mm</t>
  </si>
  <si>
    <t>Verona braz - maksymalna zalecana zalecana długość profilu 2500 mm</t>
  </si>
  <si>
    <t>Verona szampański - maksymalna zalecana zalecana długość profilu 2500 mm</t>
  </si>
  <si>
    <t>Rocca czarny matowy - maksymalna zalecana zalecana długość profilu 2150 mm</t>
  </si>
  <si>
    <t>Vivaro (elox.) - maksymalna zalecana zalecana długość profilu 2500 mm</t>
  </si>
  <si>
    <t>Vivaro czarny matowy - maksymalna zalecana zalecana długość profilu 2500 mm</t>
  </si>
  <si>
    <t>Imola złota - maksymalna zalecana zalecana długość profilu 2150 mm</t>
  </si>
  <si>
    <t>Vivaro biały matowy RAL 9003 - maksymalna zalecana zalecana długość profilu 2500 mm</t>
  </si>
  <si>
    <t>Vivaro biały połysk RAL 9003 - maksymalna zalecana zalecana długość profilu 2500 mm</t>
  </si>
  <si>
    <t>Pisa biały matowy RAL 9003 - maksymalna zalecana zalecana długość profilu 2500 mm</t>
  </si>
  <si>
    <t>Pisa biały połysk RAL 9003 - maksymalna zalecana zalecana długość profilu 2500 mm</t>
  </si>
  <si>
    <t>BRW złota szczotkowany - maksymalna zalecana zalecana długość profilu 2500 mm</t>
  </si>
  <si>
    <t>Verona złota szczotkowany - maksymalna zalecana zalecana długość profilu 2150 mm</t>
  </si>
  <si>
    <t>Vivaro złota szczotkowany - maksymalna zalecana zalecana długość profilu 2150 mm</t>
  </si>
  <si>
    <t>BRW bílá lesk RAL 9003 - maximální doporučená délka profilu 2500 mm</t>
  </si>
  <si>
    <t>BRW biela lesk RAL 9003 - maximálna odporúčaná dĺžka profilu 2500 mm</t>
  </si>
  <si>
    <t>BRW bialy połysk RAL 9003 - maksymalna zalecana długość profilu 2500 mm</t>
  </si>
  <si>
    <t>BRW white gloss RAL 9003 - maximum profile length 2500 mm</t>
  </si>
  <si>
    <t>Corleone (elox.) - maximální doporučená délka profilu 1500 mm</t>
  </si>
  <si>
    <t>Corleone (elox.) - maximálna odporúčaná dĺžka profilu 1500 mm</t>
  </si>
  <si>
    <t>Corleone (elox.)- maksymalna zalecana długość profilu 1500 mm</t>
  </si>
  <si>
    <t>Corleone (elox.) - maximum profile length 1500 mm</t>
  </si>
  <si>
    <t>Corleone černá mat - maximální doporučená délka profilu 1500 mm</t>
  </si>
  <si>
    <t>Corleone čierne mat - maximálna odporúčaná dĺžka profilu 1500 mm</t>
  </si>
  <si>
    <t>Corleone czarny matowy - maksymalna zalecana długość profilu 1500 mm</t>
  </si>
  <si>
    <t>Corleone black matt - maximum profile length 1500 mm</t>
  </si>
  <si>
    <t>Imola (elox.) - maximální doporučená délka profilu 2500 mm</t>
  </si>
  <si>
    <t>Imola (elox.) - maximálna odporúčaná dĺžka profilu 2500 mm</t>
  </si>
  <si>
    <t>Imola (elox.) - maksymalna zalecana długość profilu 2500 mm</t>
  </si>
  <si>
    <t>Imola (elox.) - maximum profile length 2500 mm</t>
  </si>
  <si>
    <t>Verona zlatá - maximální doporučená délka profilu 2150 mm</t>
  </si>
  <si>
    <t>Verona zlatá - maximálna odporúčaná dĺžka profilu 2150 mm</t>
  </si>
  <si>
    <t>Verona złota - maksymalna zalecana długość profilu 2150 mm</t>
  </si>
  <si>
    <t>Verona gold - maximum profile length 2150 mm</t>
  </si>
  <si>
    <t>Pisa černá mat - maximální doporučená délka profilu 2500 mm</t>
  </si>
  <si>
    <t>Pisa čierna matt - maximálna odporúčaná dĺžka profilu 2500 mm</t>
  </si>
  <si>
    <t>Pisa Czarny matowy - maksymalna zalecana długość profilu 2500 mm</t>
  </si>
  <si>
    <t>Pisa black matt - maximum profile length 2500 mm</t>
  </si>
  <si>
    <t>Vivaro zlatá - maximální doporučená délka profilu 2150 mm</t>
  </si>
  <si>
    <t>Vivaro zlatá - maximálna odporúčaná dĺžka profilu 2150 mm</t>
  </si>
  <si>
    <t>Vivaro złota - maksymalna zalecana zalecana długość profilu 2150 mm</t>
  </si>
  <si>
    <t>Vivaro gold - maximum profile length 2150 mm</t>
  </si>
  <si>
    <t>Vivaro (elox.) - maximum profile length 2500 mm</t>
  </si>
  <si>
    <t>Rocca (elox.) - maximální doporučená délka profilu 2150 mm</t>
  </si>
  <si>
    <t>Rocca (elox.) - maximálna odporúčaná dĺžka profilu 2150 mm</t>
  </si>
  <si>
    <t>Rocca (elox.) - maksymalna zalecana zalecana długość profilu 2150 mm</t>
  </si>
  <si>
    <t>Rocca (elox.) - maximum profile length 2150 mm</t>
  </si>
  <si>
    <t>ASTI černá mat - maximální doporučená délka profilu 2150 mm</t>
  </si>
  <si>
    <t>ASTI čierna mat - maximálna odporúčaná dĺžka profilu 2150</t>
  </si>
  <si>
    <t>ASTI  czarne  - maksymalna zalecana długość profilu 2150</t>
  </si>
  <si>
    <t>ASTI black matt - maximum profile length 2150 mm</t>
  </si>
  <si>
    <t>ASTI antracit RAL 7021 mat - maximální doporučená délka profilu 2500 mm</t>
  </si>
  <si>
    <t>ASTI antracit RAL 7021 mat - maximálna odporúčaná dĺžka profilu 2500 mm</t>
  </si>
  <si>
    <t>ASTI  antracyt mat RAL 7021 mat lakier - maksymalna zalecana długość profilu 2500 mm</t>
  </si>
  <si>
    <t>ASTI anthracite RAL 7021 matt - maximum profile length 2500 mm</t>
  </si>
  <si>
    <t>BRW (elox.) - maximális ajánlott profilhosszúság 2500 mm</t>
  </si>
  <si>
    <t>BRW antracit  RAL 7021 - maximális ajánlott profilhosszúság 2500 mm</t>
  </si>
  <si>
    <t>BRW fehér matt RAL 9003 - maximális ajánlott profilhosszúság 2500 mm</t>
  </si>
  <si>
    <t>BRW fehér fényes RAL 9003 - maximális ajánlott profilhosszúság 2500 mm</t>
  </si>
  <si>
    <t>BRW barna - maximális ajánlott profilhosszúság 2500 mm</t>
  </si>
  <si>
    <t>BRW csiszolt - maximális ajánlott profilhosszúság 2500 mm</t>
  </si>
  <si>
    <t>BRW fekete matt - maximális ajánlott profilhosszúság 2500 mm</t>
  </si>
  <si>
    <t>BRW fekete csiszolt - maximális ajánlott profilhosszúság 2500 mm</t>
  </si>
  <si>
    <t>Corleone (elox.) - maximális ajánlott profilhosszúság 1500 mm</t>
  </si>
  <si>
    <t>Corleone fekete matt - maximális ajánlott profilhosszúság 1500 mm</t>
  </si>
  <si>
    <t>Imola (elox.) - maximális ajánlott profilhosszúság 2500 mm</t>
  </si>
  <si>
    <t>Imola fekete matt - maximális ajánlott profilhosszúság 2500 mm</t>
  </si>
  <si>
    <t>Imola fehér matt RAL 9003 - maximális ajánlott profilhosszúság 2500 mm</t>
  </si>
  <si>
    <t>Modena (elox.) - maximális ajánlott profilhosszúság 2500 mm</t>
  </si>
  <si>
    <t>Modena fekete matt - maximális ajánlott profilhosszúság 2500 mm</t>
  </si>
  <si>
    <t>Verona arany - maximális ajánlott profilhosszúság 2150 mm</t>
  </si>
  <si>
    <t>Modena fekete csiszolt - maximális ajánlott profilhosszúság 2500 mm</t>
  </si>
  <si>
    <t>Palio (elox.) - maximális ajánlott profilhosszúság 2500 mm</t>
  </si>
  <si>
    <t>Palio fekete matt - maximális ajánlott profilhosszúság 2500 mm</t>
  </si>
  <si>
    <t>Pisa (elox.) - maximális ajánlott profilhosszúság 2500 mm</t>
  </si>
  <si>
    <t>Pisa fekete matt - maximális ajánlott profilhosszúság 2500 mm</t>
  </si>
  <si>
    <t>Vivaro arany - maximális ajánlott profilhosszúság 2150 mm</t>
  </si>
  <si>
    <t>Siena (elox.) - maximális ajánlott profilhosszúság 2500 mm</t>
  </si>
  <si>
    <t>Siena fekete matt - maximális ajánlott profilhosszúság 2500 mm</t>
  </si>
  <si>
    <t>Verona (elox.) - maximális ajánlott profilhosszúság 2500 mm</t>
  </si>
  <si>
    <t>Verona csiszolt - maximális ajánlott profilhosszúság 2500 mm</t>
  </si>
  <si>
    <t>Verona fekete fényes - maximális ajánlott profilhosszúság 2500 mm</t>
  </si>
  <si>
    <t>Verona fekete matt - maximális ajánlott profilhosszúság 2500 mm</t>
  </si>
  <si>
    <t>Verona barna - maximális ajánlott profilhosszúság 2500 mm</t>
  </si>
  <si>
    <t>Verona champagne - maximális ajánlott profilhosszúság 2500 mm</t>
  </si>
  <si>
    <t>Rocca fekete matt - maximális ajánlott profilhosszúság 2150 mm</t>
  </si>
  <si>
    <t>Vivaro (elox.) - maximális ajánlott profilhosszúság 2500 mm</t>
  </si>
  <si>
    <t>Vivaro fekete matt - maximális ajánlott profilhosszúság 2500 mm</t>
  </si>
  <si>
    <t>Imola arany - maximális ajánlott profilhosszúság 2150 mm</t>
  </si>
  <si>
    <t>Vivaro fehér matt RAL 9003 - maximális ajánlott profilhosszúság 2500 mm</t>
  </si>
  <si>
    <t>Vivaro fehér fényes RAL 9003 - maximális ajánlott profilhosszúság 2500 mm</t>
  </si>
  <si>
    <t>Rocca (elox.) - maximális ajánlott profilhosszúság 2150 mm</t>
  </si>
  <si>
    <t>Pisa fehér matt RAL 9003 - maximális ajánlott profilhosszúság 2500 mm</t>
  </si>
  <si>
    <t>Pisa fehér fényes RAL 9003 - maximális ajánlott profilhosszúság 2500 mm</t>
  </si>
  <si>
    <t>Várna fekete - maximális ajánlott profilhosszúság 1200 mm</t>
  </si>
  <si>
    <t>BRW arany csiszolt - maximális ajánlott profilhosszúság 2500 mm</t>
  </si>
  <si>
    <t>Verona arany csiszolt - maximális ajánlott profilhosszúság 2150 mm</t>
  </si>
  <si>
    <t>Vivaro arany csiszolt - maximális ajánlott profilhosszúság 2150 mm</t>
  </si>
  <si>
    <t>Pisa arany - maximális ajánlott profilhosszúság 2150 mm</t>
  </si>
  <si>
    <t>ASTI fekete matt - maximális ajánlott profilhosszúság 2150 mm</t>
  </si>
  <si>
    <t>ASTI antracit RAL 7021 matt - maximális ajánlott profilhosszúság 2500 mm</t>
  </si>
  <si>
    <t>BRW champagne - maximális ajánlott profilhosszúság 2500 mm</t>
  </si>
  <si>
    <t>BRW champagne világos - maximális ajánlott profilhosszúság 2500 mm</t>
  </si>
  <si>
    <t>ROMA fekete matt - maximális ajánlott profilhosszúság 2696 mm</t>
  </si>
  <si>
    <t>ROMA champagne matt - maximális ajánlott profilhosszúság 2696 mm</t>
  </si>
  <si>
    <t>ROMA GRIP fekete matt - maximális ajánlott profilhosszúság 2696 mm</t>
  </si>
  <si>
    <t>ROMA GRIP champagne matt - maximális ajánlott profilhosszúság 2696 mm</t>
  </si>
  <si>
    <t>Varna nemůže být na výšku, protože se do něho nadá vyfrézovat pant ani závěs</t>
  </si>
  <si>
    <t>max doporučená délka</t>
  </si>
  <si>
    <t>mx výška</t>
  </si>
  <si>
    <t>max šířka</t>
  </si>
  <si>
    <t>max délka profilu</t>
  </si>
  <si>
    <t>AI43</t>
  </si>
  <si>
    <t>AJ43</t>
  </si>
  <si>
    <t>BRW zlatá - maximální doporučená délka profilu 2500 mm</t>
  </si>
  <si>
    <t>BRW zlatá - maximálna odporúčaná dĺžka profilu 2500 mm</t>
  </si>
  <si>
    <t>BRW złota- maksymalna zalecana długość profilu 2500 mm</t>
  </si>
  <si>
    <t>BRW arany - maximális ajánlott profilhosszúság 2500 mm</t>
  </si>
  <si>
    <t>BRW gold - maximum profile length 2500 mm</t>
  </si>
  <si>
    <t>max rozměry jen pro profil se nenatahují</t>
  </si>
  <si>
    <t>Při použití pantů je maximální doporučený rozměr 600mm</t>
  </si>
  <si>
    <t>Pri použití pántov je maximálny odporúčaný rozmer 600mm</t>
  </si>
  <si>
    <t>W przypadku zawiasów maksymalny zalecany rozmiar to 600mm</t>
  </si>
  <si>
    <t>A pántok használata esetén a maximális ajánlott méret a 600mm</t>
  </si>
  <si>
    <t>When using hinges, the maximal recommended size is 600mm</t>
  </si>
  <si>
    <t>csillapítós</t>
  </si>
  <si>
    <t>Barva profilu a síťky se může lišit z důvodu tolerance v procesu výroby</t>
  </si>
  <si>
    <t>Farba profilu a sieťky sa môže líšiť z dôvodu tolerancie v procese výroby.</t>
  </si>
  <si>
    <t>Kolor profilu i siatki może się różnić z powodu tolerancji w procesie produkcji.</t>
  </si>
  <si>
    <t>A profil és a háló színe eltérhet a gyártási folyamat tűrései miatt</t>
  </si>
  <si>
    <t>The color of the profile and the mesh may vary due to tolerances in the production process.</t>
  </si>
  <si>
    <t>Výška rámečku = světlá výška skříňky - 6 mm.</t>
  </si>
  <si>
    <t>Wysokość ramki = wysokość wewnętrzna szafki - 6 mm.</t>
  </si>
  <si>
    <t>Výška rámčeku vnútorná výška skrinky - 6 mm.</t>
  </si>
  <si>
    <t>A keret magassága = belső magassága - 6 mm.</t>
  </si>
  <si>
    <t>The height of the frame = internal height of the corpus - 6 mm.</t>
  </si>
  <si>
    <t>ostatní jazyky</t>
  </si>
  <si>
    <t>Sleva</t>
  </si>
  <si>
    <t>Zľava</t>
  </si>
  <si>
    <t>Rabat</t>
  </si>
  <si>
    <t>Engedmény</t>
  </si>
  <si>
    <t>Discount</t>
  </si>
  <si>
    <t>VISIOSUN satyna pionowo</t>
  </si>
  <si>
    <t>VISIOSUN satyna poziomo</t>
  </si>
  <si>
    <t>Warunki i zalecenia dotyczące prawidłowego zamawiania ramek aluminiowych.</t>
  </si>
  <si>
    <t>Zawsze korzystaj z aktualnej wersji formularza, który jest umieszczony na naszej stronie web.</t>
  </si>
  <si>
    <t>Podczas wypełniania formularza wypełniaj zawsze od góry do dołu.</t>
  </si>
  <si>
    <t>Jeśli dokonasz zmiany wstecz, konieczne będzie ponowne wpisanie danych poniżej zmiany.</t>
  </si>
  <si>
    <t>Przed wysłaniem zamówienia sprawdź formularz, czy są wpisane tylko te ramki, które chcesz zamówić.</t>
  </si>
  <si>
    <t>Wypełniony formularz wyślij pod adres email:</t>
  </si>
  <si>
    <t>Reklamacja nie będzie uwzględniana w przypadku, gdy ramka została już zamontowana..</t>
  </si>
  <si>
    <t>„W zielonych komórkach wpisz odległość wiercenia uchwytu od zewnętrznej krawędzi ramki.
Jeśli chcesz przewiercić uchwyt w środku ościeżnicy i na środku profilu, w zielonych polach wpisz „x”.</t>
  </si>
  <si>
    <t>Ważne informacje:</t>
  </si>
  <si>
    <t>Upozornenie:</t>
  </si>
  <si>
    <t>Upozornění:</t>
  </si>
  <si>
    <t>Értesítés:</t>
  </si>
  <si>
    <t>Warning:</t>
  </si>
  <si>
    <t>Standardowy czas realizacji zamówienia wynosi maksymalnie trzy tygodnie. Aby uzyskać dokładniejsze informacje na temat terminu dostawy, prosimy o kontakt z pracownikami Biura Obsługi Klienta tel. 32 790 85 82.</t>
  </si>
  <si>
    <t>Do ramek ponadgabarytowych (ponad rozmiar 1200 x 800 mm) może być doliczana opłata za specjalne zapakowanie i transport (dodatkowe informacje w Biurze Obsługi Klienta tel. 32 790 85 82)</t>
  </si>
  <si>
    <t>↓↓↓</t>
  </si>
  <si>
    <t>wpisz adres dostawy poniżej</t>
  </si>
  <si>
    <t>Ram_1</t>
  </si>
  <si>
    <t>Ram_2</t>
  </si>
  <si>
    <t>Ram_3</t>
  </si>
  <si>
    <t>Koszt transportu musi zostać zweryfikowany</t>
  </si>
  <si>
    <t>BRW brown - maximum profile length 2500 mm</t>
  </si>
  <si>
    <t>Cena kování</t>
  </si>
  <si>
    <t>Cena kovania</t>
  </si>
  <si>
    <t>Szerelvények ára</t>
  </si>
  <si>
    <t>Dostawa:</t>
  </si>
  <si>
    <t>zl.</t>
  </si>
  <si>
    <t>Dostawa</t>
  </si>
  <si>
    <t>Adres</t>
  </si>
  <si>
    <t>MASTER SOFT</t>
  </si>
  <si>
    <t>Satinato hnědé / Decormat Braz</t>
  </si>
  <si>
    <t>Satinato grafit / Decormat grafit</t>
  </si>
  <si>
    <t>VISIOSUN vertikálně</t>
  </si>
  <si>
    <t>VISIOSUN satén vertikálně</t>
  </si>
  <si>
    <t>Master  Ligne vertikálne</t>
  </si>
  <si>
    <t>Moru hnedá horizontálne</t>
  </si>
  <si>
    <t>Moru grafit horizontálne</t>
  </si>
  <si>
    <t xml:space="preserve">Satinato brązowe/Decormat Braz </t>
  </si>
  <si>
    <t xml:space="preserve">Satinato grafit  Decormat grafit </t>
  </si>
  <si>
    <t xml:space="preserve">VISIOSUN satyna pionowo </t>
  </si>
  <si>
    <t xml:space="preserve">VISIOSUN satyna poziomo </t>
  </si>
  <si>
    <t>Moru grafit függőlegesen</t>
  </si>
  <si>
    <t xml:space="preserve">Moru graphite vertical </t>
  </si>
  <si>
    <t>Moru brown horizontal</t>
  </si>
  <si>
    <t>Moru graphite horizontal</t>
  </si>
  <si>
    <t xml:space="preserve">Jedno vedení 3m </t>
  </si>
  <si>
    <t>Překrytí</t>
  </si>
  <si>
    <t>max wymiar ramki</t>
  </si>
  <si>
    <t>Na palecie</t>
  </si>
  <si>
    <t>Ramki w elementach, same profile (bez szkła):</t>
  </si>
  <si>
    <t>profile o max długości</t>
  </si>
  <si>
    <t>Koszty transportu &gt;</t>
  </si>
  <si>
    <t>Ramki zmontowane ze szkłem / szkło :</t>
  </si>
  <si>
    <t>MASTER FLEX</t>
  </si>
  <si>
    <t>VISIOSUN horizont</t>
  </si>
  <si>
    <t>Master  Ligne horizont</t>
  </si>
  <si>
    <t>FLUTES horizont</t>
  </si>
  <si>
    <t>Master  Ligne vertikálně</t>
  </si>
  <si>
    <t>FLUTES vertikálně</t>
  </si>
  <si>
    <t>Moru hnědá vertikálně</t>
  </si>
  <si>
    <t>Moru grafit vertikálně</t>
  </si>
  <si>
    <t>Moru hnědá hozintálně</t>
  </si>
  <si>
    <t>Moru grafit horizontálně</t>
  </si>
  <si>
    <t>Optiwhite</t>
  </si>
  <si>
    <t>cena</t>
  </si>
  <si>
    <t>Masterscreen - max rozměr 2160x1650 mm</t>
  </si>
  <si>
    <t>Masterscreen - max rozmer 2160 x 1650 mm</t>
  </si>
  <si>
    <t>Masterscreen - maksymalne wymiary 2160 x 1650 mm</t>
  </si>
  <si>
    <t>Masterscreen - maximális mérete 2160 x 1650 mm</t>
  </si>
  <si>
    <t>Masterscreen - maximum possible size 2160 x 1650 mm</t>
  </si>
  <si>
    <t>Krizet - max rozměr 2130x1650 mm</t>
  </si>
  <si>
    <t>Krizet - max rozmer 2130x1650 mm</t>
  </si>
  <si>
    <t>Krizet - maksymalne wymiary 2130 x 1650 mm</t>
  </si>
  <si>
    <t>Krizet - maximális mérete 2130 x 1650 mm</t>
  </si>
  <si>
    <t>Krizet  - maximum possible size 2130 x 1650 mm</t>
  </si>
  <si>
    <t>Stopsol bronz - max rozměr 2250x1605 mm</t>
  </si>
  <si>
    <t>Stopsol bronz  - max rozmer 2250 x 1605 mm</t>
  </si>
  <si>
    <t>Stopsol brąz - maksymalne wymiary 2250 x 1605 mm</t>
  </si>
  <si>
    <t>Stopsol bronz - maximális mérete 2250 x 1605 mm</t>
  </si>
  <si>
    <t>Stopsol bronze  - maximum possible size 2250 x 1605 mm</t>
  </si>
  <si>
    <t>vyberte ze seznamu</t>
  </si>
  <si>
    <t>vyberte zo zoznamu</t>
  </si>
  <si>
    <t>wybierz z listy</t>
  </si>
  <si>
    <t>válassza ki a listából</t>
  </si>
  <si>
    <t>select from list</t>
  </si>
  <si>
    <t>FLUTES vertikálne</t>
  </si>
  <si>
    <t>VISIOSUN vertikálne</t>
  </si>
  <si>
    <t>Moru hnedá vertikálne</t>
  </si>
  <si>
    <t>Moru grafit vertikálne</t>
  </si>
  <si>
    <t>Antisol brąz</t>
  </si>
  <si>
    <t>VISIOSUN poziomo</t>
  </si>
  <si>
    <t>Master  Ligne poziomo</t>
  </si>
  <si>
    <t>FLUTES poziomo</t>
  </si>
  <si>
    <t>Master  Ligne pionowo</t>
  </si>
  <si>
    <t>FLUTES pionowo</t>
  </si>
  <si>
    <t>VISIOSUN pionowo</t>
  </si>
  <si>
    <t>Moru brąz pionowo</t>
  </si>
  <si>
    <t>Moru grafit pionowo</t>
  </si>
  <si>
    <t>Moru brąz poziomo</t>
  </si>
  <si>
    <t>Moru grafit poziomo</t>
  </si>
  <si>
    <t>VISIOSUN vízszintesen</t>
  </si>
  <si>
    <t>Master  Ligne vízszintesen</t>
  </si>
  <si>
    <t>FLUTES vízszintesen</t>
  </si>
  <si>
    <t>Master  Ligne függőlegesen</t>
  </si>
  <si>
    <t>FLUTES függőlegesen</t>
  </si>
  <si>
    <t>VISIOSUN függőlegesen</t>
  </si>
  <si>
    <t>Moru barna függőlegesen</t>
  </si>
  <si>
    <t>Moru barna vízszintesen</t>
  </si>
  <si>
    <t>Moru grafit vízszintesen</t>
  </si>
  <si>
    <t>Transparent harded (delivery 3 weeks)</t>
  </si>
  <si>
    <t>Lacomatt</t>
  </si>
  <si>
    <t>Mirror black</t>
  </si>
  <si>
    <t>Master  Ligne horizontal</t>
  </si>
  <si>
    <t>Master  Ligne vertical</t>
  </si>
  <si>
    <t>FLUTES vertical</t>
  </si>
  <si>
    <t>VISIOSUN vertical</t>
  </si>
  <si>
    <t>Moru brown vertical</t>
  </si>
  <si>
    <t>Moru graphite vertical</t>
  </si>
  <si>
    <t>Matelac mirror silver.</t>
  </si>
  <si>
    <t>VISIOSUN satén vertikálne</t>
  </si>
  <si>
    <t>VISIOSUN szatén függőlegesen</t>
  </si>
  <si>
    <t>VISIOSUN sateen vertical</t>
  </si>
  <si>
    <t>VISIOSUN satén horizont</t>
  </si>
  <si>
    <t>VISIOSUN szatén vízszintesen</t>
  </si>
  <si>
    <t>VISIOSUN sateen horizont</t>
  </si>
  <si>
    <t>;</t>
  </si>
  <si>
    <t>Satinato hnedé / Decormat Braz</t>
  </si>
  <si>
    <t>Satinato grafit  / Decormat grafit</t>
  </si>
  <si>
    <t>Satinato barna / Decormat Braz</t>
  </si>
  <si>
    <t>Satinato brown / Decormat Braz</t>
  </si>
  <si>
    <t>Satinato graphite  / Decormat grafit</t>
  </si>
  <si>
    <t>_Úzký_Aventos_HF_TOP</t>
  </si>
  <si>
    <t>_široký_Aventos_HF_TOP</t>
  </si>
  <si>
    <t>_Úzký_Aventos_HK_XS</t>
  </si>
  <si>
    <t>_široký_Aventos_HK_XS</t>
  </si>
  <si>
    <t>_Úzký_FREElight</t>
  </si>
  <si>
    <t>_široký_FREElight</t>
  </si>
  <si>
    <t>_Úzký_FREEfold</t>
  </si>
  <si>
    <t>_široký_FREEfold</t>
  </si>
  <si>
    <t>_Úzký_Maxi</t>
  </si>
  <si>
    <t>_široký_Maxi</t>
  </si>
  <si>
    <t>_Úzký_Duo_Forte</t>
  </si>
  <si>
    <t>_široký_Duo_Forte</t>
  </si>
  <si>
    <t>_Úzký_Duo</t>
  </si>
  <si>
    <t>_široký_Duo</t>
  </si>
  <si>
    <t>_Úzký_K12</t>
  </si>
  <si>
    <t>_široký_K12</t>
  </si>
  <si>
    <t>_Úzký_spodní_K12</t>
  </si>
  <si>
    <t>_široký_spodní_K12</t>
  </si>
  <si>
    <t>_Úzký_Kraby</t>
  </si>
  <si>
    <t>_široký_Kraby</t>
  </si>
  <si>
    <t>_Úzký_spodní_Kraby</t>
  </si>
  <si>
    <t>_široký_spodní_Kraby</t>
  </si>
  <si>
    <t>_Úzký_Kiaro</t>
  </si>
  <si>
    <t>_široký_Kiaro</t>
  </si>
  <si>
    <t>_Úzký_Link</t>
  </si>
  <si>
    <t>_široký_Link</t>
  </si>
  <si>
    <t>_Úzký_Stronglift_horní</t>
  </si>
  <si>
    <t>_široký_Stronglift_horní</t>
  </si>
  <si>
    <t>_Úzký_Stronglift_spodní</t>
  </si>
  <si>
    <t>_široký_Stronglift_spodní</t>
  </si>
  <si>
    <t>_Úzký_LiftMini</t>
  </si>
  <si>
    <t>_široký_LiftMini</t>
  </si>
  <si>
    <t>_1</t>
  </si>
  <si>
    <t>_2</t>
  </si>
  <si>
    <t>_3</t>
  </si>
  <si>
    <t>I understand and accept the conditions and recomendations above.</t>
  </si>
  <si>
    <t>Francouština</t>
  </si>
  <si>
    <t>BRW (elox.) - longueur maximale recommandée du profil 2500 mm</t>
  </si>
  <si>
    <t>BRW antracite RAL 7021 - longueur maximale recommandée du profil 2500 mm</t>
  </si>
  <si>
    <t>BRW blanc mat RAL 9003 - longueur maximale recommandée du profil 2500 mm</t>
  </si>
  <si>
    <t>BRW blanc brillant RAL 9003 - longueur maximale recommandée du profil 2500 mm</t>
  </si>
  <si>
    <t>BRW marron - longueur maximale recommandée du profil 2500 mm</t>
  </si>
  <si>
    <t>BRW brossé - longueur maximale recommandée du profil 2500 mm</t>
  </si>
  <si>
    <t>BRW noir mat - longueur maximale recommandée du profil 2500 mm</t>
  </si>
  <si>
    <t>BRW doré - longueur maximale recommandée du profil 2500 mm</t>
  </si>
  <si>
    <t>BRW noir brossé - longueur maximale recommandée du profil 2500 mm</t>
  </si>
  <si>
    <t>Corleone (elox.) - longueur maximale recommandée du profil 1500 mm</t>
  </si>
  <si>
    <t>Corleone noir mat - longueur maximale recommandée du profil 1500 mm</t>
  </si>
  <si>
    <t>Imola (elox.) - longueur maximale recommandée du profil 2500 mm</t>
  </si>
  <si>
    <t>Imola noir mat - longueur maximale recommandée du profil 2500 mm</t>
  </si>
  <si>
    <t>Imola blanc mat RAL 9003 - longueur maximale recommandée du profil 2500 mm</t>
  </si>
  <si>
    <t>Modena (elox.) - longueur maximale recommandée du profil 2500 mm</t>
  </si>
  <si>
    <t>Modena noir mat - longueur maximale recommandée du profil 2500 mm</t>
  </si>
  <si>
    <t>Verona doré - longueur maximale recommandée du profil 2150 mm</t>
  </si>
  <si>
    <t>Modena noir brossé - longueur maximale recommandée du profil 2500 mm</t>
  </si>
  <si>
    <t>Modena inox foncé brossé (inox lija) - longueur maximale recommandée du profil 2500 mm</t>
  </si>
  <si>
    <t>Palio (elox.) - longueur maximale recommandée du profil 2500 mm</t>
  </si>
  <si>
    <t>Palio noir mat - longueur maximale recommandée du profil 2500 mm</t>
  </si>
  <si>
    <t>Pisa (elox.) - longueur maximale recommandée du profil 2500 mm</t>
  </si>
  <si>
    <t>Pisa noir mat - longueur maximale recommandée du profil 2500 mm</t>
  </si>
  <si>
    <t>Vivaro doré - longueur maximale recommandée du profil 2150 mm</t>
  </si>
  <si>
    <t>Siena (elox.) - longueur maximale recommandée du profil 2500 mm</t>
  </si>
  <si>
    <t>Siena noir mat - longueur maximale recommandée du profil 2500 mm</t>
  </si>
  <si>
    <t>Verona (elox.) - longueur maximale recommandée du profil 2500 mm</t>
  </si>
  <si>
    <t>Verona aluminium brossé - longueur maximale recommandée du profil 2500 mm</t>
  </si>
  <si>
    <t>Verona noir brillant - longueur maximale recommandée du profil 2500 mm</t>
  </si>
  <si>
    <t>Verona noir mat - longueur maximale recommandée du profil 2500 mm</t>
  </si>
  <si>
    <t>Verona marron - longueur maximale recommandée du profil 2500 mm</t>
  </si>
  <si>
    <t>Verona champagne - longueur maximale recommandée du profil 2500 mm</t>
  </si>
  <si>
    <t>Rocca noir mat - longueur maximale recommandée du profil 2150 mm</t>
  </si>
  <si>
    <t>Vivaro (elox.) - longueur maximale recommandée du profil 2500 mm</t>
  </si>
  <si>
    <t>Vivaro noir mat - longueur maximale recommandée du profil 2500 mm</t>
  </si>
  <si>
    <t>Imola doré - longueur maximale recommandée du profil 2150 mm</t>
  </si>
  <si>
    <t>Vivaro inox foncé brossé (inox lija) - longueur maximale recommandée du profil 2500 mm</t>
  </si>
  <si>
    <t>Vivaro blanc mat RAL 9003 - longueur maximale recommandée du profil 2500 mm</t>
  </si>
  <si>
    <t>Vivaro blanc brillant RAL 9003 - longueur maximale recommandée du profil 2500 mm</t>
  </si>
  <si>
    <t>Varna (elox.) - longueur maximale recommandée du profil 2500 mm</t>
  </si>
  <si>
    <t>Rocca (elox.) - longueur maximale recommandée du profil 2150 mm</t>
  </si>
  <si>
    <t>Pisa blanc mat RAL 9003 - longueur maximale recommandée du profil 2500 mm</t>
  </si>
  <si>
    <t>Pisa blanc brillant RAL 9003 - longueur maximale recommandée du profil 2500 mm</t>
  </si>
  <si>
    <t>Varna noir - longueur maximale recommandée du profil 1200 mm</t>
  </si>
  <si>
    <t>BRW doré brossé - longueur maximale recommandée du profil 2500 mm</t>
  </si>
  <si>
    <t>Verona doré brossé - longueur maximale recommandée du profil 2150 mm</t>
  </si>
  <si>
    <t>Vivaro doré brossé - longueur maximale recommandée du profil 2150 mm</t>
  </si>
  <si>
    <t>Pisa doré - longueur maximale recommandée du profil 2150 mm</t>
  </si>
  <si>
    <t>ASTI noir mat - longueur maximale recommandée du profil 2150 mm</t>
  </si>
  <si>
    <t>ASTI antracite RAL 7021 mat - longueur maximale recommandée du profil 2500 mm</t>
  </si>
  <si>
    <t>BRW champagne - longueur maximale recommandée du profil 2500 mm</t>
  </si>
  <si>
    <t>BRW champagne light - longueur maximale recommandée du profil 2500 mm</t>
  </si>
  <si>
    <t>ROMA noir mat - longueur maximale recommandée du profil 2696 mm</t>
  </si>
  <si>
    <t>ROMA champagne mat - longueur maximale recommandée du profil 2696 mm</t>
  </si>
  <si>
    <t>ROMA GRIP noir mat - longueur maximale recommandée du profil 2696 mm</t>
  </si>
  <si>
    <t>ROMA GRIP champagne mat - longueur maximale recommandée du profil 2696 mm</t>
  </si>
  <si>
    <t>Siena elox (à gauche et à droite) + Varna elox (en haut et en bas)</t>
  </si>
  <si>
    <t>Siena noir (à gauche et à droite) + Varna noir (en haut et en bas)</t>
  </si>
  <si>
    <t>Palio elox (à gauche et à droite) + Varna elox (en haut et en bas)</t>
  </si>
  <si>
    <t>Rocca elox (à gauche et à droite) + Varna elox (en haut et en bas)</t>
  </si>
  <si>
    <t>Rocca noir (à gauche et à droite) + Varna noir (en haut et en bas)</t>
  </si>
  <si>
    <t>Palio noir (à gauche et à droite) + Varna noir (en haut et en bas)</t>
  </si>
  <si>
    <t>Brillant</t>
  </si>
  <si>
    <t>Sans modification</t>
  </si>
  <si>
    <t>Trempé</t>
  </si>
  <si>
    <t>Film</t>
  </si>
  <si>
    <t>Clair trempé (livraison sous 3 semaines)</t>
  </si>
  <si>
    <t>Stopsol bronze - dimension maximale 2250 x 1605 mm</t>
  </si>
  <si>
    <t>Miroir graphite - dimension maximale 2550 x 1605 mm</t>
  </si>
  <si>
    <t>Krizet - dimension maximale 2130 x 1650 mm</t>
  </si>
  <si>
    <t>Lacobel RAL 9003 - dimension maximale 2550 x 1605 mm</t>
  </si>
  <si>
    <t>Clair</t>
  </si>
  <si>
    <t>Satinato marron / Decormat Braz</t>
  </si>
  <si>
    <t>Satinato graphite / Decormat graphite</t>
  </si>
  <si>
    <t>Masterscreen - dimension maximale 2160 x 1650 mm</t>
  </si>
  <si>
    <t>Miroir</t>
  </si>
  <si>
    <t>Miroir marron</t>
  </si>
  <si>
    <t>VISIOSUN horizontal</t>
  </si>
  <si>
    <t>Master Ligne horizontal</t>
  </si>
  <si>
    <t>FLUTES horizontal</t>
  </si>
  <si>
    <t>Master Ligne vertical</t>
  </si>
  <si>
    <t>VISIOSUN satinette vertical</t>
  </si>
  <si>
    <t>VISIOSUN satinette horizontal</t>
  </si>
  <si>
    <t>Moru marron vertical</t>
  </si>
  <si>
    <t>Moru marron horizontal</t>
  </si>
  <si>
    <t>Matelac miroir bronze</t>
  </si>
  <si>
    <t>Matelac miroir graphite</t>
  </si>
  <si>
    <t>Matelac miroir argenté</t>
  </si>
  <si>
    <t>Grille alu doré</t>
  </si>
  <si>
    <t>Grille acier noir mat RAL 9005</t>
  </si>
  <si>
    <t>Grille acier blanche</t>
  </si>
  <si>
    <t>Grille eloxée</t>
  </si>
  <si>
    <t>Cadre</t>
  </si>
  <si>
    <t>Le perçage standard pour la coupe de la charnière est à 3 mm du bord.</t>
  </si>
  <si>
    <t>Les prix indiqués sont hors TVA et ne comprennent pas le prix des quincailleries demandées !</t>
  </si>
  <si>
    <t>Type de profil</t>
  </si>
  <si>
    <t>Type de traitement du verre</t>
  </si>
  <si>
    <t>Nombre d'unités</t>
  </si>
  <si>
    <t>Largeur</t>
  </si>
  <si>
    <t>Hauteur</t>
  </si>
  <si>
    <t>Remarques</t>
  </si>
  <si>
    <t>Prix total des cadres</t>
  </si>
  <si>
    <t>Prix total des quincailleries</t>
  </si>
  <si>
    <t>Prix de la commande complète</t>
  </si>
  <si>
    <t>Charnières</t>
  </si>
  <si>
    <t>Aventos autres</t>
  </si>
  <si>
    <t>STRONG avec amortissement</t>
  </si>
  <si>
    <t>Charnières avec piston à levage</t>
  </si>
  <si>
    <t>Porte supérieure</t>
  </si>
  <si>
    <t>Porte inférieure</t>
  </si>
  <si>
    <t>Clip en applique</t>
  </si>
  <si>
    <t>Clip semi-applique</t>
  </si>
  <si>
    <t>Clip rentrant</t>
  </si>
  <si>
    <t>Angle 45°</t>
  </si>
  <si>
    <t>En applique</t>
  </si>
  <si>
    <t>Semi-applique</t>
  </si>
  <si>
    <t>Rentrant</t>
  </si>
  <si>
    <t>En applique avec ressort inversé</t>
  </si>
  <si>
    <t>Retrant avec ressort inversé</t>
  </si>
  <si>
    <t>Clip à vis H2</t>
  </si>
  <si>
    <t>Clip à vis H4</t>
  </si>
  <si>
    <t>Clip à eurovis H4</t>
  </si>
  <si>
    <t>Slide on à vis H2</t>
  </si>
  <si>
    <t>Slide on à vis H4</t>
  </si>
  <si>
    <t>Slide on à eurovis H2</t>
  </si>
  <si>
    <t>Slide on à eurovis H4</t>
  </si>
  <si>
    <t>En applique pour Blumotion</t>
  </si>
  <si>
    <t>Semi-applique avec Blumotion intégré</t>
  </si>
  <si>
    <t>Rentrant avec Blumotion intégré</t>
  </si>
  <si>
    <t>Clip 45° en applique</t>
  </si>
  <si>
    <t>Clip 45° semi-applique</t>
  </si>
  <si>
    <t>En applique sans ressort</t>
  </si>
  <si>
    <t>En applique sans ressort (TIP-ON)</t>
  </si>
  <si>
    <t>Clip pour eurovis</t>
  </si>
  <si>
    <t>Clip à vis</t>
  </si>
  <si>
    <t>Hauteur augmentée de 6 mm</t>
  </si>
  <si>
    <t>Clip 45°</t>
  </si>
  <si>
    <t>Clip pour eurovis H0</t>
  </si>
  <si>
    <t>Clip à vis H0</t>
  </si>
  <si>
    <t>Choix de la position du cadre</t>
  </si>
  <si>
    <t>Fabricant des charnières</t>
  </si>
  <si>
    <t>Type de charnières</t>
  </si>
  <si>
    <t>Type d'Aventos</t>
  </si>
  <si>
    <t>Type de embasse</t>
  </si>
  <si>
    <t>Nombre de charnières par cadre</t>
  </si>
  <si>
    <t>Pistons de levage</t>
  </si>
  <si>
    <t>Ajouter la quincaillerie indiquée</t>
  </si>
  <si>
    <t>Emplacement</t>
  </si>
  <si>
    <t>En haut</t>
  </si>
  <si>
    <t>En bas</t>
  </si>
  <si>
    <t>À droite</t>
  </si>
  <si>
    <t>À gauche</t>
  </si>
  <si>
    <t>2 Pièces (des deux côtés)</t>
  </si>
  <si>
    <t>Exécution de la deuxième porte</t>
  </si>
  <si>
    <t>Cadre ALU étroit</t>
  </si>
  <si>
    <t>Cadre ALU large</t>
  </si>
  <si>
    <t>MDF d'épaisseur 16 mm</t>
  </si>
  <si>
    <t>MDF d'épaisseur 18 mm</t>
  </si>
  <si>
    <t>DTDL d'épaisseur 18 mm</t>
  </si>
  <si>
    <t>Emplacement des charnières</t>
  </si>
  <si>
    <t>Sélectionnez dans la liste</t>
  </si>
  <si>
    <t>Distance de la charnière du bord</t>
  </si>
  <si>
    <t>Complétez uniquement si le perçage ne sera pas symétrique au centre</t>
  </si>
  <si>
    <t>Formulaire de commande pour cadres ALU</t>
  </si>
  <si>
    <t>Lors du remplissage du formulaire, procédez toujours de haut en bas. Si vous effectuez une modification rétroactive, vérifiez que les éléments suivants sont corrects.</t>
  </si>
  <si>
    <t>Prix total</t>
  </si>
  <si>
    <t>Client</t>
  </si>
  <si>
    <t>Téléphone de contact</t>
  </si>
  <si>
    <t>E-mail de contact</t>
  </si>
  <si>
    <t>Adresse de l'entreprise</t>
  </si>
  <si>
    <t>Numéro de TVA</t>
  </si>
  <si>
    <t>Remise sur les cadres</t>
  </si>
  <si>
    <t>Remise sur les quincailleries</t>
  </si>
  <si>
    <t>Numéro de commande</t>
  </si>
  <si>
    <t>Les aperçus de couleurs pour chaque nom RAL et REF sont uniquement indicatifs !!!!</t>
  </si>
  <si>
    <t>Type de quincaillerie</t>
  </si>
  <si>
    <t>STRONG sans amortissement</t>
  </si>
  <si>
    <t>Cadres coulissants</t>
  </si>
  <si>
    <t>La commande est généralement livrée avec la quincaillerie et les profils de guidage inclus</t>
  </si>
  <si>
    <t>Dimensions intérieures de l'armoire (mm)</t>
  </si>
  <si>
    <t>Nombre de portes</t>
  </si>
  <si>
    <t>Ici sont indiqués les dépassements standard des portes</t>
  </si>
  <si>
    <t>Couleur</t>
  </si>
  <si>
    <t>Commande ALU</t>
  </si>
  <si>
    <t>Couleurs LACOBEL A MATELAC</t>
  </si>
  <si>
    <t>Type de bras</t>
  </si>
  <si>
    <t>Poids de la poignée (g)</t>
  </si>
  <si>
    <t>Types de profils</t>
  </si>
  <si>
    <t>Inférieur</t>
  </si>
  <si>
    <t>Distance minimale de placement des charnières</t>
  </si>
  <si>
    <t>En applique avec Blumotion intégré</t>
  </si>
  <si>
    <t>Le perçage standard pour les charnières de tous les types de quincaillerie Aventos HF est à 100 mm du bord.</t>
  </si>
  <si>
    <t>Le diamètre standard des trous pour les poignées est de 7 mm dans le verre et de 5 mm dans le cadre (les rondelles de distance sont incluses).</t>
  </si>
  <si>
    <t>Si votre demande diffère de ce qui est indiqué ci-dessus, veuillez l'indiquer dans les notes.</t>
  </si>
  <si>
    <t>Pour certains types de poignées, les filets pour vis sont enfoncés, il est donc nécessaire d'utiliser des rondelles de distance appropriées.</t>
  </si>
  <si>
    <t>Les réclamations liées aux dommages ne peuvent pas être faites si le cadre a déjà été monté.</t>
  </si>
  <si>
    <t>Pour fixer les quincailleries dans le cadre ALU, il est nécessaire d'utiliser des vis spéciales à cet effet (par exemple, code 13681).</t>
  </si>
  <si>
    <t>Utilisez toujours la version la plus récente du formulaire, qui est disponible sur notre site.</t>
  </si>
  <si>
    <t>L'écart entre les séparateurs doit être d'au moins 100 mm.</t>
  </si>
  <si>
    <t>Une commande peut contenir plusieurs types (tailles) de cadres à la fois, et une telle commande est considérée comme valide. Il est donc recommandé de vérifier le formulaire avant l'envoi pour s'assurer qu'il ne contient que les cadres que vous avez demandés.</t>
  </si>
  <si>
    <t>Le formulaire contient plusieurs feuilles, entre lesquelles vous pouvez basculer en bas.</t>
  </si>
  <si>
    <t>Veuillez remplir vos coordonnées, puis cliquez sur la case requise ci-dessous.</t>
  </si>
  <si>
    <t>En remplissant vos coordonnées, vous exprimez également votre consentement pour avoir pris connaissance des informations ci-dessous !</t>
  </si>
  <si>
    <t>Cadres standard</t>
  </si>
  <si>
    <t>Dessins des profils et quincaillerie</t>
  </si>
  <si>
    <t>La taille maximale recommandée du cadre est de 2500 x 1250 mm (pour les cadres avec verre collé, par exemple, Corleone 1500 x 600 mm)</t>
  </si>
  <si>
    <t>Sur demande du client, il est possible de fournir des cadres avec une longueur de profil maximale de 3 m. La taille maximale du verre dans ce cas est de 2500 x 1300 mm.</t>
  </si>
  <si>
    <t>Tous les verres Lacobel et Matelac peuvent être recouverts de film de sécurité (veuillez l'indiquer dans les remarques si nécessaire)</t>
  </si>
  <si>
    <t>Envoyez la commande remplie à l'adresse</t>
  </si>
  <si>
    <t>Dessins des profils</t>
  </si>
  <si>
    <t>Kit de quincaillerie pour cadre étroit H27AL (88630)</t>
  </si>
  <si>
    <t>Kit de quincaillerie pour cadre large H37AL (88631)</t>
  </si>
  <si>
    <t>La hauteur du cadre est normalement de 6 mm inférieure à la hauteur intérieure de l'armoire indiquée.</t>
  </si>
  <si>
    <t>Les cadres sont préparés pour les systèmes coulissants H27AL (charge maximale 25 kg par cadre) et H37AL (charge maximale 35 kg par cadre).</t>
  </si>
  <si>
    <t>Guide supérieur longueur 2 m (87313)</t>
  </si>
  <si>
    <t>Guide inférieur longueur 2 m (87315)</t>
  </si>
  <si>
    <t>Guide supérieur longueur 3 m (87312)</t>
  </si>
  <si>
    <t>Guide inférieur longueur 3 m (87314)</t>
  </si>
  <si>
    <t>Autre demande (pièces)</t>
  </si>
  <si>
    <t>Quantité (pièces)</t>
  </si>
  <si>
    <t>Pour les cadres surdimensionnés (au-delà de la taille 1200 x 800 mm), des frais supplémentaires pour l'emballage spécial et le transport peuvent être facturés (plus d'informations auprès des employés du service client).</t>
  </si>
  <si>
    <t>Les dimensions appropriées du cadre pour chaque type de quincaillerie doivent être vérifiées avant la saisie de la commande (Aventplan, catalogue, ...), le formulaire n’a pas de limites définies.</t>
  </si>
  <si>
    <t>L'échantillon de verre peut être commandé sous les codes Lacebel VZK003P et Matelac VZK004P.</t>
  </si>
  <si>
    <t>Le prix des cadres coulissants est le même que celui des cadres standard.</t>
  </si>
  <si>
    <t>Si la poignée est fixée à travers le verre, il est toujours nécessaire d'utiliser une rondelle de distance (par exemple 144516, 191970, C0315).</t>
  </si>
  <si>
    <t>Les dessins des portes sont montrés vues de face.</t>
  </si>
  <si>
    <t>Le cadre surdimensionné peut entraîner des frais de transport plus élevés.</t>
  </si>
  <si>
    <t>Emplacement du bras</t>
  </si>
  <si>
    <t>La taille maximale du cadre est de 2500x1300 mm</t>
  </si>
  <si>
    <t>La distance minimale de la charnière du bord du cadre est de 70 mm</t>
  </si>
  <si>
    <t>La distance minimale de la charnière du bord du cadre est de 80 mm</t>
  </si>
  <si>
    <t>Clip entrant</t>
  </si>
  <si>
    <t>StrongHinges Clip à eurovis H0</t>
  </si>
  <si>
    <t>StrongHinges Clip à vis H0</t>
  </si>
  <si>
    <t>StrongHinges Clip à eurovis H2</t>
  </si>
  <si>
    <t>StongHinges Clip à vis H2</t>
  </si>
  <si>
    <t>Clip à eurovis H0</t>
  </si>
  <si>
    <t>Clip à eurovis H2</t>
  </si>
  <si>
    <t>Sensys en applique avec amortissement</t>
  </si>
  <si>
    <t>Sensys semi-applique avec amortissement</t>
  </si>
  <si>
    <t>Sensys rentrant avec amortissement</t>
  </si>
  <si>
    <t>Sensys montage à vis avec amortissement</t>
  </si>
  <si>
    <t>Sensys en applique sans amortissement</t>
  </si>
  <si>
    <t>Intermat en applique</t>
  </si>
  <si>
    <t>Intermat en applique 125°</t>
  </si>
  <si>
    <t>Intermat rentrant</t>
  </si>
  <si>
    <t>Intermat montage à vis</t>
  </si>
  <si>
    <t>Sensys rentrant sans amortissement</t>
  </si>
  <si>
    <t>Rondelle à vis</t>
  </si>
  <si>
    <t>Rondelle à eurovis</t>
  </si>
  <si>
    <t>Rondelle pour chevilles d'expansion</t>
  </si>
  <si>
    <t>Clip en applique avec amortissement 110°</t>
  </si>
  <si>
    <t>Clip semi-applique avec amortissement 110°</t>
  </si>
  <si>
    <t>Clip rentrant avec amortissement 110°</t>
  </si>
  <si>
    <t>Clip en applique sans amortissement 110°</t>
  </si>
  <si>
    <t>Clip semi applique sans amortissement 110°</t>
  </si>
  <si>
    <t>Clip entrant sans amortissement 110°</t>
  </si>
  <si>
    <t>Clip en applique TIP-ON 110°</t>
  </si>
  <si>
    <t>Clip semi-applique TIP-ON 110°</t>
  </si>
  <si>
    <t>Clip rentrant TIP-ON 110°</t>
  </si>
  <si>
    <t>Clip en applique avec amortissement 95°</t>
  </si>
  <si>
    <t>Clip semi- applique avec amortissement 95°</t>
  </si>
  <si>
    <t>Clip rentrant avec amortissement 95°</t>
  </si>
  <si>
    <t>Clip en applique TIP-ON 95°</t>
  </si>
  <si>
    <t>Clip en applique TIP-ON 120°</t>
  </si>
  <si>
    <t>Clip à eurovis</t>
  </si>
  <si>
    <t>Élevé de 6 mm</t>
  </si>
  <si>
    <t>Clip en applique à enficher</t>
  </si>
  <si>
    <t>Clip semi-applique à enficher</t>
  </si>
  <si>
    <t>Clip rentrant à enficher</t>
  </si>
  <si>
    <t>STRONG 30N blanc Automatique</t>
  </si>
  <si>
    <t>STRONG 60N blanc Automatique</t>
  </si>
  <si>
    <t>STRONG 80N blanc Automatique</t>
  </si>
  <si>
    <t>STRONG 100N blanc Automatique</t>
  </si>
  <si>
    <t>STRONG 120N blanc Automatique</t>
  </si>
  <si>
    <t>STRONG 60N blanc Réglable</t>
  </si>
  <si>
    <t>STRONG 80N blanc Réglable</t>
  </si>
  <si>
    <t>STRONG 100N blanc Réglable</t>
  </si>
  <si>
    <t>STRONG 120N blanc Réglable</t>
  </si>
  <si>
    <t>STRONG 30N gris Automatique</t>
  </si>
  <si>
    <t>STRONG 60N gris Automatique</t>
  </si>
  <si>
    <t>STRONG 80N gris Automatique</t>
  </si>
  <si>
    <t>STRONG 100N gris Automatique</t>
  </si>
  <si>
    <t>STRONG 120N gris Automatique</t>
  </si>
  <si>
    <t>STRONG 60N gris Réglable</t>
  </si>
  <si>
    <t>STRONG 80N gris Réglable</t>
  </si>
  <si>
    <t>STRONG 100N gris Réglable</t>
  </si>
  <si>
    <t>STRONG 120N gris Réglable</t>
  </si>
  <si>
    <t>Dimension minimale du cadre : 140x140 mm</t>
  </si>
  <si>
    <t>Sensys appliquée P2O</t>
  </si>
  <si>
    <t>naložé avec clip amorti 110°, ONYX</t>
  </si>
  <si>
    <t>polonaložé avec clip amorti 110°, ONYX</t>
  </si>
  <si>
    <t>inséré avec clip amorti 110°, ONYX</t>
  </si>
  <si>
    <t>naložé 95°, Onyx</t>
  </si>
  <si>
    <t>StrongHinges S3 charnière clip vis avec excentrique H2</t>
  </si>
  <si>
    <t>Introduction</t>
  </si>
  <si>
    <t>La taille maximale du cadre Corleone est de 1500x600mm</t>
  </si>
  <si>
    <t>Combinaison de 2 profils</t>
  </si>
  <si>
    <t>Clôtures de séparation</t>
  </si>
  <si>
    <t>Marque de ferrures</t>
  </si>
  <si>
    <t>Variante de ferrures</t>
  </si>
  <si>
    <t>Montage</t>
  </si>
  <si>
    <t>Charnières pour basculant</t>
  </si>
  <si>
    <t>Espacement</t>
  </si>
  <si>
    <t>Espacement de la poignée (mm)</t>
  </si>
  <si>
    <t>Emplacement de la poignée</t>
  </si>
  <si>
    <t>Systeme rabattables</t>
  </si>
  <si>
    <t>semi-applique</t>
  </si>
  <si>
    <t>rentrant</t>
  </si>
  <si>
    <t>Oui</t>
  </si>
  <si>
    <t>Non</t>
  </si>
  <si>
    <t>Horizontalement (délai de livraison 4 semaines)</t>
  </si>
  <si>
    <t>Verticalement (délai de livraison 4 semaines)</t>
  </si>
  <si>
    <t>Horizontalement et verticalement (délai de livraison 4 semaines)</t>
  </si>
  <si>
    <t>Cadre composé de deux profils différents</t>
  </si>
  <si>
    <t>Type de film</t>
  </si>
  <si>
    <t>Blanc</t>
  </si>
  <si>
    <t>Noir</t>
  </si>
  <si>
    <t>Autre</t>
  </si>
  <si>
    <t>Résumé</t>
  </si>
  <si>
    <t xml:space="preserve">En cas d’utilisation avec verre, la dimension maximale recommandée est 1500 x 600 mm </t>
  </si>
  <si>
    <t>(du bas)</t>
  </si>
  <si>
    <t>(de gauche)</t>
  </si>
  <si>
    <t>(du haut)</t>
  </si>
  <si>
    <t>(de droite)</t>
  </si>
  <si>
    <t>275672 - automatique 30N gris</t>
  </si>
  <si>
    <t>275673 - automatique 60N gris</t>
  </si>
  <si>
    <t>275674 - automatique 80N gris</t>
  </si>
  <si>
    <t>275675 - automatique 100N gris</t>
  </si>
  <si>
    <t>275676 - automatique 120N gris</t>
  </si>
  <si>
    <t>248162 - automatique 30N blanc</t>
  </si>
  <si>
    <t>248163 - automatique 60N blanc</t>
  </si>
  <si>
    <t>248164 - automatique 80N blanc</t>
  </si>
  <si>
    <t>248165 - automatique 100N blanc</t>
  </si>
  <si>
    <t>248166 - automatique 120N blanc</t>
  </si>
  <si>
    <t>284250 - positionnable 60N gris</t>
  </si>
  <si>
    <t>284251 - positionnable 80N gris</t>
  </si>
  <si>
    <t>284252 - positionnable 100N gris</t>
  </si>
  <si>
    <t>284253 - positionnable 120N gris</t>
  </si>
  <si>
    <t>284254 - positionnable 60N blanc</t>
  </si>
  <si>
    <t>284255 - positionnable 80N blanc</t>
  </si>
  <si>
    <t>284256 - positionnable 100N blanc</t>
  </si>
  <si>
    <t>284257 - positionnable 120N blanc</t>
  </si>
  <si>
    <t xml:space="preserve">507355 - 22L3200 - hauteur du caisson = 300 – 339 mm  </t>
  </si>
  <si>
    <t xml:space="preserve">507356 - 22L3500 - hauteur du caisson = 340 – 389 mm  </t>
  </si>
  <si>
    <t xml:space="preserve">507357 - 22L3800 - hauteur du caisson = 390 – 540 mm  </t>
  </si>
  <si>
    <t xml:space="preserve">507358 - 22L3900 - hauteur du caisson = 480 – 580 mm  </t>
  </si>
  <si>
    <t xml:space="preserve">197612 - 21L3200.01 - hauteur du caisson = 300 – 349 mm  </t>
  </si>
  <si>
    <t xml:space="preserve">197613 - 21L3500.01 - hauteur du caisson = 350 – 399 mm  </t>
  </si>
  <si>
    <t xml:space="preserve">197614 - 21L3800.01 - hauteur du caisson = 400 – 550 mm  </t>
  </si>
  <si>
    <t xml:space="preserve">197615 - 21L3900.01 - hauteur du caisson = 450 – 580 mm  </t>
  </si>
  <si>
    <t>Film plastique</t>
  </si>
  <si>
    <t>transparence 67 %</t>
  </si>
  <si>
    <t>Rabais</t>
  </si>
  <si>
    <t xml:space="preserve">92584T - En applique avec ressort et amortisseur   - argenté  </t>
  </si>
  <si>
    <t>%</t>
  </si>
  <si>
    <t xml:space="preserve">118033 - En applique avec ressort et amortisseur   - argenté  </t>
  </si>
  <si>
    <t xml:space="preserve">12106 - En applique avec ressort sans amortisseur   - argenté  </t>
  </si>
  <si>
    <t>306329 - En applique avec ressort sans amortisseur   - onyx</t>
  </si>
  <si>
    <t xml:space="preserve">12109 - En applique tip-on sans ressort / amortisseur   - argenté  </t>
  </si>
  <si>
    <t>497120 - En applique tip-on sans ressort / amortisseur   - onyx</t>
  </si>
  <si>
    <t xml:space="preserve">118120 - semi-applique avec ressort et amortisseur   - argenté  </t>
  </si>
  <si>
    <t xml:space="preserve">12107 - semi-applique avec ressort sans amortisseur   - argenté  </t>
  </si>
  <si>
    <t xml:space="preserve">118121 - rentrant avec ressort et amortisseur   - argenté  </t>
  </si>
  <si>
    <t xml:space="preserve">12108 - rentrant avec ressort sans amortisseur   - argenté  </t>
  </si>
  <si>
    <t xml:space="preserve">300279 - En applique avec ressort et amortisseur   - argenté  </t>
  </si>
  <si>
    <t xml:space="preserve">344697 - En applique avec ressort et amortisseur   - noir  </t>
  </si>
  <si>
    <t xml:space="preserve">300282 - En applique avec ressort sans amortisseur   - argenté  </t>
  </si>
  <si>
    <t xml:space="preserve">300285 - En applique tip-on sans ressort / amortisseur   - argenté  </t>
  </si>
  <si>
    <t xml:space="preserve">300280 - semi-applique avec ressort et amortisseur   - argenté  </t>
  </si>
  <si>
    <t xml:space="preserve">300283 - semi-applique avec ressort sans amortisseur   - argenté  </t>
  </si>
  <si>
    <t xml:space="preserve">300286 - semi-applique tip-on sans ressort / amortisseur   - argenté  </t>
  </si>
  <si>
    <t xml:space="preserve">300281 - rentrant avec ressort et amortisseur   - argenté  </t>
  </si>
  <si>
    <t xml:space="preserve">300284 - rentrant avec ressort sans amortisseur   - argenté  </t>
  </si>
  <si>
    <t xml:space="preserve">300287 - rentrant tip-on sans ressort / amortisseur   - argenté  </t>
  </si>
  <si>
    <t xml:space="preserve">350863 - En applique avec ressort et amortisseur   - argenté  </t>
  </si>
  <si>
    <t xml:space="preserve">350864 - En applique tip-on sans ressort / amortisseur   - argenté  </t>
  </si>
  <si>
    <t xml:space="preserve">12047 - En applique avec ressort et amortisseur   - argenté  </t>
  </si>
  <si>
    <t xml:space="preserve">306317 - En applique avec ressort et amortisseur   - noir  </t>
  </si>
  <si>
    <t xml:space="preserve">12052 - En applique avec ressort sans amortisseur   - argenté  </t>
  </si>
  <si>
    <t xml:space="preserve">226668 - En applique tip-on sans ressort / amortisseur   - argenté  </t>
  </si>
  <si>
    <t>318173 - En applique tip-on sans ressort / amortisseur   - onyx</t>
  </si>
  <si>
    <t xml:space="preserve">12048 - semi-applique avec ressort et amortisseur   - argenté  </t>
  </si>
  <si>
    <t xml:space="preserve">306318 - semi-applique avec ressort et amortisseur   - noir  </t>
  </si>
  <si>
    <t xml:space="preserve">12053 - semi-applique avec ressort sans amortisseur   - argenté  </t>
  </si>
  <si>
    <t xml:space="preserve">226670 - semi-applique tip-on sans ressort / amortisseur   - argenté  </t>
  </si>
  <si>
    <t xml:space="preserve">12049 - rentrant avec ressort et amortisseur   - argenté  </t>
  </si>
  <si>
    <t xml:space="preserve">306319 - rentrant avec ressort et amortisseur   - noir  </t>
  </si>
  <si>
    <t xml:space="preserve">12059 - rentrant avec ressort sans amortisseur   - argenté  </t>
  </si>
  <si>
    <t xml:space="preserve">226671 - rentrant tip-on sans ressort / amortisseur   - argenté  </t>
  </si>
  <si>
    <t xml:space="preserve">104717 - En applique avec ressort et amortisseur   - argenté  </t>
  </si>
  <si>
    <t xml:space="preserve">344691 - En applique avec ressort et amortisseur   - noir  </t>
  </si>
  <si>
    <t xml:space="preserve">232346 - En applique avec ressort sans amortisseur   - argenté  </t>
  </si>
  <si>
    <t xml:space="preserve">245723 - En applique tip-on sans ressort / amortisseur   - argenté  </t>
  </si>
  <si>
    <t xml:space="preserve">344694 - En applique tip-on sans ressort / amortisseur   - noir  </t>
  </si>
  <si>
    <t xml:space="preserve">104718 - semi-applique avec ressort et amortisseur   - argenté  </t>
  </si>
  <si>
    <t xml:space="preserve">344692 - semi-applique avec ressort et amortisseur   - noir  </t>
  </si>
  <si>
    <t xml:space="preserve">232347 - semi-applique avec ressort sans amortisseur   - argenté  </t>
  </si>
  <si>
    <t xml:space="preserve">245724 - semi-applique tip-on sans ressort / amortisseur   - argenté  </t>
  </si>
  <si>
    <t xml:space="preserve">344695 - semi-applique tip-on sans ressort / amortisseur   - noir  </t>
  </si>
  <si>
    <t xml:space="preserve">104719 - rentrant avec ressort et amortisseur   - argenté  </t>
  </si>
  <si>
    <t xml:space="preserve">344693 - rentrant avec ressort et amortisseur   - noir  </t>
  </si>
  <si>
    <t xml:space="preserve">232348 - rentrant avec ressort sans amortisseur   - argenté  </t>
  </si>
  <si>
    <t xml:space="preserve">245725 - rentrant tip-on sans ressort / amortisseur   - argenté  </t>
  </si>
  <si>
    <t xml:space="preserve">344696 - rentrant tip-on sans ressort / amortisseur   - noir  </t>
  </si>
  <si>
    <t xml:space="preserve">92580T - En applique avec ressort et amortisseur   - argenté  </t>
  </si>
  <si>
    <t xml:space="preserve">198818 - En applique avec ressort sans amortisseur   - argenté  </t>
  </si>
  <si>
    <t xml:space="preserve">92581T - semi-applique avec ressort et amortisseur   - argenté  </t>
  </si>
  <si>
    <t xml:space="preserve">198819 - semi-applique avec ressort sans amortisseur   - argenté  </t>
  </si>
  <si>
    <t xml:space="preserve">92582T - rentrant avec ressort et amortisseur   - argenté  </t>
  </si>
  <si>
    <t xml:space="preserve">198820 - rentrant avec ressort sans amortisseur   - argenté  </t>
  </si>
  <si>
    <t xml:space="preserve">350827 - En applique avec ressort et amortisseur   - argenté  </t>
  </si>
  <si>
    <t xml:space="preserve">350834 - En applique avec ressort sans amortisseur   - argenté  </t>
  </si>
  <si>
    <t xml:space="preserve">350837 - En applique tip-on sans ressort / amortisseur   - argenté  </t>
  </si>
  <si>
    <t xml:space="preserve">350828 - semi-applique avec ressort et amortisseur   - argenté  </t>
  </si>
  <si>
    <t xml:space="preserve">350835 - semi-applique avec ressort sans amortisseur   - argenté  </t>
  </si>
  <si>
    <t xml:space="preserve">350838 - semi-applique tip-on sans ressort / amortisseur   - argenté  </t>
  </si>
  <si>
    <t xml:space="preserve">350829 - rentrant avec ressort et amortisseur   - argenté  </t>
  </si>
  <si>
    <t xml:space="preserve">350836 - rentrant avec ressort sans amortisseur   - argenté  </t>
  </si>
  <si>
    <t xml:space="preserve">350839 - rentrant tip-on sans ressort / amortisseur   - argenté  </t>
  </si>
  <si>
    <t>avec amortisseur</t>
  </si>
  <si>
    <t>charnière de corps</t>
  </si>
  <si>
    <t>inférieure</t>
  </si>
  <si>
    <t>Étroit</t>
  </si>
  <si>
    <t>Large</t>
  </si>
  <si>
    <t>_Úzký_StrongLift_haut</t>
  </si>
  <si>
    <t>_Široký_StrongLift_haut</t>
  </si>
  <si>
    <t>_Široký_inférieure_K12</t>
  </si>
  <si>
    <t>_Úzký_inférieure_K12</t>
  </si>
  <si>
    <t>_Úzký_inférieure_kraby</t>
  </si>
  <si>
    <t>_Široký_inférieure_kraby</t>
  </si>
  <si>
    <t>_Úzký_StrongLift_bas</t>
  </si>
  <si>
    <t>_Široký_StrongLift_bas</t>
  </si>
  <si>
    <t>inférieure_K12</t>
  </si>
  <si>
    <t>inférieure_kraby</t>
  </si>
  <si>
    <t>hettich inférieure 300282</t>
  </si>
  <si>
    <t>hettich amortisseur 300279</t>
  </si>
  <si>
    <t>hettich amortisseur 104717</t>
  </si>
  <si>
    <t>blum inférieure 12106</t>
  </si>
  <si>
    <t>hettich inférieure 232346</t>
  </si>
  <si>
    <t>strong inférieure 350863</t>
  </si>
  <si>
    <t>blum inférieure 12052</t>
  </si>
  <si>
    <t>blum amortisseur 12047</t>
  </si>
  <si>
    <t>strong inférieure 350834</t>
  </si>
  <si>
    <t>strong amortisseur 350863</t>
  </si>
  <si>
    <t>strong amortisseur 92584T</t>
  </si>
  <si>
    <t>strong amortisseur 350827</t>
  </si>
  <si>
    <t>StrongLift_haut</t>
  </si>
  <si>
    <t>StrongLift_bas</t>
  </si>
  <si>
    <t>bottom_K12</t>
  </si>
  <si>
    <t>_Úzký_StrongLift_upper</t>
  </si>
  <si>
    <t>_Široký_StrongLift_upper</t>
  </si>
  <si>
    <t>_Úzký_StrongLift_bottom</t>
  </si>
  <si>
    <t>_Široký_StrongLift_bottom</t>
  </si>
  <si>
    <t>_Úzký_bottom_kraby</t>
  </si>
  <si>
    <t>_Široký_bottom_kraby</t>
  </si>
  <si>
    <t>_Úzký_bottom_K12</t>
  </si>
  <si>
    <t>_Široký_bottom_K12</t>
  </si>
  <si>
    <t>StrongLift gorny</t>
  </si>
  <si>
    <t>StrongLift dolny</t>
  </si>
  <si>
    <t>supérieure</t>
  </si>
  <si>
    <t>dolny Kraby</t>
  </si>
  <si>
    <t>dolny K12</t>
  </si>
  <si>
    <t>dolný_K12</t>
  </si>
  <si>
    <t>dolný_kraby</t>
  </si>
  <si>
    <t>_Úzký_StrongLift_horný</t>
  </si>
  <si>
    <t>_Široký_StrongLift_horný</t>
  </si>
  <si>
    <t>_Úzký_StrongLift_spodný</t>
  </si>
  <si>
    <t>_Široký_StrongLift_spodný</t>
  </si>
  <si>
    <t>_Úzký_dolný_kraby</t>
  </si>
  <si>
    <t>_Široký_dolný_kraby</t>
  </si>
  <si>
    <t>_Úzký_dolný_K12</t>
  </si>
  <si>
    <t>_Široký_dolný_K12</t>
  </si>
  <si>
    <t>hettich spodný 300282</t>
  </si>
  <si>
    <t>blum spodný 12106</t>
  </si>
  <si>
    <t>hettich spodný 232346</t>
  </si>
  <si>
    <t>blum spodný 12052</t>
  </si>
  <si>
    <t>strong spodný 350834</t>
  </si>
  <si>
    <t>dolny_Kraby</t>
  </si>
  <si>
    <t>dolny_K12</t>
  </si>
  <si>
    <t>alsó_Kraby</t>
  </si>
  <si>
    <t>FR</t>
  </si>
  <si>
    <t>La couleur du profilé et du maillage peut varier en raison des tolérances du processus de production.</t>
  </si>
  <si>
    <t>Asti</t>
  </si>
  <si>
    <t>Roma</t>
  </si>
  <si>
    <t>Type de verre / de toile</t>
  </si>
  <si>
    <t>Clipà eurovis H2</t>
  </si>
  <si>
    <t>Intermatsemi-applique</t>
  </si>
  <si>
    <t>STRONG inférieur blanc</t>
  </si>
  <si>
    <t>STRONG supérieur gris</t>
  </si>
  <si>
    <t>KRABY 164 inférieur</t>
  </si>
  <si>
    <t>KRABY 244 inférieur</t>
  </si>
  <si>
    <t>KRABY 355 inférieur</t>
  </si>
  <si>
    <t>STRONG inférieur gris</t>
  </si>
  <si>
    <t>pour montage sur vis H0</t>
  </si>
  <si>
    <t>pour montage Eurovis H0</t>
  </si>
  <si>
    <t>pour montage sur vis H2</t>
  </si>
  <si>
    <t>pour montage Eurovis H2</t>
  </si>
  <si>
    <t>Clip pour vis H2</t>
  </si>
  <si>
    <t>Clip vis avec excentrique H0</t>
  </si>
  <si>
    <t>Clip pour vis H0</t>
  </si>
  <si>
    <t>Sensys SiSy appliquée</t>
  </si>
  <si>
    <t>Sensys SiSy semi-appliquée</t>
  </si>
  <si>
    <t>Sensys SiSy encastrée</t>
  </si>
  <si>
    <t>Sensys P2O appliquée</t>
  </si>
  <si>
    <t>Sensys P2O semi-appliquée</t>
  </si>
  <si>
    <t>Sensys P2O encastrée</t>
  </si>
  <si>
    <t>StrongHinges S3 charnière appliquée clip sans ressort</t>
  </si>
  <si>
    <t>StrongHinges charnière insérée clip sans ressort</t>
  </si>
  <si>
    <t>StrongHinges S3 charnière 30° clip sans ressort</t>
  </si>
  <si>
    <t>StrongHinges S3 charnière appliquée clip</t>
  </si>
  <si>
    <t>StrongHinges S3 charnière semi-appliquée clip</t>
  </si>
  <si>
    <t>StrongHinges S3 charnière insérée clip</t>
  </si>
  <si>
    <t>StrongHinges S3 charnière 30° clip</t>
  </si>
  <si>
    <t>StrongHinges S3 charnière clip vis avec excentrique H0</t>
  </si>
  <si>
    <t>La vue des cloisons est uniquement illustrative et n’affiche pas le nombre choisi de cloisons horizontales / verticales.</t>
  </si>
  <si>
    <t>Avertissement</t>
  </si>
  <si>
    <t>Retour</t>
  </si>
  <si>
    <t>La distance standard des charnières par rapport au bord est réglée à 100 mm (minimum 80 mm). Si vous souhaitez modifier l'entraxe entre les charnières, veuillez l'indiquer dans la remarque (en mm).</t>
  </si>
  <si>
    <t>Veuillez préciser dans les cellules vertes la distance de perçage du support par rapport au bord du cadre.Si vous souhaitez un perçage centré sur le cadre et le profilé, veuillez inscrire "x" dans les cellules vertes.</t>
  </si>
  <si>
    <t>Avec des charnières, la dimension maximale est</t>
  </si>
  <si>
    <t>Varna noir – longueur maximale recommandée par le fabricant : 1200 mm</t>
  </si>
  <si>
    <t>Rocca noir – longueur maximale : 2150 mm
Varna noir – longueur maximale : 1200 mm</t>
  </si>
  <si>
    <t>Commande de verre</t>
  </si>
  <si>
    <t>avec ressort et amortisseur</t>
  </si>
  <si>
    <t>avec ressort sans amortisseur</t>
  </si>
  <si>
    <t>tip-on sans ressort / amortisseur</t>
  </si>
  <si>
    <t>argenté</t>
  </si>
  <si>
    <t>noir</t>
  </si>
  <si>
    <t>275689 - inférieur 80N gris</t>
  </si>
  <si>
    <t>248167 - inférieur 80N blanc</t>
  </si>
  <si>
    <t>507355 - 22L3200 - hauteur du caisson = 300 – 339 mm</t>
  </si>
  <si>
    <t>507356 - 22L3500 - hauteur du caisson = 340 – 389 mm</t>
  </si>
  <si>
    <t>507357 - 22L3800 - hauteur du caisson = 390 – 540 mm</t>
  </si>
  <si>
    <t>507358 - 22L3900 - hauteur du caisson = 480 – 580 mm</t>
  </si>
  <si>
    <t>Servo :</t>
  </si>
  <si>
    <t>197612 - 21L3200.01 - hauteur du caisson = 300 – 349 mm</t>
  </si>
  <si>
    <t>197613 - 21L3500.01 - hauteur du caisson = 350 – 399 mm</t>
  </si>
  <si>
    <t>197614 - 21L3800.01 - hauteur du caisson = 400 – 550 mm</t>
  </si>
  <si>
    <t>197615 - 21L3900.01 - hauteur du caisson = 450 – 580 mm</t>
  </si>
  <si>
    <t>Veuillez préciser dans les cellules vertes la distance de perçage de la poignée par rapport au bord extérieur du cadre.</t>
  </si>
  <si>
    <t>Combinaison invalide</t>
  </si>
  <si>
    <t>croix vis</t>
  </si>
  <si>
    <t>croix vis (excentrique)</t>
  </si>
  <si>
    <t>croix euro</t>
  </si>
  <si>
    <t>croix cheville</t>
  </si>
  <si>
    <t>droite vis</t>
  </si>
  <si>
    <t>droite euro</t>
  </si>
  <si>
    <t>droite cheville</t>
  </si>
  <si>
    <t>longueur max. 2150 mm</t>
  </si>
  <si>
    <t>Distance par rapport au bord inférieur</t>
  </si>
  <si>
    <t>Distance par rapport au bord supérieur</t>
  </si>
  <si>
    <t>Sans modifications</t>
  </si>
  <si>
    <t>Trempé (délai de livraison 4 semaines)</t>
  </si>
  <si>
    <t>Les cadres sans verre sont livrés en kit (à monter).</t>
  </si>
  <si>
    <t>La dimension maximale recommandée est de 1500x600 mm. En cas de commande avec des dimensions supérieures, le verre peut sortir du profilé. Le fabricant ne prend pas en charge les réclamations dans ce cas.</t>
  </si>
  <si>
    <t>520405 SALICE AIR SOFT charnière nickel angle d'ouverture 92° set de 2 pcs</t>
  </si>
  <si>
    <t>520406 SALICE AIR PUSH TO OPEN charnière nickel avec adaptateur set de 2 pcs</t>
  </si>
  <si>
    <t>520407 SALICE AIR PUSH TO OPEN charnière nickel avec adaptateur set de 2 pcs</t>
  </si>
  <si>
    <t>520408 SALICE AIR SOFT charnière nickel avec adaptateur set de 2 pcs</t>
  </si>
  <si>
    <t>520410 SALICE AIR SOFT TITANIUM charnière angle d'ouverture 92° set de 2 pcs</t>
  </si>
  <si>
    <t>520411 SALICE AIR TITANIUM PUSH TO OPEN charnière set de 2 pcs</t>
  </si>
  <si>
    <t>520412 SALICE AIR TITANIUM PUSH TO OPEN charnière avec adaptateur set de 2 pcs</t>
  </si>
  <si>
    <t>520413 SALICE AIR SOFT TITANIUM charnière avec adaptateur set de 2 pcs</t>
  </si>
  <si>
    <t>dimensions maximales 1000x500 mm</t>
  </si>
  <si>
    <t>Type de toile</t>
  </si>
  <si>
    <t>La variante semi-appliquée et insérée n’existe pas</t>
  </si>
  <si>
    <t>Polissage des bords</t>
  </si>
  <si>
    <t>Dimensions du verre dépassées</t>
  </si>
  <si>
    <t>transparence 50 %</t>
  </si>
  <si>
    <t>Conditions et recommandations pour une commande correcte des cadres en aluminium</t>
  </si>
  <si>
    <t>Recommandations générales :</t>
  </si>
  <si>
    <t>Lors du remplissage du formulaire, procédez toujours de haut en bas.</t>
  </si>
  <si>
    <t>Si vous effectuez une modification rétrospective, il est nécessaire de ressaisir les éléments en dessous de ce changement.</t>
  </si>
  <si>
    <t>Avant d’envoyer la commande, vérifiez que le formulaire ne contient que les cadres souhaités.</t>
  </si>
  <si>
    <t>Le délai de livraison standard est de trois semaines maximum. Pour toute précision concernant le délai, veuillez contacter le Service Client.</t>
  </si>
  <si>
    <t>Informations pratiques :</t>
  </si>
  <si>
    <t>Pour des cadres de plus de 2500 mm, nous recommandons d’utiliser des traverses afin d’éviter la déformation du profilé ou le délogement du verre.</t>
  </si>
  <si>
    <t>Pour les cadres de grande taille (supérieurs à 1200 x 800 mm), un supplément pour emballage et transport spécial peut être appliqué (plus d’informations auprès du Service Client).</t>
  </si>
  <si>
    <t>La toile dans le cadre est orientée horizontalement par défaut. Si vous souhaitez une orientation verticale des ouvertures de la toile, merci de le préciser dans la remarque.</t>
  </si>
  <si>
    <t>Je confirme avoir compris et accepté les conditions et recommandations ci-dessus.</t>
  </si>
  <si>
    <t>La dimension choisie du cadre ne correspond pas aux dimensions maximales du verre ou du profilé</t>
  </si>
  <si>
    <t>Prix</t>
  </si>
  <si>
    <t>Prix de la quincaillerie et des profilés</t>
  </si>
  <si>
    <t>Již neměnit po tom co vyberete typ skla/síťky</t>
  </si>
  <si>
    <t>Už nemeniť po tom čo vyberiete typ skla/sieťky</t>
  </si>
  <si>
    <t>Nie zmieniaj po wybraniu rodzaj szkła/siatka</t>
  </si>
  <si>
    <t>A kiválasztás után ne változtasson üveg/hálós típus</t>
  </si>
  <si>
    <t>Do not change after you make a choice type of glass/mesh</t>
  </si>
  <si>
    <t>Ne pas modifier après votre sélection type de verre / de toile</t>
  </si>
  <si>
    <t>Hálós keretkitöltő</t>
  </si>
  <si>
    <t>Mesh frame filler</t>
  </si>
  <si>
    <t>Remplissage du cadre toile</t>
  </si>
  <si>
    <t>_kombo_Blum_Polonaložený</t>
  </si>
  <si>
    <t>StrongHingesS53</t>
  </si>
  <si>
    <t>StrongHingesS33</t>
  </si>
  <si>
    <t>blum avec amortisseur 118033</t>
  </si>
  <si>
    <t>blum avec amortisseur 12047</t>
  </si>
  <si>
    <t>hettich avec amortisseur 300279</t>
  </si>
  <si>
    <t>strong avec amortisseur 350863</t>
  </si>
  <si>
    <t>strong avec amortisseur 92584T</t>
  </si>
  <si>
    <t>hettich avec amortisseur 104717</t>
  </si>
  <si>
    <t>strong avec amortisseur 350827</t>
  </si>
  <si>
    <t>hettich supérieure 300279</t>
  </si>
  <si>
    <t>strong supérieure 350863</t>
  </si>
  <si>
    <t>strong supérieure 92584T</t>
  </si>
  <si>
    <t>hettich supérieure 104717</t>
  </si>
  <si>
    <t>blum supérieure 12047</t>
  </si>
  <si>
    <t>strong supérieure 350827</t>
  </si>
  <si>
    <t>hettich z z tłumieniem 104717</t>
  </si>
  <si>
    <t>hettich z z tłumieniem 300279</t>
  </si>
  <si>
    <t>blum z z tłumieniem 12047</t>
  </si>
  <si>
    <t>strong z z tłumieniem 350827</t>
  </si>
  <si>
    <t>strong z z tłumieniem 92584T</t>
  </si>
  <si>
    <t>blum z tłumieniem 118033 / 71B950A</t>
  </si>
  <si>
    <t>blum z tłumieniem 12047 / 71B3550</t>
  </si>
  <si>
    <t>blum z z tłumieniem 118033</t>
  </si>
  <si>
    <t>Hettich z tłumieniem</t>
  </si>
  <si>
    <t>Hettich z tłumieniem 300279</t>
  </si>
  <si>
    <t>Strong z tłumieniem 350863</t>
  </si>
  <si>
    <t>Strong z tłumieniem 92584T</t>
  </si>
  <si>
    <t>Hettich z tłumieniem 104717</t>
  </si>
  <si>
    <t>Strong z tłumieniem 350827</t>
  </si>
  <si>
    <t>strong z tlumieniem 350863</t>
  </si>
  <si>
    <t>strong z tlumieniem 92584T</t>
  </si>
  <si>
    <t>blum z tlumieniem 12047</t>
  </si>
  <si>
    <t>strong z tlumieniem 350827</t>
  </si>
  <si>
    <t>max 3 sztuki frontów</t>
  </si>
  <si>
    <t>max 2 sztuki frontów</t>
  </si>
  <si>
    <t>max 20 sztuki frontów</t>
  </si>
  <si>
    <t>w 1 paczce może być</t>
  </si>
  <si>
    <t>Pakowane w paczke</t>
  </si>
  <si>
    <t>rozměry</t>
  </si>
  <si>
    <t>celkem rámečků</t>
  </si>
  <si>
    <t>cena za dopravu</t>
  </si>
  <si>
    <t>balík A</t>
  </si>
  <si>
    <t>balík B</t>
  </si>
  <si>
    <t>paleta A</t>
  </si>
  <si>
    <t>paleta B</t>
  </si>
  <si>
    <t>celkem</t>
  </si>
  <si>
    <t>max počet v balíku</t>
  </si>
  <si>
    <t>možnosti, do čeho lze zabalit</t>
  </si>
  <si>
    <t>skutečnost MAX</t>
  </si>
  <si>
    <t>skutečnost MIN</t>
  </si>
  <si>
    <t>nejmenší možné balení</t>
  </si>
  <si>
    <t>počet ks</t>
  </si>
  <si>
    <t>šířka/výška</t>
  </si>
  <si>
    <t>RAM1</t>
  </si>
  <si>
    <t>RAM2</t>
  </si>
  <si>
    <t>RAM3</t>
  </si>
  <si>
    <t>RAM4</t>
  </si>
  <si>
    <t>RAM5</t>
  </si>
  <si>
    <t>RAM6</t>
  </si>
  <si>
    <t xml:space="preserve">celkem rámečků indiv. </t>
  </si>
  <si>
    <t>počet balíků indiv.</t>
  </si>
  <si>
    <t>celkem rámečků spolu</t>
  </si>
  <si>
    <t>počet balíků/palet</t>
  </si>
  <si>
    <t>počt balíků v kombinaci</t>
  </si>
  <si>
    <t>počt balíků bez kombinace</t>
  </si>
  <si>
    <t>zbytek rámečků</t>
  </si>
  <si>
    <t>volné místo</t>
  </si>
  <si>
    <t>celkem rámečků spolu B</t>
  </si>
  <si>
    <t>nejnižší cena</t>
  </si>
  <si>
    <t>ks</t>
  </si>
  <si>
    <t>Aby uzyskać informacje o kosztach wysyłki dla zamówień powyżej 20 ramek, skontaktuj się z obsługą klienta:</t>
  </si>
  <si>
    <t>tubus A</t>
  </si>
  <si>
    <t>tubus B</t>
  </si>
  <si>
    <t>do 800 x 800 mm</t>
  </si>
  <si>
    <t>balík 800x800</t>
  </si>
  <si>
    <t>max 12 sztuki ramek</t>
  </si>
  <si>
    <t>max 6 sztuki ramek</t>
  </si>
  <si>
    <t>MAX</t>
  </si>
  <si>
    <t>celkový počet</t>
  </si>
  <si>
    <t>1. optimalizace</t>
  </si>
  <si>
    <t>Start počet bal</t>
  </si>
  <si>
    <t>počet balení</t>
  </si>
  <si>
    <t>cena celkem</t>
  </si>
  <si>
    <t>Przy dostawie na adres w jednym zamówieniu nie można łączyć ramki ze szkłem i bez szkła.</t>
  </si>
  <si>
    <t>sklo = 1 / bez skla = 2</t>
  </si>
  <si>
    <t>doprava se sklem</t>
  </si>
  <si>
    <t>doprava bez skla</t>
  </si>
  <si>
    <t>ve formuláři jsou rámečky se sklem i bez - chyba</t>
  </si>
  <si>
    <t>dostawa niemożliwa</t>
  </si>
  <si>
    <t>Wysyłka powyżej 20 ramek -&gt; skontaktuj się z obsługą klienta: tel: 327908582, email: zamowienia@demos-trade.com</t>
  </si>
  <si>
    <t>zbyt duże wymiary</t>
  </si>
  <si>
    <t>zbyt duże wymiary, których nie można wysłać kurierem</t>
  </si>
  <si>
    <t>wycena indiwidualna</t>
  </si>
  <si>
    <t>Max</t>
  </si>
  <si>
    <t>Min</t>
  </si>
  <si>
    <t>Možné balení</t>
  </si>
  <si>
    <t>nejmenší balík</t>
  </si>
  <si>
    <t>počet balíků</t>
  </si>
  <si>
    <t>počet rámečků pro optimalizaci</t>
  </si>
  <si>
    <t>součet rámečků</t>
  </si>
  <si>
    <t>Optimalizace palet</t>
  </si>
  <si>
    <t>1. scénář - jen balíky</t>
  </si>
  <si>
    <t>Final optimalizace palet</t>
  </si>
  <si>
    <t>Optimalizace palet a balíků</t>
  </si>
  <si>
    <t>Final optimalizace balíků</t>
  </si>
  <si>
    <t>Final optimalizace palet a balíků</t>
  </si>
  <si>
    <t>Final cena smont</t>
  </si>
  <si>
    <t>optimalizace</t>
  </si>
  <si>
    <t>Při převzetí zásilky je kupující povinen zboží zkontrolovat a případné zjevné přepravní poškození ihned zapsat s kurýrem do protokolu, jinak může být taková reklamace zamítnuta.</t>
  </si>
  <si>
    <t>Pri prevzatí zásielky je kupujúci povinný tovar skontrolovať a prípadné zjavné prepravné poškodenie ihned zapísať s kuriérom do protokolu, inak môže byť takáto reklamácia zamietnutá.</t>
  </si>
  <si>
    <t>A küldemény átvételekor a vevő köteles a terméket ellenőrizni, és az esetleges nyilvánvaló szállítási sérüléseket azonnal jegyzőkönyvbe foglalni a futárral, ellenkező esetben az ilyen reklamáció elutasítható.</t>
  </si>
  <si>
    <t>Przy odbiorze przesyłki kupujący powinien sprawdzić towar i w przypadku stwierdzenia widocznych uszkodzeń transportowych niezwłocznie zgłosić je kurierowi, spisując protokół. W przeciwnym razie reklamacja może zostać odrzucona.</t>
  </si>
  <si>
    <t>When taking over the delivery, the buyer is obliged to check the goods and record any obvious transport damage in the protocol together with the courier; otherwise, such a claim may be rejected.</t>
  </si>
  <si>
    <t>À réception de la marchandise, l'acheteur est tenu de vérifier les marchandises et de consigner immédiatement tout dommage apparent dû au transport dans le procès-verbal établi avec le transporteur, faute de quoi toute réclamation pourra être rejetée.</t>
  </si>
  <si>
    <t>Vzdálenost od levého okraje</t>
  </si>
  <si>
    <t>Vzdialenosť od ľavého kraja</t>
  </si>
  <si>
    <t>Odległość od lewej krawędzi</t>
  </si>
  <si>
    <t>A távolsága a bal peremtől</t>
  </si>
  <si>
    <t>Distance from the left edge</t>
  </si>
  <si>
    <t>Distance du bord gauche</t>
  </si>
  <si>
    <t>35,00 zł</t>
  </si>
  <si>
    <t>do 1400 mm</t>
  </si>
  <si>
    <t>1401 - 2850 mm</t>
  </si>
  <si>
    <t>288,00 zł</t>
  </si>
  <si>
    <t>332,00 zł</t>
  </si>
  <si>
    <t>balík 1400x800</t>
  </si>
  <si>
    <t>71,00 zł</t>
  </si>
  <si>
    <t>do 1400 x 800 mm</t>
  </si>
  <si>
    <t>počet balíků po optimalizaci</t>
  </si>
  <si>
    <t>do 2300 x 750 mm</t>
  </si>
  <si>
    <t>do  2750 x 750 mm</t>
  </si>
  <si>
    <t>max</t>
  </si>
  <si>
    <t>min</t>
  </si>
  <si>
    <t>cena odpovídající rozměru</t>
  </si>
  <si>
    <t>strong spodní 92584tT</t>
  </si>
  <si>
    <t>strong spodní 92584T</t>
  </si>
  <si>
    <t>strong dolny 92584T</t>
  </si>
  <si>
    <t>strong alsó 92584T</t>
  </si>
  <si>
    <t>strong inférieure 92584T</t>
  </si>
  <si>
    <t>strong bottom 92584T</t>
  </si>
  <si>
    <t>strong spodný 92584T</t>
  </si>
  <si>
    <t>Modena hnědá - maximální doporučená délka profilu 2500 mm</t>
  </si>
  <si>
    <t>Modena hnědá - maximálna odporúčaná dĺžka profilu 2500 mm</t>
  </si>
  <si>
    <t>Modena brąz - maksymalna zalecana długość profilu 2500 mm</t>
  </si>
  <si>
    <t>Modena barna - maximális ajánlott profilhosszúság 2500 mm</t>
  </si>
  <si>
    <t>Modena brown - maximum profile length 2500 mm</t>
  </si>
  <si>
    <t>Modena marron - longueur maximale recommandée du profil 2500 mm</t>
  </si>
  <si>
    <t>Verona Ivory mat - maximální doporučená délka profilu 2150 mm</t>
  </si>
  <si>
    <t>Verona Ivory mat - maximálna odporúčaná dĺžka profilu 2150 mm</t>
  </si>
  <si>
    <t>Verona Ivory mat - maksymalna zalecana zalecana długość profilu 2150 mm</t>
  </si>
  <si>
    <t>Verona Ivory mat - maximális ajánlott profilhosszúság 2150 mm</t>
  </si>
  <si>
    <t>Verona Ivory mat - maximum profile length 2150 mm</t>
  </si>
  <si>
    <t>BRW kašmír - maximální doporučená délka profilu 2500 mm</t>
  </si>
  <si>
    <t>BRW kaszmirowy - maksymalna zalecana długość profilu 2500 mm</t>
  </si>
  <si>
    <t>BRW kašmír - maximálna odporúčaná dĺžka profilu 2500 mm</t>
  </si>
  <si>
    <t>BRW kasmír - maximális ajánlott profilhosszúság 2500 mm</t>
  </si>
  <si>
    <t>BRW cashmere - maximum profile length 2500 mm</t>
  </si>
  <si>
    <t>BRW cachemire - longueur maximale recommandée du profil 2500 mm</t>
  </si>
  <si>
    <t>Verona kašmír - maximální doporučená délka profilu 2150 mm</t>
  </si>
  <si>
    <t>Verona kašmír - maximálna odporúčaná dĺžka profilu 2150 mm</t>
  </si>
  <si>
    <t>Verona kaszmirowy - maksymalna zalecana długość profilu 2150 mm</t>
  </si>
  <si>
    <t>Verona kasmír - maximális ajánlott profilhosszúság 2150 mm</t>
  </si>
  <si>
    <t>Verona cashmere - maximum profile length 2150 mm</t>
  </si>
  <si>
    <t>Verona cachemire - longueur maximale recommandée du profil 2150 mm</t>
  </si>
  <si>
    <t>Modena brąz</t>
  </si>
  <si>
    <t>BRW kaszmirowy</t>
  </si>
  <si>
    <t>Verona kaszmirowy</t>
  </si>
  <si>
    <t>TREVISO</t>
  </si>
  <si>
    <t>Treviso černá mat - maximální doporučená délka profilu 2750 mm</t>
  </si>
  <si>
    <t>Treviso fekete matt - maximális ajánlott profilhosszúság 2750 mm</t>
  </si>
  <si>
    <t>Treviso black matt - maximum profile length 2750 mm</t>
  </si>
  <si>
    <t>Treviso noir mat - longueur maximale recommandée du profil 2750 mm</t>
  </si>
  <si>
    <t>Treviso czarny matowy - maksymalna zalecana długość profilu 2750 mm</t>
  </si>
  <si>
    <t>BRW tmavá nerez br. (INOX LIJA) - maximální doporučená délka profilu 2500 mm</t>
  </si>
  <si>
    <t>BRW tmavá nerez brúsená (INOX LIJA) - maximálna odporúčaná dĺžka profilu 2500 mm</t>
  </si>
  <si>
    <t>BRW INOX LIJA - maksymalna zalecana długość profilu 2500 mm</t>
  </si>
  <si>
    <t>BRW nemesacél csiszolt (INOX LIJA) - maximális ajánlott profilhosszúság 2500 mm</t>
  </si>
  <si>
    <t>BRW dark stainless steel (INOX LIJA)- maximum profile length 2500 mm</t>
  </si>
  <si>
    <t>BRW inox foncé brossé (INOX LIJA) - longueur maximale recommandée du profil 2500 mm</t>
  </si>
  <si>
    <t>Verona Acier Gratta</t>
  </si>
  <si>
    <t>BRW světlá nerez (INOX ACIER gratta) - maximální doporučená délka profilu 2500 mm</t>
  </si>
  <si>
    <t>BRW svetlá nerez (INOX ACIER gratta)- maximálna odporúčaná dĺžka profilu 2500 mm</t>
  </si>
  <si>
    <t>BRW INOX ACIER gratta - maksymalna zalecana długość profilu 2500 mm</t>
  </si>
  <si>
    <t>BRW nemesacél INOX ACIER gratta - maximális ajánlott profilhosszúság 2500 mm</t>
  </si>
  <si>
    <t>BRW Light Stainless Steel (INOX ACIER gratta) - maximum profile length 2500 mm</t>
  </si>
  <si>
    <t>BRW inox clair (INOX ACIER gratta) - longueur maximale recommandée du profil 2500 mm</t>
  </si>
  <si>
    <t>Verona světlá nerez (Acier gratta) - maximální doporučená délka profilu 2500 mm</t>
  </si>
  <si>
    <t>Verona light stainless steel (Acier gratta) - maximum profile length 2500 mm</t>
  </si>
  <si>
    <t>Verona inox clair (Acier gratta) - longueur maximale recommandée du profil 2500 mm</t>
  </si>
  <si>
    <t>BRW INOX LIJA</t>
  </si>
  <si>
    <t>Modena INOX LIJA</t>
  </si>
  <si>
    <t>Vivaro INOX LIJA</t>
  </si>
  <si>
    <t>BRW antracyt RAL 7021</t>
  </si>
  <si>
    <t>BRW bialy matowy RAL 9003</t>
  </si>
  <si>
    <t>BRW brąz</t>
  </si>
  <si>
    <t>BRW szczotkowany</t>
  </si>
  <si>
    <t>BRW Czarny matowy</t>
  </si>
  <si>
    <t>BRW czarna szczotka</t>
  </si>
  <si>
    <t>Modena INOX LIJA - maksymalna zalecana długość profilu 2500 mm</t>
  </si>
  <si>
    <t>Verona Acier Gratta - maksymalna zalecana zalecana długość profilu 2500 mm</t>
  </si>
  <si>
    <t>Verona nemesacél csiszolt Acier gratta - maximális ajánlott profilhosszúság 2500 mm</t>
  </si>
  <si>
    <t>Vivaro INOX LIJA - maksymalna zalecana zalecana długość profilu 2500 mm</t>
  </si>
  <si>
    <t>Modena nemesacél csiszolt INOX LIJA - maximális ajánlott profilhosszúság 2500 mm</t>
  </si>
  <si>
    <t>Vivaro nemesacél csiszolt INOX LIJA - maximális ajánlott profilhosszúság 2500 mm</t>
  </si>
  <si>
    <t>Rimini elox - max délka profilu 1100 mm</t>
  </si>
  <si>
    <t>Rimini černý mat - max délka profilu 1100 mm</t>
  </si>
  <si>
    <t>Rimini champagne - max délka profilu 1100 mm</t>
  </si>
  <si>
    <t>Rimini elox - maximálna dĺžka profilu 1100 mm</t>
  </si>
  <si>
    <t>Treviso čierna mat - maximálna odporúčaná dĺžka profilu 2750 mm</t>
  </si>
  <si>
    <t>Rimini  čierna mat - maximálna dĺžka profilu 1100 mm</t>
  </si>
  <si>
    <t>Rimini champagne - maximálna dĺžka profilu 1100 mm</t>
  </si>
  <si>
    <t>Rimini elox naturalna - maksymalna długość profilu 1100 mm</t>
  </si>
  <si>
    <t>Rimini czarny mat - maksymalna długość profilu 1100 mm</t>
  </si>
  <si>
    <t>Rimini champagne - maksymalna długość profilu 1100 mm</t>
  </si>
  <si>
    <t>Rimini elox - maximális profilhosszúság 1100 mm</t>
  </si>
  <si>
    <t>Rimini champagne - maximális profilhosszúság 1100 mm</t>
  </si>
  <si>
    <t>Rimini natural - maximum profile length 1100 mm</t>
  </si>
  <si>
    <t>Rimini fekete matt - maximális profilhosszúság 1100 mm</t>
  </si>
  <si>
    <t>Rimini black matt - maximum profile length 1100 mm</t>
  </si>
  <si>
    <t>Rimini champagne - maximum profile length 1100 mm</t>
  </si>
  <si>
    <t>Rimini elox - longueur maximale du profil 1100 mm</t>
  </si>
  <si>
    <t>Rimini noir - longueur maximale du profil 1100 mm</t>
  </si>
  <si>
    <t>Rimini champagne - longueur maximale du profil 1100 mm</t>
  </si>
  <si>
    <t>Rimini zlatá - max délka profilu 1100 mm</t>
  </si>
  <si>
    <t>Rimini zlatá broušená - max délka profilu 1100 mm</t>
  </si>
  <si>
    <t>Rimini zlatá - maximálna dĺžka profilu 1100 mm</t>
  </si>
  <si>
    <t>Rimini zlatá brúsená - maximálna dĺžka profilu 1100 mm</t>
  </si>
  <si>
    <t>Rimini zlota - maksymalna długość profilu 1100 mm</t>
  </si>
  <si>
    <t>Rimini zlota szczotkowana - maksymalna długość profilu 1100 mm</t>
  </si>
  <si>
    <t>Rimini  arany csiszolt - maximális profilhosszúság 1100 mm</t>
  </si>
  <si>
    <t>Rimini  arany - maximális profilhosszúság 1100 mm</t>
  </si>
  <si>
    <t>Rimini gold - maximum profile length 1100 mm</t>
  </si>
  <si>
    <t>Rimini gold brushed - maximum profile length 1100 mm</t>
  </si>
  <si>
    <t>Rimini  doré brossé - longueur maximale du profil 1100 mm</t>
  </si>
  <si>
    <t>Rimini  doré - longueur maximale du profil 1100 mm</t>
  </si>
  <si>
    <t>max. rozměr 1100x500mm</t>
  </si>
  <si>
    <t>max. rozmer 1100x500mm</t>
  </si>
  <si>
    <t>maks. wymiar 1100x500mm</t>
  </si>
  <si>
    <t>dimensions maximales 1100x500 mm</t>
  </si>
  <si>
    <t>max. méret 1100x500</t>
  </si>
  <si>
    <t>max. dimension 1100x500</t>
  </si>
  <si>
    <t xml:space="preserve">  280,52    </t>
  </si>
  <si>
    <t xml:space="preserve">  170,53    </t>
  </si>
  <si>
    <t xml:space="preserve">          9,95    </t>
  </si>
  <si>
    <t xml:space="preserve">    6,07    </t>
  </si>
  <si>
    <t xml:space="preserve">  36,21    </t>
  </si>
  <si>
    <t xml:space="preserve">  24,75    </t>
  </si>
  <si>
    <t xml:space="preserve">  3 416,39    </t>
  </si>
  <si>
    <t xml:space="preserve">  2 215,16    </t>
  </si>
  <si>
    <t xml:space="preserve">  523,69    </t>
  </si>
  <si>
    <t xml:space="preserve">        18,58    </t>
  </si>
  <si>
    <t xml:space="preserve">  67,59    </t>
  </si>
  <si>
    <t xml:space="preserve">  6 377,94    </t>
  </si>
  <si>
    <t xml:space="preserve">  496,61    </t>
  </si>
  <si>
    <t xml:space="preserve">        17,62    </t>
  </si>
  <si>
    <t xml:space="preserve">  64,09    </t>
  </si>
  <si>
    <t xml:space="preserve">  6 048,07    </t>
  </si>
  <si>
    <t xml:space="preserve">  569,27    </t>
  </si>
  <si>
    <t xml:space="preserve">        20,20    </t>
  </si>
  <si>
    <t xml:space="preserve">  73,47    </t>
  </si>
  <si>
    <t xml:space="preserve">  6 933,05    </t>
  </si>
  <si>
    <t xml:space="preserve">  669,50    </t>
  </si>
  <si>
    <t xml:space="preserve">        23,76    </t>
  </si>
  <si>
    <t xml:space="preserve">  86,41    </t>
  </si>
  <si>
    <t xml:space="preserve">  8 153,71    </t>
  </si>
  <si>
    <t>Vzdálenost od pravého okraje</t>
  </si>
  <si>
    <t>Vzdialenosť od pravého kraja</t>
  </si>
  <si>
    <t>Odległość od prawej krawędzi</t>
  </si>
  <si>
    <t>Distance from the right edge</t>
  </si>
  <si>
    <t>A távolsága a jobb peremtől</t>
  </si>
  <si>
    <t>Distance par rapport au bord droit</t>
  </si>
  <si>
    <t>Vzdialenosť od horného kraja</t>
  </si>
  <si>
    <t>Vzdialenosť od dolného kraja</t>
  </si>
  <si>
    <t>Distance du bord supérieur</t>
  </si>
  <si>
    <t>Távolság a felső széltől</t>
  </si>
  <si>
    <t>Távolság az alsó széltől</t>
  </si>
  <si>
    <t>Distance from the upper edge</t>
  </si>
  <si>
    <t>Distance du bord inférieur</t>
  </si>
  <si>
    <t>Odległość od lewej krawędzi (dolnej)</t>
  </si>
  <si>
    <t>Odległość od dolnej krawędzi (lewej)</t>
  </si>
  <si>
    <t>Odległość od gornej krawędzi (lewej)</t>
  </si>
  <si>
    <t>Odległość od dolnej krawędzi (prawej)</t>
  </si>
  <si>
    <t>Odległość od gornej krawędzi (prawej)</t>
  </si>
  <si>
    <t>Odległość od lewej krawędzi (gornej)</t>
  </si>
  <si>
    <t>Odległość od prawej krawędzi (dolnej)</t>
  </si>
  <si>
    <t>Vzdálenost od pravého okraje (Horního)</t>
  </si>
  <si>
    <t>Odległość od prawej krawędzi (gornej)</t>
  </si>
  <si>
    <t>(spodního)</t>
  </si>
  <si>
    <t>(levého)</t>
  </si>
  <si>
    <t>(horního)</t>
  </si>
  <si>
    <t>(pravého)</t>
  </si>
  <si>
    <t>(spodného)</t>
  </si>
  <si>
    <t>(ľavého)</t>
  </si>
  <si>
    <t>(horného)</t>
  </si>
  <si>
    <t>A Rimini profilba nem lehetséges furatokat készíteni, ezért sem pánttal, sem felnyíló vasalattal nem szerelhető. A Rimini kerettel a maximális méret 1100 × 500 mm lehet, és nem szállítható szétszerelt állapotban, tehát üveg nélkül.</t>
  </si>
  <si>
    <t>Do profilu Rimini není možné vrtat, proto není možná montáž ani na závěsy, ani na výklopy. Maximální rozměr rámečku 1100x500 mm a nelze jej dodat bez skla.</t>
  </si>
  <si>
    <t>Il est impossible de percer le profilé Rimini ; par conséquent, son montage sur charnières ou sur fenêtres oscillo-battantes est impossible. La dimension maximale du cadre est de 1100 x 500 mm et il ne peut être fourni sans vitrage.</t>
  </si>
  <si>
    <t>It is not possible to drill into the Rimini profile, therefore it is not possible to mount it on hinges or on lift-up mechanismo. The maximum frame size is 1100x500 mm and it cannot be supplied without glass.</t>
  </si>
  <si>
    <t>Nie ma możliwości wiercenia w profilu Rimini, dlatego nie można go montować na zawiasach ani podnosnikow. Maksymalny rozmiar ramy to 1100 x 500 mm i nie jest dostępna bez szyby.</t>
  </si>
  <si>
    <t>Do profilu Rimini nie je možné vŕtať, preto nie je možná montáž ani na závesy, ani na výklopy. Maximálny rozmer rámčeka 1100x500 mm a nemožno ho dodať bez skla.</t>
  </si>
  <si>
    <t>RIMINI</t>
  </si>
  <si>
    <t>Modena tmavá nerez brúsená INOX LIJA - maximálna odporúčaná dĺžka profilu 2500 mm</t>
  </si>
  <si>
    <t>Modena dark stainless steel brushed (Inox lija- maximum profile length 2500 mm</t>
  </si>
  <si>
    <t>Verona tmavá nerez broušená (Inox Lija)- maximální doporučená délka profilu 2500 mm</t>
  </si>
  <si>
    <t>Verona nerez brúsená (Inox Lija) - maximálna odporúčaná dĺžka profilu 2500 mm</t>
  </si>
  <si>
    <t>Verona Inox szczotkowany (Inox Lija)- maksymalna zalecana zalecana długość profilu 2500 mm</t>
  </si>
  <si>
    <t>Verona nemesacél csiszolt (Inox Lija) - maximális ajánlott profilhosszúság 2500 mm</t>
  </si>
  <si>
    <t>Verona dark stainless steel brushed (Inox Lija) - maximum profile length 2500 mm</t>
  </si>
  <si>
    <t>Verona inox foncé brossé (Inox Lija) - longueur maximale recommandée du profil 2500 mm</t>
  </si>
  <si>
    <t>Vivaro dark stainless steel (Inox Lija) - maximum profile length 2500 mm</t>
  </si>
  <si>
    <t>Varna elox - maksymalna zalecana zalecana długość profilu 2500 mm</t>
  </si>
  <si>
    <t>Várna elox - maximális ajánlott profilhosszúság 2500 mm</t>
  </si>
  <si>
    <t>Varna elox. - maximum profile length 2500 mm</t>
  </si>
  <si>
    <t>Varna czarny - maksymalna zalecana zalecana długość profilu 1200 mm</t>
  </si>
  <si>
    <t>BRW bialy połysk RAL 9003</t>
  </si>
  <si>
    <t>BRW INOX ACIER gratta</t>
  </si>
  <si>
    <t>Corleone czarny matowy</t>
  </si>
  <si>
    <t>Imola (elox.)</t>
  </si>
  <si>
    <t>Imola Czarny matowy</t>
  </si>
  <si>
    <t>Imola bialy matowy RAL 9003</t>
  </si>
  <si>
    <t>Modena (elox.)</t>
  </si>
  <si>
    <t>Modena Czarny matowy</t>
  </si>
  <si>
    <t>Verona złota</t>
  </si>
  <si>
    <t>Modena czarna szczotka</t>
  </si>
  <si>
    <t>Palio (elox.)</t>
  </si>
  <si>
    <t>Palio Czarny matowy</t>
  </si>
  <si>
    <t>Pisa (elox.)</t>
  </si>
  <si>
    <t>Pisa Czarny matowy</t>
  </si>
  <si>
    <t>Vivaro złota</t>
  </si>
  <si>
    <t>Siena (elox.)</t>
  </si>
  <si>
    <t>Siena czarny matowy</t>
  </si>
  <si>
    <t>Verona (elox.)</t>
  </si>
  <si>
    <t>Verona szczotkowany</t>
  </si>
  <si>
    <t>Verona czarny połysk</t>
  </si>
  <si>
    <t>Verona czarny matowy</t>
  </si>
  <si>
    <t>Verona braz</t>
  </si>
  <si>
    <t>Verona szampański</t>
  </si>
  <si>
    <t>Verona Inox szczotkowany (Inox Lija)</t>
  </si>
  <si>
    <t>Rocca czarny matowy</t>
  </si>
  <si>
    <t>Vivaro czarny matowy</t>
  </si>
  <si>
    <t>Imola złota</t>
  </si>
  <si>
    <t>Vivaro biały matowy RAL 9003</t>
  </si>
  <si>
    <t>Vivaro biały połysk RAL 9003</t>
  </si>
  <si>
    <t>Varna elox</t>
  </si>
  <si>
    <t>Rocca (elox.)</t>
  </si>
  <si>
    <t>Pisa biały matowy RAL 9003</t>
  </si>
  <si>
    <t>Pisa biały połysk RAL 9003</t>
  </si>
  <si>
    <t>Varna czarny</t>
  </si>
  <si>
    <t>BRW złota szczotkowany</t>
  </si>
  <si>
    <t>Verona złota szczotkowany</t>
  </si>
  <si>
    <t>Vivaro złota szczotkowany</t>
  </si>
  <si>
    <t>Pisa złota</t>
  </si>
  <si>
    <t xml:space="preserve">ASTI  czarne </t>
  </si>
  <si>
    <t>ASTI  antracyt mat RAL 7021 mat lakier</t>
  </si>
  <si>
    <t>Verona Ivory mat</t>
  </si>
  <si>
    <t>Treviso czarny matowy</t>
  </si>
  <si>
    <t>Rimini elox naturalna</t>
  </si>
  <si>
    <t>Rimini czarny mat</t>
  </si>
  <si>
    <t>Rimini champagne</t>
  </si>
  <si>
    <t>Rimini zlota</t>
  </si>
  <si>
    <t>Rimini zlota szczotkowana</t>
  </si>
  <si>
    <t>BRW champagne</t>
  </si>
  <si>
    <t>BRW champagne light</t>
  </si>
  <si>
    <t>ROMA czarna matowa</t>
  </si>
  <si>
    <t>ROMA champagne mat</t>
  </si>
  <si>
    <t>ROMA GRIP czarna matowa</t>
  </si>
  <si>
    <t>ROMA GRIP champagne mat</t>
  </si>
  <si>
    <t>Planibel dark grey</t>
  </si>
  <si>
    <t>Verze:</t>
  </si>
  <si>
    <t>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</si>
</sst>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č&quot;_-;\-* #,##0.00\ &quot;Kč&quot;_-;_-* &quot;-&quot;??\ &quot;Kč&quot;_-;_-@_-"/>
    <numFmt numFmtId="43" formatCode="_-* #,##0.00_-;\-* #,##0.00_-;_-* &quot;-&quot;??_-;_-@_-"/>
    <numFmt numFmtId="164" formatCode="#####&quot; mm&quot;"/>
    <numFmt numFmtId="165" formatCode="#,###,###.00000"/>
    <numFmt numFmtId="166" formatCode="##,###,###,###.00000"/>
    <numFmt numFmtId="167" formatCode="_-* #,##0.00\ [$zł-415]_-;\-* #,##0.00\ [$zł-415]_-;_-* &quot;-&quot;??\ [$zł-415]_-;_-@_-"/>
    <numFmt numFmtId="168" formatCode="0.0000"/>
    <numFmt numFmtId="169" formatCode="_-* #,##0_-;\-* #,##0_-;_-* &quot;-&quot;??_-;_-@_-"/>
  </numFmts>
  <fonts count="106">
    <font>
      <sz val="11"/>
      <color theme="1"/>
      <name val="Calibri"/>
      <family val="2"/>
      <charset val="238"/>
      <scheme val="minor"/>
    </font>
    <font>
      <sz val="10"/>
      <name val="Arial"/>
      <family val="2"/>
      <charset val="238"/>
    </font>
    <font>
      <sz val="11"/>
      <color indexed="8"/>
      <name val="Calibri"/>
      <family val="2"/>
      <charset val="238"/>
    </font>
    <font>
      <sz val="8"/>
      <name val="Calibri"/>
      <family val="2"/>
      <charset val="238"/>
    </font>
    <font>
      <b/>
      <sz val="11"/>
      <color indexed="10"/>
      <name val="Calibri"/>
      <family val="2"/>
      <charset val="238"/>
    </font>
    <font>
      <sz val="11"/>
      <color theme="1"/>
      <name val="Calibri"/>
      <family val="2"/>
      <charset val="238"/>
      <scheme val="minor"/>
    </font>
    <font>
      <b/>
      <sz val="11"/>
      <color theme="1"/>
      <name val="Calibri"/>
      <family val="2"/>
      <charset val="238"/>
      <scheme val="minor"/>
    </font>
    <font>
      <u/>
      <sz val="9.35"/>
      <color theme="10"/>
      <name val="Calibri"/>
      <family val="2"/>
      <charset val="238"/>
    </font>
    <font>
      <u/>
      <sz val="9"/>
      <color theme="10"/>
      <name val="Arial"/>
      <family val="2"/>
      <charset val="238"/>
    </font>
    <font>
      <b/>
      <sz val="11"/>
      <color theme="0"/>
      <name val="Calibri"/>
      <family val="2"/>
      <charset val="238"/>
      <scheme val="minor"/>
    </font>
    <font>
      <sz val="11"/>
      <color theme="1"/>
      <name val="Calibri"/>
      <family val="2"/>
      <scheme val="minor"/>
    </font>
    <font>
      <sz val="9"/>
      <color theme="1"/>
      <name val="Arial"/>
      <family val="2"/>
      <charset val="238"/>
    </font>
    <font>
      <sz val="11"/>
      <color rgb="FFFF0000"/>
      <name val="Calibri"/>
      <family val="2"/>
      <charset val="238"/>
      <scheme val="minor"/>
    </font>
    <font>
      <sz val="11"/>
      <color theme="0"/>
      <name val="Calibri"/>
      <family val="2"/>
      <charset val="238"/>
      <scheme val="minor"/>
    </font>
    <font>
      <sz val="8"/>
      <color theme="1"/>
      <name val="Calibri"/>
      <family val="2"/>
      <charset val="238"/>
      <scheme val="minor"/>
    </font>
    <font>
      <sz val="8"/>
      <name val="Calibri"/>
      <family val="2"/>
      <charset val="238"/>
      <scheme val="minor"/>
    </font>
    <font>
      <sz val="12"/>
      <color theme="1"/>
      <name val="Calibri"/>
      <family val="2"/>
      <charset val="238"/>
      <scheme val="minor"/>
    </font>
    <font>
      <sz val="10"/>
      <color theme="1"/>
      <name val="Calibri"/>
      <family val="2"/>
      <charset val="238"/>
      <scheme val="minor"/>
    </font>
    <font>
      <b/>
      <sz val="12"/>
      <color theme="1"/>
      <name val="Calibri"/>
      <family val="2"/>
      <charset val="238"/>
      <scheme val="minor"/>
    </font>
    <font>
      <b/>
      <sz val="14"/>
      <color theme="1"/>
      <name val="Calibri"/>
      <family val="2"/>
      <charset val="238"/>
      <scheme val="minor"/>
    </font>
    <font>
      <sz val="16"/>
      <color theme="1"/>
      <name val="Calibri"/>
      <family val="2"/>
      <charset val="238"/>
      <scheme val="minor"/>
    </font>
    <font>
      <sz val="11"/>
      <name val="Calibri"/>
      <family val="2"/>
      <charset val="238"/>
      <scheme val="minor"/>
    </font>
    <font>
      <b/>
      <sz val="10"/>
      <color rgb="FFFF0000"/>
      <name val="Calibri"/>
      <family val="2"/>
      <charset val="238"/>
      <scheme val="minor"/>
    </font>
    <font>
      <sz val="10"/>
      <color theme="1"/>
      <name val="Arial"/>
      <family val="2"/>
      <charset val="238"/>
    </font>
    <font>
      <sz val="10.5"/>
      <color theme="1"/>
      <name val="Consolas"/>
      <family val="3"/>
      <charset val="238"/>
    </font>
    <font>
      <sz val="18"/>
      <color theme="1"/>
      <name val="Calibri"/>
      <family val="2"/>
      <charset val="238"/>
      <scheme val="minor"/>
    </font>
    <font>
      <sz val="14"/>
      <color rgb="FFFF0000"/>
      <name val="Calibri"/>
      <family val="2"/>
      <charset val="238"/>
      <scheme val="minor"/>
    </font>
    <font>
      <b/>
      <sz val="14"/>
      <color rgb="FFFF0000"/>
      <name val="Calibri"/>
      <family val="2"/>
      <charset val="238"/>
      <scheme val="minor"/>
    </font>
    <font>
      <sz val="14"/>
      <color theme="1"/>
      <name val="Calibri"/>
      <family val="2"/>
      <charset val="238"/>
      <scheme val="minor"/>
    </font>
    <font>
      <sz val="9"/>
      <color theme="1"/>
      <name val="Calibri"/>
      <family val="2"/>
      <charset val="238"/>
      <scheme val="minor"/>
    </font>
    <font>
      <b/>
      <sz val="12"/>
      <color theme="0"/>
      <name val="Calibri"/>
      <family val="2"/>
      <charset val="238"/>
      <scheme val="minor"/>
    </font>
    <font>
      <sz val="14"/>
      <color theme="0"/>
      <name val="Calibri"/>
      <family val="2"/>
      <charset val="238"/>
      <scheme val="minor"/>
    </font>
    <font>
      <sz val="9"/>
      <color theme="0"/>
      <name val="Arial"/>
      <family val="2"/>
      <charset val="238"/>
    </font>
    <font>
      <b/>
      <sz val="12"/>
      <color theme="0"/>
      <name val="Calibri"/>
      <family val="2"/>
      <charset val="238"/>
    </font>
    <font>
      <sz val="11"/>
      <color theme="0" tint="-0.499984740745262"/>
      <name val="Calibri"/>
      <family val="2"/>
      <charset val="238"/>
      <scheme val="minor"/>
    </font>
    <font>
      <sz val="12"/>
      <color theme="0"/>
      <name val="Calibri"/>
      <family val="2"/>
      <charset val="238"/>
      <scheme val="minor"/>
    </font>
    <font>
      <sz val="14"/>
      <color rgb="FF004984"/>
      <name val="Arial"/>
      <family val="2"/>
      <charset val="238"/>
    </font>
    <font>
      <sz val="9"/>
      <color rgb="FFFF0000"/>
      <name val="Arial"/>
      <family val="2"/>
      <charset val="238"/>
    </font>
    <font>
      <sz val="11"/>
      <color theme="1"/>
      <name val="Arial"/>
      <family val="2"/>
      <charset val="238"/>
    </font>
    <font>
      <b/>
      <sz val="18"/>
      <color theme="0"/>
      <name val="Calibri"/>
      <family val="2"/>
      <charset val="238"/>
      <scheme val="minor"/>
    </font>
    <font>
      <b/>
      <sz val="10"/>
      <color theme="0"/>
      <name val="Calibri"/>
      <family val="2"/>
      <charset val="238"/>
      <scheme val="minor"/>
    </font>
    <font>
      <sz val="8"/>
      <color theme="1"/>
      <name val="Arial"/>
      <family val="2"/>
      <charset val="238"/>
    </font>
    <font>
      <b/>
      <sz val="16"/>
      <color theme="1"/>
      <name val="Calibri"/>
      <family val="2"/>
      <charset val="238"/>
      <scheme val="minor"/>
    </font>
    <font>
      <b/>
      <sz val="16"/>
      <color theme="0"/>
      <name val="Calibri"/>
      <family val="2"/>
      <charset val="238"/>
      <scheme val="minor"/>
    </font>
    <font>
      <b/>
      <sz val="16"/>
      <color rgb="FFFF0000"/>
      <name val="Calibri"/>
      <family val="2"/>
      <charset val="238"/>
      <scheme val="minor"/>
    </font>
    <font>
      <b/>
      <sz val="11"/>
      <color rgb="FFFF0000"/>
      <name val="Calibri"/>
      <family val="2"/>
      <charset val="238"/>
      <scheme val="minor"/>
    </font>
    <font>
      <sz val="8"/>
      <color theme="1"/>
      <name val="Calibri"/>
      <family val="2"/>
      <charset val="238"/>
    </font>
    <font>
      <u/>
      <sz val="9.35"/>
      <color theme="1"/>
      <name val="Calibri"/>
      <family val="2"/>
      <charset val="238"/>
    </font>
    <font>
      <sz val="15"/>
      <color rgb="FF000000"/>
      <name val="Calibri"/>
      <family val="2"/>
      <scheme val="minor"/>
    </font>
    <font>
      <sz val="16"/>
      <color theme="0"/>
      <name val="Arial"/>
      <family val="2"/>
      <charset val="238"/>
    </font>
    <font>
      <b/>
      <sz val="72"/>
      <color theme="1"/>
      <name val="Calibri"/>
      <family val="2"/>
      <charset val="238"/>
      <scheme val="minor"/>
    </font>
    <font>
      <sz val="11"/>
      <color rgb="FF202124"/>
      <name val="Inherit"/>
    </font>
    <font>
      <sz val="11"/>
      <color rgb="FF202124"/>
      <name val="Calibri"/>
      <family val="2"/>
      <charset val="238"/>
      <scheme val="minor"/>
    </font>
    <font>
      <sz val="72"/>
      <color theme="1"/>
      <name val="Calibri"/>
      <family val="2"/>
      <charset val="238"/>
      <scheme val="minor"/>
    </font>
    <font>
      <sz val="11"/>
      <color rgb="FF1F1F1F"/>
      <name val="Calibri"/>
      <family val="2"/>
      <charset val="238"/>
      <scheme val="minor"/>
    </font>
    <font>
      <b/>
      <sz val="10"/>
      <color theme="0"/>
      <name val="Arial"/>
      <family val="2"/>
      <charset val="238"/>
    </font>
    <font>
      <b/>
      <sz val="11"/>
      <color theme="0"/>
      <name val="Arial"/>
      <family val="2"/>
      <charset val="238"/>
    </font>
    <font>
      <b/>
      <sz val="16"/>
      <name val="Calibri"/>
      <family val="2"/>
      <charset val="238"/>
      <scheme val="minor"/>
    </font>
    <font>
      <sz val="8"/>
      <color theme="0"/>
      <name val="Calibri"/>
      <family val="2"/>
      <charset val="238"/>
      <scheme val="minor"/>
    </font>
    <font>
      <b/>
      <sz val="14"/>
      <color theme="0"/>
      <name val="Calibri"/>
      <family val="2"/>
      <charset val="238"/>
    </font>
    <font>
      <sz val="10"/>
      <color theme="0"/>
      <name val="Calibri"/>
      <family val="2"/>
      <charset val="238"/>
      <scheme val="minor"/>
    </font>
    <font>
      <b/>
      <sz val="8"/>
      <color theme="1"/>
      <name val="Calibri"/>
      <family val="2"/>
      <charset val="238"/>
      <scheme val="minor"/>
    </font>
    <font>
      <b/>
      <sz val="8"/>
      <color theme="0"/>
      <name val="Calibri"/>
      <family val="2"/>
      <charset val="238"/>
      <scheme val="minor"/>
    </font>
    <font>
      <b/>
      <sz val="14"/>
      <color rgb="FFFF0000"/>
      <name val="Calibri"/>
      <family val="2"/>
      <scheme val="minor"/>
    </font>
    <font>
      <b/>
      <sz val="12"/>
      <color theme="0"/>
      <name val="Arial"/>
      <family val="2"/>
      <charset val="238"/>
    </font>
    <font>
      <b/>
      <sz val="16"/>
      <color theme="0"/>
      <name val="Calibri"/>
      <family val="2"/>
      <charset val="238"/>
    </font>
    <font>
      <sz val="9"/>
      <color theme="0"/>
      <name val="Calibri"/>
      <family val="2"/>
      <charset val="238"/>
      <scheme val="minor"/>
    </font>
    <font>
      <sz val="18"/>
      <color rgb="FF004984"/>
      <name val="Arial"/>
      <family val="2"/>
      <charset val="238"/>
    </font>
    <font>
      <b/>
      <sz val="11"/>
      <color theme="0"/>
      <name val="Calibri"/>
      <family val="2"/>
      <charset val="238"/>
    </font>
    <font>
      <b/>
      <sz val="14"/>
      <color theme="0"/>
      <name val="Calibri"/>
      <family val="2"/>
      <charset val="238"/>
      <scheme val="minor"/>
    </font>
    <font>
      <sz val="28"/>
      <color theme="1"/>
      <name val="Calibri"/>
      <family val="2"/>
      <charset val="238"/>
      <scheme val="minor"/>
    </font>
    <font>
      <sz val="11"/>
      <color rgb="FF000000"/>
      <name val="Calibri"/>
      <family val="2"/>
      <charset val="238"/>
    </font>
    <font>
      <b/>
      <sz val="11"/>
      <color rgb="FFFF0000"/>
      <name val="Calibri"/>
      <family val="2"/>
      <scheme val="minor"/>
    </font>
    <font>
      <sz val="9"/>
      <color rgb="FF202124"/>
      <name val="Inherit"/>
    </font>
    <font>
      <sz val="9"/>
      <color rgb="FF000000"/>
      <name val="Aptos Narrow"/>
      <family val="2"/>
    </font>
    <font>
      <sz val="11"/>
      <name val="Calibri"/>
      <family val="2"/>
      <charset val="238"/>
    </font>
    <font>
      <sz val="18"/>
      <color theme="0"/>
      <name val="Calibri"/>
      <family val="2"/>
      <charset val="238"/>
    </font>
    <font>
      <sz val="14"/>
      <name val="Calibri"/>
      <family val="2"/>
      <charset val="238"/>
      <scheme val="minor"/>
    </font>
    <font>
      <b/>
      <sz val="20"/>
      <color theme="1"/>
      <name val="Calibri"/>
      <family val="2"/>
      <charset val="238"/>
      <scheme val="minor"/>
    </font>
    <font>
      <b/>
      <sz val="11"/>
      <color rgb="FF000000"/>
      <name val="Calibri"/>
      <family val="2"/>
      <charset val="238"/>
    </font>
    <font>
      <b/>
      <sz val="14"/>
      <color rgb="FF000000"/>
      <name val="Calibri"/>
      <family val="2"/>
      <charset val="238"/>
    </font>
    <font>
      <b/>
      <sz val="18"/>
      <color rgb="FF000000"/>
      <name val="Calibri"/>
      <family val="2"/>
      <charset val="238"/>
    </font>
    <font>
      <u/>
      <sz val="12"/>
      <color theme="10"/>
      <name val="Calibri"/>
      <family val="2"/>
      <charset val="238"/>
    </font>
    <font>
      <b/>
      <sz val="14"/>
      <color theme="10"/>
      <name val="Calibri"/>
      <family val="2"/>
      <charset val="238"/>
    </font>
    <font>
      <u/>
      <sz val="11"/>
      <color theme="10"/>
      <name val="Calibri"/>
      <family val="2"/>
      <charset val="238"/>
    </font>
    <font>
      <b/>
      <sz val="16"/>
      <color theme="0"/>
      <name val="Arial"/>
      <family val="2"/>
      <charset val="238"/>
    </font>
    <font>
      <b/>
      <sz val="14"/>
      <name val="Calibri"/>
      <family val="2"/>
      <charset val="238"/>
      <scheme val="minor"/>
    </font>
    <font>
      <b/>
      <sz val="11"/>
      <name val="Calibri"/>
      <family val="2"/>
      <charset val="238"/>
      <scheme val="minor"/>
    </font>
    <font>
      <b/>
      <sz val="12"/>
      <name val="Calibri"/>
      <family val="2"/>
      <charset val="238"/>
      <scheme val="minor"/>
    </font>
    <font>
      <u/>
      <sz val="11"/>
      <color theme="1"/>
      <name val="Calibri"/>
      <family val="2"/>
      <charset val="238"/>
      <scheme val="minor"/>
    </font>
    <font>
      <sz val="11"/>
      <color theme="0" tint="-0.249977111117893"/>
      <name val="Calibri"/>
      <family val="2"/>
      <charset val="238"/>
      <scheme val="minor"/>
    </font>
    <font>
      <b/>
      <sz val="26"/>
      <color theme="1"/>
      <name val="Calibri"/>
      <family val="2"/>
      <charset val="238"/>
      <scheme val="minor"/>
    </font>
    <font>
      <sz val="11"/>
      <color rgb="FFFFFF00"/>
      <name val="Calibri"/>
      <family val="2"/>
      <charset val="238"/>
      <scheme val="minor"/>
    </font>
    <font>
      <b/>
      <sz val="14"/>
      <color theme="0" tint="-0.14999847407452621"/>
      <name val="Calibri"/>
      <family val="2"/>
      <charset val="238"/>
      <scheme val="minor"/>
    </font>
    <font>
      <b/>
      <u/>
      <sz val="16"/>
      <name val="Calibri"/>
      <family val="2"/>
      <charset val="238"/>
      <scheme val="minor"/>
    </font>
    <font>
      <sz val="18"/>
      <color rgb="FF000000"/>
      <name val="Calibri"/>
      <family val="2"/>
      <charset val="238"/>
    </font>
    <font>
      <b/>
      <sz val="11"/>
      <color rgb="FF000000"/>
      <name val="Czcionka tekstu podstawowego"/>
    </font>
    <font>
      <sz val="11"/>
      <color rgb="FF000000"/>
      <name val="Czcionka tekstu podstawowego"/>
    </font>
    <font>
      <b/>
      <sz val="12"/>
      <color rgb="FF000000"/>
      <name val="Calibri"/>
      <family val="2"/>
      <charset val="238"/>
    </font>
    <font>
      <b/>
      <sz val="26"/>
      <name val="Calibri"/>
      <family val="2"/>
      <charset val="238"/>
      <scheme val="minor"/>
    </font>
    <font>
      <b/>
      <sz val="36"/>
      <color theme="1"/>
      <name val="Calibri"/>
      <family val="2"/>
      <charset val="238"/>
      <scheme val="minor"/>
    </font>
    <font>
      <b/>
      <sz val="24"/>
      <name val="Calibri"/>
      <family val="2"/>
      <charset val="238"/>
      <scheme val="minor"/>
    </font>
    <font>
      <b/>
      <sz val="24"/>
      <color theme="1"/>
      <name val="Calibri"/>
      <family val="2"/>
      <charset val="238"/>
      <scheme val="minor"/>
    </font>
    <font>
      <sz val="24"/>
      <color theme="0"/>
      <name val="Arial"/>
      <family val="2"/>
      <charset val="238"/>
    </font>
    <font>
      <sz val="8"/>
      <color rgb="FF000000"/>
      <name val="Calibri"/>
      <family val="2"/>
      <charset val="238"/>
    </font>
    <font>
      <b/>
      <sz val="28"/>
      <color theme="1"/>
      <name val="Calibri"/>
      <family val="2"/>
      <charset val="238"/>
      <scheme val="minor"/>
    </font>
  </fonts>
  <fills count="37">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4984"/>
        <bgColor indexed="64"/>
      </patternFill>
    </fill>
    <fill>
      <patternFill patternType="solid">
        <fgColor rgb="FF009EE0"/>
        <bgColor indexed="64"/>
      </patternFill>
    </fill>
    <fill>
      <patternFill patternType="lightUp">
        <bgColor theme="0" tint="-0.14999847407452621"/>
      </patternFill>
    </fill>
    <fill>
      <patternFill patternType="solid">
        <fgColor theme="1" tint="0.49998474074526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00B0F0"/>
        <bgColor indexed="64"/>
      </patternFill>
    </fill>
    <fill>
      <patternFill patternType="solid">
        <fgColor theme="0"/>
        <bgColor indexed="64"/>
      </patternFill>
    </fill>
    <fill>
      <patternFill patternType="lightUp">
        <bgColor theme="0" tint="-0.14996795556505021"/>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C0E6F5"/>
        <bgColor rgb="FF000000"/>
      </patternFill>
    </fill>
    <fill>
      <patternFill patternType="solid">
        <fgColor rgb="FFFFFF00"/>
        <bgColor rgb="FF000000"/>
      </patternFill>
    </fill>
    <fill>
      <patternFill patternType="solid">
        <fgColor theme="2"/>
        <bgColor indexed="64"/>
      </patternFill>
    </fill>
    <fill>
      <patternFill patternType="solid">
        <fgColor theme="4"/>
        <bgColor indexed="64"/>
      </patternFill>
    </fill>
    <fill>
      <patternFill patternType="gray0625"/>
    </fill>
    <fill>
      <patternFill patternType="solid">
        <fgColor theme="1"/>
        <bgColor indexed="64"/>
      </patternFill>
    </fill>
    <fill>
      <patternFill patternType="solid">
        <fgColor theme="6" tint="0.39997558519241921"/>
        <bgColor indexed="64"/>
      </patternFill>
    </fill>
    <fill>
      <patternFill patternType="solid">
        <fgColor rgb="FF00B050"/>
        <bgColor indexed="64"/>
      </patternFill>
    </fill>
    <fill>
      <patternFill patternType="solid">
        <fgColor rgb="FFD9E1F2"/>
        <bgColor indexed="64"/>
      </patternFill>
    </fill>
  </fills>
  <borders count="9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medium">
        <color indexed="64"/>
      </left>
      <right/>
      <top style="medium">
        <color indexed="64"/>
      </top>
      <bottom style="medium">
        <color indexed="64"/>
      </bottom>
      <diagonal/>
    </border>
    <border>
      <left/>
      <right/>
      <top style="dotted">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tted">
        <color indexed="64"/>
      </right>
      <top/>
      <bottom/>
      <diagonal/>
    </border>
    <border>
      <left style="hair">
        <color indexed="64"/>
      </left>
      <right style="hair">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thick">
        <color indexed="64"/>
      </bottom>
      <diagonal/>
    </border>
    <border>
      <left/>
      <right style="medium">
        <color indexed="64"/>
      </right>
      <top style="medium">
        <color indexed="64"/>
      </top>
      <bottom style="medium">
        <color indexed="64"/>
      </bottom>
      <diagonal/>
    </border>
    <border>
      <left/>
      <right/>
      <top/>
      <bottom style="dotted">
        <color rgb="FF004984"/>
      </bottom>
      <diagonal/>
    </border>
    <border>
      <left style="medium">
        <color rgb="FF004984"/>
      </left>
      <right/>
      <top/>
      <bottom/>
      <diagonal/>
    </border>
    <border>
      <left/>
      <right style="medium">
        <color rgb="FF004984"/>
      </right>
      <top/>
      <bottom/>
      <diagonal/>
    </border>
    <border>
      <left style="medium">
        <color rgb="FF004984"/>
      </left>
      <right/>
      <top/>
      <bottom style="medium">
        <color rgb="FF004984"/>
      </bottom>
      <diagonal/>
    </border>
    <border>
      <left/>
      <right/>
      <top/>
      <bottom style="medium">
        <color rgb="FF004984"/>
      </bottom>
      <diagonal/>
    </border>
    <border>
      <left/>
      <right style="medium">
        <color rgb="FF004984"/>
      </right>
      <top/>
      <bottom style="medium">
        <color rgb="FF004984"/>
      </bottom>
      <diagonal/>
    </border>
    <border>
      <left/>
      <right/>
      <top style="thin">
        <color theme="0"/>
      </top>
      <bottom style="thin">
        <color theme="0"/>
      </bottom>
      <diagonal/>
    </border>
    <border>
      <left style="medium">
        <color indexed="64"/>
      </left>
      <right/>
      <top style="thin">
        <color theme="0"/>
      </top>
      <bottom style="thin">
        <color theme="0"/>
      </bottom>
      <diagonal/>
    </border>
    <border>
      <left/>
      <right/>
      <top style="thick">
        <color rgb="FF004984"/>
      </top>
      <bottom/>
      <diagonal/>
    </border>
    <border>
      <left/>
      <right style="thin">
        <color theme="0"/>
      </right>
      <top/>
      <bottom/>
      <diagonal/>
    </border>
    <border>
      <left style="thin">
        <color theme="0"/>
      </left>
      <right/>
      <top/>
      <bottom/>
      <diagonal/>
    </border>
    <border>
      <left style="thin">
        <color theme="0"/>
      </left>
      <right/>
      <top style="thin">
        <color theme="0"/>
      </top>
      <bottom style="thin">
        <color theme="0"/>
      </bottom>
      <diagonal/>
    </border>
    <border>
      <left/>
      <right style="medium">
        <color indexed="64"/>
      </right>
      <top style="thin">
        <color theme="0"/>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top style="thin">
        <color theme="0"/>
      </top>
      <bottom/>
      <diagonal/>
    </border>
    <border>
      <left/>
      <right style="medium">
        <color indexed="64"/>
      </right>
      <top style="thin">
        <color theme="0"/>
      </top>
      <bottom/>
      <diagonal/>
    </border>
    <border>
      <left style="medium">
        <color indexed="64"/>
      </left>
      <right/>
      <top style="thin">
        <color theme="0"/>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bottom style="thin">
        <color theme="0"/>
      </bottom>
      <diagonal/>
    </border>
    <border>
      <left/>
      <right style="dashed">
        <color theme="0"/>
      </right>
      <top style="thin">
        <color theme="0"/>
      </top>
      <bottom style="thin">
        <color theme="0"/>
      </bottom>
      <diagonal/>
    </border>
    <border>
      <left style="medium">
        <color rgb="FF004984"/>
      </left>
      <right/>
      <top/>
      <bottom style="dotted">
        <color indexed="64"/>
      </bottom>
      <diagonal/>
    </border>
    <border>
      <left/>
      <right style="medium">
        <color rgb="FF004984"/>
      </right>
      <top/>
      <bottom style="dotted">
        <color indexed="64"/>
      </bottom>
      <diagonal/>
    </border>
    <border>
      <left style="medium">
        <color rgb="FF004984"/>
      </left>
      <right/>
      <top style="medium">
        <color rgb="FF004984"/>
      </top>
      <bottom/>
      <diagonal/>
    </border>
    <border>
      <left/>
      <right/>
      <top style="medium">
        <color rgb="FF004984"/>
      </top>
      <bottom/>
      <diagonal/>
    </border>
    <border>
      <left/>
      <right style="medium">
        <color rgb="FF004984"/>
      </right>
      <top style="medium">
        <color rgb="FF00498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22">
    <xf numFmtId="0" fontId="0"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4" fontId="5" fillId="0" borderId="0" applyFont="0" applyFill="0" applyBorder="0" applyAlignment="0" applyProtection="0"/>
    <xf numFmtId="0" fontId="10" fillId="0" borderId="0"/>
    <xf numFmtId="0" fontId="10" fillId="0" borderId="0"/>
    <xf numFmtId="0" fontId="10"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0" fontId="2" fillId="0" borderId="0"/>
    <xf numFmtId="43" fontId="5" fillId="0" borderId="0" applyFont="0" applyFill="0" applyBorder="0" applyAlignment="0" applyProtection="0"/>
    <xf numFmtId="0" fontId="75" fillId="0" borderId="0"/>
    <xf numFmtId="44" fontId="5" fillId="0" borderId="0" applyFont="0" applyFill="0" applyBorder="0" applyAlignment="0" applyProtection="0"/>
  </cellStyleXfs>
  <cellXfs count="794">
    <xf numFmtId="0" fontId="0" fillId="0" borderId="0" xfId="0"/>
    <xf numFmtId="0" fontId="0" fillId="0" borderId="0" xfId="0" applyProtection="1">
      <protection hidden="1"/>
    </xf>
    <xf numFmtId="0" fontId="0" fillId="0" borderId="0" xfId="0" applyAlignment="1">
      <alignment horizontal="left"/>
    </xf>
    <xf numFmtId="0" fontId="6" fillId="0" borderId="0" xfId="0" applyFont="1" applyProtection="1">
      <protection hidden="1"/>
    </xf>
    <xf numFmtId="0" fontId="0" fillId="0" borderId="12" xfId="0" applyBorder="1" applyProtection="1">
      <protection hidden="1"/>
    </xf>
    <xf numFmtId="0" fontId="0" fillId="0" borderId="14" xfId="0" applyBorder="1" applyProtection="1">
      <protection hidden="1"/>
    </xf>
    <xf numFmtId="0" fontId="0" fillId="0" borderId="0" xfId="0" applyProtection="1">
      <protection locked="0" hidden="1"/>
    </xf>
    <xf numFmtId="49" fontId="0" fillId="0" borderId="0" xfId="0" applyNumberFormat="1"/>
    <xf numFmtId="0" fontId="0" fillId="0" borderId="3" xfId="0" applyBorder="1" applyProtection="1">
      <protection hidden="1"/>
    </xf>
    <xf numFmtId="0" fontId="0" fillId="0" borderId="0" xfId="0" applyAlignment="1" applyProtection="1">
      <alignment vertical="center"/>
      <protection hidden="1"/>
    </xf>
    <xf numFmtId="0" fontId="6" fillId="0" borderId="0" xfId="0" applyFont="1"/>
    <xf numFmtId="0" fontId="12" fillId="0" borderId="0" xfId="0" applyFont="1" applyProtection="1">
      <protection hidden="1"/>
    </xf>
    <xf numFmtId="0" fontId="21" fillId="0" borderId="0" xfId="0" applyFont="1" applyProtection="1">
      <protection hidden="1"/>
    </xf>
    <xf numFmtId="49" fontId="12" fillId="0" borderId="0" xfId="0" applyNumberFormat="1" applyFont="1" applyProtection="1">
      <protection hidden="1"/>
    </xf>
    <xf numFmtId="0" fontId="0" fillId="0" borderId="0" xfId="0" applyAlignment="1" applyProtection="1">
      <alignment horizontal="left"/>
      <protection hidden="1"/>
    </xf>
    <xf numFmtId="0" fontId="0" fillId="10" borderId="0" xfId="0" applyFill="1" applyProtection="1">
      <protection hidden="1"/>
    </xf>
    <xf numFmtId="49" fontId="12" fillId="10" borderId="0" xfId="0" applyNumberFormat="1" applyFont="1" applyFill="1" applyProtection="1">
      <protection hidden="1"/>
    </xf>
    <xf numFmtId="0" fontId="12" fillId="10" borderId="0" xfId="0" applyFont="1" applyFill="1" applyProtection="1">
      <protection hidden="1"/>
    </xf>
    <xf numFmtId="0" fontId="0" fillId="11" borderId="0" xfId="0" applyFill="1" applyProtection="1">
      <protection hidden="1"/>
    </xf>
    <xf numFmtId="0" fontId="28" fillId="0" borderId="0" xfId="0" applyFont="1" applyProtection="1">
      <protection hidden="1"/>
    </xf>
    <xf numFmtId="0" fontId="29" fillId="0" borderId="0" xfId="0" applyFont="1" applyProtection="1">
      <protection hidden="1"/>
    </xf>
    <xf numFmtId="0" fontId="30" fillId="0" borderId="0" xfId="9" applyFont="1" applyAlignment="1" applyProtection="1">
      <alignment horizontal="center" vertical="center"/>
      <protection hidden="1"/>
    </xf>
    <xf numFmtId="0" fontId="0" fillId="2" borderId="0" xfId="0" applyFill="1"/>
    <xf numFmtId="0" fontId="0" fillId="13" borderId="0" xfId="0" applyFill="1"/>
    <xf numFmtId="0" fontId="0" fillId="14" borderId="0" xfId="0" applyFill="1"/>
    <xf numFmtId="0" fontId="6" fillId="2" borderId="0" xfId="0" applyFont="1" applyFill="1"/>
    <xf numFmtId="0" fontId="0" fillId="14" borderId="0" xfId="0" applyFill="1" applyAlignment="1">
      <alignment horizontal="center"/>
    </xf>
    <xf numFmtId="0" fontId="0" fillId="15" borderId="0" xfId="0" applyFill="1"/>
    <xf numFmtId="0" fontId="0" fillId="16" borderId="0" xfId="0" applyFill="1"/>
    <xf numFmtId="0" fontId="13" fillId="0" borderId="0" xfId="0" applyFont="1" applyProtection="1">
      <protection hidden="1"/>
    </xf>
    <xf numFmtId="0" fontId="13" fillId="17" borderId="0" xfId="0" applyFont="1" applyFill="1" applyProtection="1">
      <protection hidden="1"/>
    </xf>
    <xf numFmtId="0" fontId="0" fillId="17" borderId="0" xfId="0" applyFill="1" applyProtection="1">
      <protection hidden="1"/>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5" borderId="29" xfId="0" applyFill="1" applyBorder="1" applyProtection="1">
      <protection hidden="1"/>
    </xf>
    <xf numFmtId="0" fontId="0" fillId="3" borderId="0" xfId="0" applyFill="1" applyAlignment="1">
      <alignment vertical="center"/>
    </xf>
    <xf numFmtId="0" fontId="11" fillId="17" borderId="0" xfId="7" applyFill="1" applyProtection="1">
      <protection hidden="1"/>
    </xf>
    <xf numFmtId="0" fontId="11" fillId="10" borderId="0" xfId="7" applyFill="1" applyProtection="1">
      <protection hidden="1"/>
    </xf>
    <xf numFmtId="0" fontId="0" fillId="0" borderId="29" xfId="0" applyBorder="1" applyProtection="1">
      <protection hidden="1"/>
    </xf>
    <xf numFmtId="49" fontId="12" fillId="0" borderId="29" xfId="0" applyNumberFormat="1" applyFont="1" applyBorder="1" applyProtection="1">
      <protection hidden="1"/>
    </xf>
    <xf numFmtId="0" fontId="12" fillId="0" borderId="29" xfId="0" applyFont="1" applyBorder="1" applyProtection="1">
      <protection hidden="1"/>
    </xf>
    <xf numFmtId="49" fontId="0" fillId="0" borderId="0" xfId="0" applyNumberFormat="1" applyProtection="1">
      <protection hidden="1"/>
    </xf>
    <xf numFmtId="0" fontId="0" fillId="17" borderId="0" xfId="0" applyFill="1" applyAlignment="1" applyProtection="1">
      <alignment wrapText="1"/>
      <protection hidden="1"/>
    </xf>
    <xf numFmtId="0" fontId="0" fillId="17" borderId="30" xfId="0" applyFill="1" applyBorder="1" applyProtection="1">
      <protection hidden="1"/>
    </xf>
    <xf numFmtId="0" fontId="0" fillId="0" borderId="8" xfId="0" applyBorder="1" applyProtection="1">
      <protection hidden="1"/>
    </xf>
    <xf numFmtId="0" fontId="0" fillId="17" borderId="8" xfId="0" applyFill="1" applyBorder="1" applyProtection="1">
      <protection hidden="1"/>
    </xf>
    <xf numFmtId="0" fontId="0" fillId="17" borderId="10" xfId="0" applyFill="1" applyBorder="1" applyProtection="1">
      <protection hidden="1"/>
    </xf>
    <xf numFmtId="0" fontId="9" fillId="0" borderId="0" xfId="0" applyFont="1" applyProtection="1">
      <protection hidden="1"/>
    </xf>
    <xf numFmtId="0" fontId="6" fillId="0" borderId="0" xfId="0" applyFont="1" applyAlignment="1" applyProtection="1">
      <alignment horizontal="left"/>
      <protection hidden="1"/>
    </xf>
    <xf numFmtId="0" fontId="9" fillId="17" borderId="0" xfId="0" applyFont="1" applyFill="1" applyAlignment="1" applyProtection="1">
      <alignment horizontal="center" vertical="center"/>
      <protection hidden="1"/>
    </xf>
    <xf numFmtId="164" fontId="0" fillId="17" borderId="0" xfId="0" applyNumberFormat="1" applyFill="1" applyAlignment="1" applyProtection="1">
      <alignment horizontal="center" vertical="center"/>
      <protection hidden="1"/>
    </xf>
    <xf numFmtId="49" fontId="12" fillId="17" borderId="0" xfId="0" applyNumberFormat="1" applyFont="1" applyFill="1" applyProtection="1">
      <protection hidden="1"/>
    </xf>
    <xf numFmtId="0" fontId="12" fillId="17" borderId="0" xfId="0" applyFont="1" applyFill="1" applyProtection="1">
      <protection hidden="1"/>
    </xf>
    <xf numFmtId="0" fontId="0" fillId="0" borderId="0" xfId="0" applyAlignment="1" applyProtection="1">
      <alignment horizontal="left" vertical="center" indent="1"/>
      <protection hidden="1"/>
    </xf>
    <xf numFmtId="0" fontId="0" fillId="5" borderId="31" xfId="0" applyFill="1" applyBorder="1" applyProtection="1">
      <protection hidden="1"/>
    </xf>
    <xf numFmtId="0" fontId="33" fillId="0" borderId="0" xfId="1" applyFont="1" applyFill="1" applyBorder="1" applyAlignment="1" applyProtection="1">
      <alignment vertical="center"/>
      <protection hidden="1"/>
    </xf>
    <xf numFmtId="0" fontId="14" fillId="0" borderId="0" xfId="0" applyFont="1" applyAlignment="1" applyProtection="1">
      <alignment vertical="top"/>
      <protection hidden="1"/>
    </xf>
    <xf numFmtId="0" fontId="11" fillId="17" borderId="0" xfId="7" applyFill="1" applyAlignment="1" applyProtection="1">
      <alignment vertical="center"/>
      <protection hidden="1"/>
    </xf>
    <xf numFmtId="49" fontId="12" fillId="0" borderId="0" xfId="0" applyNumberFormat="1" applyFont="1" applyAlignment="1" applyProtection="1">
      <alignment vertical="center"/>
      <protection hidden="1"/>
    </xf>
    <xf numFmtId="0" fontId="12" fillId="0" borderId="0" xfId="0" applyFont="1" applyAlignment="1" applyProtection="1">
      <alignment vertical="center"/>
      <protection hidden="1"/>
    </xf>
    <xf numFmtId="0" fontId="0" fillId="12" borderId="1" xfId="0" applyFill="1" applyBorder="1" applyAlignment="1" applyProtection="1">
      <alignment vertical="center"/>
      <protection hidden="1"/>
    </xf>
    <xf numFmtId="0" fontId="0" fillId="12" borderId="15" xfId="0" applyFill="1" applyBorder="1" applyAlignment="1" applyProtection="1">
      <alignment vertical="center"/>
      <protection hidden="1"/>
    </xf>
    <xf numFmtId="0" fontId="0" fillId="18" borderId="15" xfId="0" applyFill="1" applyBorder="1" applyAlignment="1" applyProtection="1">
      <alignment vertical="center"/>
      <protection hidden="1"/>
    </xf>
    <xf numFmtId="49" fontId="12" fillId="12" borderId="15" xfId="0" applyNumberFormat="1" applyFont="1" applyFill="1" applyBorder="1" applyAlignment="1" applyProtection="1">
      <alignment vertical="center"/>
      <protection hidden="1"/>
    </xf>
    <xf numFmtId="0" fontId="12" fillId="12" borderId="19" xfId="0" applyFont="1" applyFill="1" applyBorder="1" applyAlignment="1" applyProtection="1">
      <alignment vertical="center"/>
      <protection hidden="1"/>
    </xf>
    <xf numFmtId="0" fontId="0" fillId="12" borderId="2" xfId="0" applyFill="1" applyBorder="1" applyAlignment="1" applyProtection="1">
      <alignment vertical="center"/>
      <protection hidden="1"/>
    </xf>
    <xf numFmtId="0" fontId="0" fillId="12" borderId="22" xfId="0" applyFill="1" applyBorder="1" applyAlignment="1" applyProtection="1">
      <alignment vertical="center"/>
      <protection hidden="1"/>
    </xf>
    <xf numFmtId="0" fontId="0" fillId="0" borderId="1" xfId="0" applyBorder="1" applyAlignment="1" applyProtection="1">
      <alignment vertical="center"/>
      <protection hidden="1"/>
    </xf>
    <xf numFmtId="0" fontId="0" fillId="0" borderId="15" xfId="0" applyBorder="1" applyAlignment="1" applyProtection="1">
      <alignment vertical="center"/>
      <protection hidden="1"/>
    </xf>
    <xf numFmtId="0" fontId="0" fillId="17" borderId="15" xfId="0" applyFill="1" applyBorder="1" applyAlignment="1" applyProtection="1">
      <alignment vertical="center"/>
      <protection hidden="1"/>
    </xf>
    <xf numFmtId="49" fontId="12" fillId="17" borderId="15" xfId="0" applyNumberFormat="1" applyFont="1" applyFill="1" applyBorder="1" applyAlignment="1" applyProtection="1">
      <alignment vertical="center"/>
      <protection hidden="1"/>
    </xf>
    <xf numFmtId="0" fontId="0" fillId="0" borderId="2" xfId="0" applyBorder="1" applyAlignment="1" applyProtection="1">
      <alignment vertical="center"/>
      <protection hidden="1"/>
    </xf>
    <xf numFmtId="0" fontId="0" fillId="12" borderId="21" xfId="0" applyFill="1" applyBorder="1" applyAlignment="1" applyProtection="1">
      <alignment vertical="center"/>
      <protection hidden="1"/>
    </xf>
    <xf numFmtId="0" fontId="13" fillId="17" borderId="0" xfId="0" applyFont="1" applyFill="1" applyAlignment="1" applyProtection="1">
      <alignment vertical="center"/>
      <protection hidden="1"/>
    </xf>
    <xf numFmtId="0" fontId="0" fillId="12" borderId="28" xfId="0" applyFill="1" applyBorder="1" applyAlignment="1" applyProtection="1">
      <alignment vertical="center"/>
      <protection hidden="1"/>
    </xf>
    <xf numFmtId="0" fontId="0" fillId="18" borderId="28" xfId="0" applyFill="1" applyBorder="1" applyAlignment="1" applyProtection="1">
      <alignment vertical="center"/>
      <protection hidden="1"/>
    </xf>
    <xf numFmtId="0" fontId="0" fillId="18" borderId="22" xfId="0" applyFill="1" applyBorder="1" applyAlignment="1" applyProtection="1">
      <alignment vertical="center"/>
      <protection hidden="1"/>
    </xf>
    <xf numFmtId="0" fontId="0" fillId="0" borderId="22" xfId="0" applyBorder="1" applyAlignment="1" applyProtection="1">
      <alignment vertical="center"/>
      <protection hidden="1"/>
    </xf>
    <xf numFmtId="0" fontId="0" fillId="0" borderId="21" xfId="0" applyBorder="1" applyAlignment="1" applyProtection="1">
      <alignment vertical="center"/>
      <protection hidden="1"/>
    </xf>
    <xf numFmtId="0" fontId="0" fillId="17" borderId="21" xfId="0" applyFill="1" applyBorder="1" applyAlignment="1" applyProtection="1">
      <alignment vertical="center"/>
      <protection hidden="1"/>
    </xf>
    <xf numFmtId="0" fontId="0" fillId="17" borderId="22" xfId="0" applyFill="1" applyBorder="1" applyAlignment="1" applyProtection="1">
      <alignment vertical="center"/>
      <protection hidden="1"/>
    </xf>
    <xf numFmtId="0" fontId="0" fillId="18" borderId="21" xfId="0" applyFill="1" applyBorder="1" applyAlignment="1" applyProtection="1">
      <alignment vertical="center"/>
      <protection hidden="1"/>
    </xf>
    <xf numFmtId="0" fontId="0" fillId="0" borderId="23" xfId="0" applyBorder="1" applyAlignment="1" applyProtection="1">
      <alignment vertical="center"/>
      <protection hidden="1"/>
    </xf>
    <xf numFmtId="0" fontId="0" fillId="0" borderId="13" xfId="0" applyBorder="1" applyAlignment="1" applyProtection="1">
      <alignment vertical="center"/>
      <protection hidden="1"/>
    </xf>
    <xf numFmtId="0" fontId="0" fillId="17" borderId="13" xfId="0" applyFill="1" applyBorder="1" applyAlignment="1" applyProtection="1">
      <alignment vertical="center"/>
      <protection hidden="1"/>
    </xf>
    <xf numFmtId="49" fontId="12" fillId="17" borderId="13" xfId="0" applyNumberFormat="1" applyFont="1" applyFill="1" applyBorder="1" applyAlignment="1" applyProtection="1">
      <alignment vertical="center"/>
      <protection hidden="1"/>
    </xf>
    <xf numFmtId="0" fontId="0" fillId="0" borderId="24" xfId="0" applyBorder="1" applyAlignment="1" applyProtection="1">
      <alignment vertical="center"/>
      <protection hidden="1"/>
    </xf>
    <xf numFmtId="0" fontId="0" fillId="12" borderId="23" xfId="0" applyFill="1" applyBorder="1" applyAlignment="1" applyProtection="1">
      <alignment vertical="center"/>
      <protection hidden="1"/>
    </xf>
    <xf numFmtId="0" fontId="0" fillId="12" borderId="13" xfId="0" applyFill="1" applyBorder="1" applyAlignment="1" applyProtection="1">
      <alignment vertical="center"/>
      <protection hidden="1"/>
    </xf>
    <xf numFmtId="0" fontId="0" fillId="18" borderId="13" xfId="0" applyFill="1" applyBorder="1" applyAlignment="1" applyProtection="1">
      <alignment vertical="center"/>
      <protection hidden="1"/>
    </xf>
    <xf numFmtId="49" fontId="12" fillId="12" borderId="13" xfId="0" applyNumberFormat="1" applyFont="1" applyFill="1" applyBorder="1" applyAlignment="1" applyProtection="1">
      <alignment vertical="center"/>
      <protection hidden="1"/>
    </xf>
    <xf numFmtId="0" fontId="0" fillId="12" borderId="24" xfId="0" applyFill="1" applyBorder="1" applyAlignment="1" applyProtection="1">
      <alignment vertical="center"/>
      <protection hidden="1"/>
    </xf>
    <xf numFmtId="0" fontId="26" fillId="0" borderId="0" xfId="0" applyFont="1" applyAlignment="1" applyProtection="1">
      <alignment vertical="center"/>
      <protection hidden="1"/>
    </xf>
    <xf numFmtId="0" fontId="34" fillId="0" borderId="0" xfId="0" applyFont="1" applyProtection="1">
      <protection hidden="1"/>
    </xf>
    <xf numFmtId="0" fontId="34" fillId="17" borderId="0" xfId="0" applyFont="1" applyFill="1" applyProtection="1">
      <protection hidden="1"/>
    </xf>
    <xf numFmtId="0" fontId="35" fillId="0" borderId="0" xfId="0" applyFont="1" applyAlignment="1" applyProtection="1">
      <alignment vertical="center"/>
      <protection hidden="1"/>
    </xf>
    <xf numFmtId="0" fontId="35" fillId="5" borderId="57" xfId="0" applyFont="1" applyFill="1" applyBorder="1" applyAlignment="1" applyProtection="1">
      <alignment vertical="center"/>
      <protection hidden="1"/>
    </xf>
    <xf numFmtId="0" fontId="35" fillId="0" borderId="57" xfId="0" applyFont="1" applyBorder="1" applyAlignment="1" applyProtection="1">
      <alignment vertical="center"/>
      <protection hidden="1"/>
    </xf>
    <xf numFmtId="0" fontId="0" fillId="17" borderId="0" xfId="0" applyFill="1" applyAlignment="1" applyProtection="1">
      <alignment vertical="center"/>
      <protection hidden="1"/>
    </xf>
    <xf numFmtId="0" fontId="11" fillId="0" borderId="0" xfId="7" applyAlignment="1" applyProtection="1">
      <alignment vertical="center"/>
      <protection hidden="1"/>
    </xf>
    <xf numFmtId="0" fontId="36" fillId="0" borderId="0" xfId="8" applyFont="1" applyAlignment="1" applyProtection="1">
      <alignment vertical="center" wrapText="1"/>
      <protection hidden="1"/>
    </xf>
    <xf numFmtId="0" fontId="31" fillId="0" borderId="0" xfId="0" applyFont="1" applyAlignment="1" applyProtection="1">
      <alignment vertical="center"/>
      <protection hidden="1"/>
    </xf>
    <xf numFmtId="0" fontId="37" fillId="17" borderId="0" xfId="7" applyFont="1" applyFill="1" applyAlignment="1" applyProtection="1">
      <alignment vertical="center"/>
      <protection hidden="1"/>
    </xf>
    <xf numFmtId="0" fontId="37" fillId="0" borderId="0" xfId="7" applyFont="1" applyAlignment="1" applyProtection="1">
      <alignment vertical="center"/>
      <protection hidden="1"/>
    </xf>
    <xf numFmtId="0" fontId="38" fillId="17" borderId="0" xfId="7" applyFont="1" applyFill="1" applyAlignment="1" applyProtection="1">
      <alignment vertical="center"/>
      <protection hidden="1"/>
    </xf>
    <xf numFmtId="0" fontId="35" fillId="0" borderId="58" xfId="0" applyFont="1" applyBorder="1" applyAlignment="1" applyProtection="1">
      <alignment vertical="center"/>
      <protection hidden="1"/>
    </xf>
    <xf numFmtId="0" fontId="35" fillId="0" borderId="11" xfId="0" applyFont="1" applyBorder="1" applyAlignment="1" applyProtection="1">
      <alignment vertical="center"/>
      <protection hidden="1"/>
    </xf>
    <xf numFmtId="0" fontId="0" fillId="0" borderId="59" xfId="0" applyBorder="1" applyProtection="1">
      <protection hidden="1"/>
    </xf>
    <xf numFmtId="49" fontId="12" fillId="0" borderId="59" xfId="0" applyNumberFormat="1" applyFont="1" applyBorder="1" applyProtection="1">
      <protection hidden="1"/>
    </xf>
    <xf numFmtId="0" fontId="12" fillId="0" borderId="59" xfId="0" applyFont="1" applyBorder="1" applyProtection="1">
      <protection hidden="1"/>
    </xf>
    <xf numFmtId="0" fontId="0" fillId="0" borderId="0" xfId="0" applyAlignment="1" applyProtection="1">
      <alignment vertical="center"/>
      <protection locked="0" hidden="1"/>
    </xf>
    <xf numFmtId="0" fontId="13" fillId="0" borderId="15" xfId="0" applyFont="1" applyBorder="1" applyAlignment="1" applyProtection="1">
      <alignment vertical="center"/>
      <protection hidden="1"/>
    </xf>
    <xf numFmtId="0" fontId="25" fillId="0" borderId="0" xfId="0" applyFont="1" applyAlignment="1" applyProtection="1">
      <alignment vertical="center"/>
      <protection hidden="1"/>
    </xf>
    <xf numFmtId="0" fontId="35" fillId="0" borderId="57" xfId="0" applyFont="1" applyBorder="1" applyAlignment="1" applyProtection="1">
      <alignment horizontal="left" vertical="center" indent="1"/>
      <protection hidden="1"/>
    </xf>
    <xf numFmtId="0" fontId="0" fillId="0" borderId="0" xfId="0" applyAlignment="1" applyProtection="1">
      <alignment horizontal="left" indent="1"/>
      <protection hidden="1"/>
    </xf>
    <xf numFmtId="0" fontId="0" fillId="0" borderId="60" xfId="0" applyBorder="1" applyProtection="1">
      <protection hidden="1"/>
    </xf>
    <xf numFmtId="0" fontId="0" fillId="0" borderId="61" xfId="0" applyBorder="1" applyAlignment="1" applyProtection="1">
      <alignment horizontal="left" indent="1"/>
      <protection hidden="1"/>
    </xf>
    <xf numFmtId="0" fontId="35" fillId="0" borderId="62" xfId="0" applyFont="1" applyBorder="1" applyAlignment="1" applyProtection="1">
      <alignment horizontal="left" vertical="center" indent="1"/>
      <protection hidden="1"/>
    </xf>
    <xf numFmtId="0" fontId="0" fillId="0" borderId="61" xfId="0" applyBorder="1" applyProtection="1">
      <protection hidden="1"/>
    </xf>
    <xf numFmtId="0" fontId="39" fillId="0" borderId="0" xfId="0" applyFont="1" applyAlignment="1" applyProtection="1">
      <alignment vertical="center"/>
      <protection hidden="1"/>
    </xf>
    <xf numFmtId="9" fontId="28"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49" fontId="12" fillId="11" borderId="0" xfId="0" applyNumberFormat="1" applyFont="1" applyFill="1" applyProtection="1">
      <protection hidden="1"/>
    </xf>
    <xf numFmtId="0" fontId="12" fillId="11" borderId="0" xfId="0" applyFont="1" applyFill="1" applyProtection="1">
      <protection hidden="1"/>
    </xf>
    <xf numFmtId="0" fontId="0" fillId="20" borderId="31" xfId="0" applyFill="1" applyBorder="1" applyProtection="1">
      <protection hidden="1"/>
    </xf>
    <xf numFmtId="0" fontId="11" fillId="17" borderId="0" xfId="7" applyFill="1" applyProtection="1">
      <protection locked="0" hidden="1"/>
    </xf>
    <xf numFmtId="0" fontId="11" fillId="0" borderId="0" xfId="7" applyProtection="1">
      <protection locked="0" hidden="1"/>
    </xf>
    <xf numFmtId="0" fontId="11" fillId="10" borderId="0" xfId="7" applyFill="1" applyProtection="1">
      <protection locked="0" hidden="1"/>
    </xf>
    <xf numFmtId="0" fontId="8" fillId="0" borderId="0" xfId="2" applyFill="1" applyAlignment="1" applyProtection="1">
      <protection locked="0" hidden="1"/>
    </xf>
    <xf numFmtId="0" fontId="40" fillId="0" borderId="0" xfId="0" applyFont="1" applyProtection="1">
      <protection locked="0" hidden="1"/>
    </xf>
    <xf numFmtId="0" fontId="41" fillId="0" borderId="0" xfId="7" applyFont="1" applyProtection="1">
      <protection locked="0" hidden="1"/>
    </xf>
    <xf numFmtId="0" fontId="0" fillId="0" borderId="0" xfId="0" applyProtection="1">
      <protection locked="0"/>
    </xf>
    <xf numFmtId="0" fontId="14" fillId="0" borderId="0" xfId="0" applyFont="1" applyProtection="1">
      <protection locked="0"/>
    </xf>
    <xf numFmtId="0" fontId="42" fillId="0" borderId="0" xfId="0" applyFont="1" applyAlignment="1" applyProtection="1">
      <alignment horizontal="center" vertical="center" textRotation="90" wrapText="1"/>
      <protection locked="0"/>
    </xf>
    <xf numFmtId="0" fontId="43" fillId="0" borderId="0" xfId="0" applyFont="1" applyAlignment="1" applyProtection="1">
      <alignment vertical="center"/>
      <protection hidden="1"/>
    </xf>
    <xf numFmtId="0" fontId="44" fillId="0" borderId="0" xfId="0" applyFont="1" applyAlignment="1" applyProtection="1">
      <alignment vertical="center"/>
      <protection hidden="1"/>
    </xf>
    <xf numFmtId="0" fontId="21" fillId="0" borderId="0" xfId="0" applyFont="1" applyAlignment="1" applyProtection="1">
      <alignment vertical="center"/>
      <protection locked="0" hidden="1"/>
    </xf>
    <xf numFmtId="0" fontId="37" fillId="17" borderId="0" xfId="7" applyFont="1" applyFill="1" applyAlignment="1" applyProtection="1">
      <alignment vertical="center"/>
      <protection locked="0" hidden="1"/>
    </xf>
    <xf numFmtId="0" fontId="12" fillId="0" borderId="0" xfId="0" applyFont="1" applyAlignment="1" applyProtection="1">
      <alignment vertical="center"/>
      <protection locked="0" hidden="1"/>
    </xf>
    <xf numFmtId="49" fontId="12" fillId="0" borderId="0" xfId="0" applyNumberFormat="1" applyFont="1" applyAlignment="1" applyProtection="1">
      <alignment vertical="center"/>
      <protection locked="0" hidden="1"/>
    </xf>
    <xf numFmtId="0" fontId="37" fillId="0" borderId="0" xfId="7" applyFont="1" applyAlignment="1" applyProtection="1">
      <alignment vertical="center"/>
      <protection locked="0" hidden="1"/>
    </xf>
    <xf numFmtId="0" fontId="21" fillId="17" borderId="0" xfId="0" applyFont="1" applyFill="1" applyAlignment="1" applyProtection="1">
      <alignment vertical="center"/>
      <protection locked="0" hidden="1"/>
    </xf>
    <xf numFmtId="0" fontId="0" fillId="17" borderId="0" xfId="0" applyFill="1" applyAlignment="1" applyProtection="1">
      <alignment vertical="center"/>
      <protection locked="0" hidden="1"/>
    </xf>
    <xf numFmtId="0" fontId="45" fillId="17" borderId="0" xfId="0" applyFont="1" applyFill="1" applyAlignment="1" applyProtection="1">
      <alignment vertical="center" wrapText="1"/>
      <protection locked="0" hidden="1"/>
    </xf>
    <xf numFmtId="0" fontId="12" fillId="17" borderId="0" xfId="0" applyFont="1" applyFill="1" applyAlignment="1" applyProtection="1">
      <alignment vertical="center"/>
      <protection locked="0" hidden="1"/>
    </xf>
    <xf numFmtId="0" fontId="26" fillId="17" borderId="0" xfId="0" applyFont="1" applyFill="1" applyAlignment="1" applyProtection="1">
      <alignment vertical="center"/>
      <protection locked="0" hidden="1"/>
    </xf>
    <xf numFmtId="0" fontId="28" fillId="0" borderId="0" xfId="0" applyFont="1" applyAlignment="1" applyProtection="1">
      <alignment vertical="center"/>
      <protection locked="0" hidden="1"/>
    </xf>
    <xf numFmtId="0" fontId="26" fillId="0" borderId="0" xfId="0" applyFont="1" applyAlignment="1" applyProtection="1">
      <alignment vertical="center"/>
      <protection locked="0" hidden="1"/>
    </xf>
    <xf numFmtId="0" fontId="31" fillId="0" borderId="0" xfId="0" applyFont="1" applyAlignment="1" applyProtection="1">
      <alignment vertical="center"/>
      <protection locked="0" hidden="1"/>
    </xf>
    <xf numFmtId="0" fontId="36" fillId="0" borderId="0" xfId="8" applyFont="1" applyAlignment="1" applyProtection="1">
      <alignment vertical="center" wrapText="1"/>
      <protection locked="0" hidden="1"/>
    </xf>
    <xf numFmtId="0" fontId="32" fillId="0" borderId="0" xfId="7" applyFont="1" applyProtection="1">
      <protection locked="0" hidden="1"/>
    </xf>
    <xf numFmtId="0" fontId="35" fillId="0" borderId="63" xfId="0" applyFont="1" applyBorder="1" applyAlignment="1" applyProtection="1">
      <alignment vertical="center"/>
      <protection hidden="1"/>
    </xf>
    <xf numFmtId="0" fontId="23" fillId="0" borderId="0" xfId="0" applyFont="1" applyProtection="1">
      <protection locked="0"/>
    </xf>
    <xf numFmtId="0" fontId="24" fillId="0" borderId="0" xfId="0" applyFont="1" applyProtection="1">
      <protection locked="0"/>
    </xf>
    <xf numFmtId="0" fontId="17" fillId="0" borderId="0" xfId="0" applyFont="1" applyProtection="1">
      <protection locked="0"/>
    </xf>
    <xf numFmtId="0" fontId="16" fillId="0" borderId="0" xfId="0" applyFont="1" applyAlignment="1" applyProtection="1">
      <alignment vertical="center"/>
      <protection locked="0" hidden="1"/>
    </xf>
    <xf numFmtId="49" fontId="16" fillId="0" borderId="0" xfId="0" applyNumberFormat="1" applyFont="1" applyAlignment="1" applyProtection="1">
      <alignment vertical="center"/>
      <protection locked="0" hidden="1"/>
    </xf>
    <xf numFmtId="0" fontId="6" fillId="0" borderId="0" xfId="0" applyFont="1" applyAlignment="1">
      <alignment horizontal="right" vertical="center"/>
    </xf>
    <xf numFmtId="0" fontId="0" fillId="0" borderId="0" xfId="0" applyAlignment="1" applyProtection="1">
      <alignment horizontal="center" vertical="center"/>
      <protection hidden="1"/>
    </xf>
    <xf numFmtId="0" fontId="29" fillId="0" borderId="0" xfId="0" applyFont="1" applyAlignment="1" applyProtection="1">
      <alignment horizontal="center" vertical="center"/>
      <protection hidden="1"/>
    </xf>
    <xf numFmtId="49" fontId="12" fillId="0" borderId="0" xfId="0" applyNumberFormat="1" applyFont="1" applyAlignment="1" applyProtection="1">
      <alignment horizontal="center" vertical="center"/>
      <protection hidden="1"/>
    </xf>
    <xf numFmtId="0" fontId="12" fillId="0" borderId="0" xfId="0" applyFont="1" applyAlignment="1" applyProtection="1">
      <alignment horizontal="center" vertical="center"/>
      <protection hidden="1"/>
    </xf>
    <xf numFmtId="0" fontId="12" fillId="21" borderId="0" xfId="0" applyFont="1" applyFill="1" applyAlignment="1" applyProtection="1">
      <alignment vertical="center"/>
      <protection locked="0" hidden="1"/>
    </xf>
    <xf numFmtId="0" fontId="0" fillId="0" borderId="12" xfId="0" applyBorder="1" applyAlignment="1" applyProtection="1">
      <alignment horizontal="center" vertical="center"/>
      <protection locked="0" hidden="1"/>
    </xf>
    <xf numFmtId="0" fontId="0" fillId="0" borderId="14" xfId="0" applyBorder="1" applyAlignment="1" applyProtection="1">
      <alignment horizontal="center" vertical="center"/>
      <protection locked="0" hidden="1"/>
    </xf>
    <xf numFmtId="0" fontId="0" fillId="0" borderId="0" xfId="0" applyAlignment="1" applyProtection="1">
      <alignment horizontal="center" vertical="center"/>
      <protection locked="0" hidden="1"/>
    </xf>
    <xf numFmtId="0" fontId="14" fillId="0" borderId="1" xfId="0" applyFont="1" applyBorder="1" applyProtection="1">
      <protection locked="0"/>
    </xf>
    <xf numFmtId="0" fontId="14" fillId="0" borderId="2" xfId="0" applyFont="1" applyBorder="1" applyProtection="1">
      <protection locked="0"/>
    </xf>
    <xf numFmtId="0" fontId="14" fillId="0" borderId="3" xfId="0" applyFont="1" applyBorder="1" applyProtection="1">
      <protection locked="0"/>
    </xf>
    <xf numFmtId="0" fontId="14" fillId="0" borderId="26"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lignment horizontal="right"/>
    </xf>
    <xf numFmtId="0" fontId="0" fillId="0" borderId="0" xfId="0" applyAlignment="1">
      <alignment horizontal="center"/>
    </xf>
    <xf numFmtId="0" fontId="0" fillId="0" borderId="0" xfId="0" applyAlignment="1" applyProtection="1">
      <alignment horizontal="left"/>
      <protection locked="0"/>
    </xf>
    <xf numFmtId="0" fontId="14" fillId="0" borderId="25" xfId="13" applyFont="1" applyBorder="1" applyAlignment="1" applyProtection="1">
      <alignment vertical="center"/>
      <protection locked="0"/>
    </xf>
    <xf numFmtId="0" fontId="14" fillId="0" borderId="3" xfId="13" applyFont="1" applyBorder="1" applyAlignment="1" applyProtection="1">
      <alignment vertical="center"/>
      <protection locked="0"/>
    </xf>
    <xf numFmtId="0" fontId="14" fillId="0" borderId="3" xfId="13" applyFont="1" applyBorder="1" applyAlignment="1" applyProtection="1">
      <alignment horizontal="left" vertical="center"/>
      <protection locked="0"/>
    </xf>
    <xf numFmtId="0" fontId="14" fillId="0" borderId="3" xfId="13" applyFont="1" applyBorder="1" applyAlignment="1" applyProtection="1">
      <alignment horizontal="left"/>
      <protection locked="0"/>
    </xf>
    <xf numFmtId="1" fontId="14" fillId="0" borderId="3" xfId="0" applyNumberFormat="1" applyFont="1" applyBorder="1" applyProtection="1">
      <protection locked="0"/>
    </xf>
    <xf numFmtId="0" fontId="14" fillId="0" borderId="0" xfId="13" applyFont="1" applyAlignment="1" applyProtection="1">
      <alignment horizontal="left" vertical="center"/>
      <protection locked="0"/>
    </xf>
    <xf numFmtId="0" fontId="14" fillId="0" borderId="0" xfId="13" applyFont="1" applyProtection="1">
      <protection locked="0"/>
    </xf>
    <xf numFmtId="2" fontId="14" fillId="0" borderId="0" xfId="0" applyNumberFormat="1" applyFont="1" applyProtection="1">
      <protection locked="0"/>
    </xf>
    <xf numFmtId="1" fontId="14" fillId="0" borderId="0" xfId="0" applyNumberFormat="1" applyFont="1" applyProtection="1">
      <protection locked="0"/>
    </xf>
    <xf numFmtId="0" fontId="14" fillId="0" borderId="0" xfId="13" applyFont="1" applyAlignment="1" applyProtection="1">
      <alignment vertical="center"/>
      <protection locked="0"/>
    </xf>
    <xf numFmtId="0" fontId="14" fillId="0" borderId="34" xfId="13" applyFont="1" applyBorder="1" applyProtection="1">
      <protection locked="0"/>
    </xf>
    <xf numFmtId="0" fontId="14" fillId="0" borderId="35" xfId="13" applyFont="1" applyBorder="1" applyProtection="1">
      <protection locked="0"/>
    </xf>
    <xf numFmtId="0" fontId="14" fillId="0" borderId="28" xfId="0" applyFont="1" applyBorder="1" applyProtection="1">
      <protection locked="0"/>
    </xf>
    <xf numFmtId="2" fontId="14" fillId="0" borderId="28" xfId="0" applyNumberFormat="1" applyFont="1" applyBorder="1" applyProtection="1">
      <protection locked="0"/>
    </xf>
    <xf numFmtId="1" fontId="14" fillId="0" borderId="28" xfId="0" applyNumberFormat="1" applyFont="1" applyBorder="1" applyProtection="1">
      <protection locked="0"/>
    </xf>
    <xf numFmtId="0" fontId="14" fillId="0" borderId="26" xfId="13" applyFont="1" applyBorder="1" applyProtection="1">
      <protection locked="0"/>
    </xf>
    <xf numFmtId="0" fontId="14" fillId="0" borderId="0" xfId="13" applyFont="1" applyAlignment="1" applyProtection="1">
      <alignment horizontal="left"/>
      <protection locked="0"/>
    </xf>
    <xf numFmtId="0" fontId="14" fillId="0" borderId="0" xfId="9" applyFont="1" applyAlignment="1" applyProtection="1">
      <alignment horizontal="left"/>
      <protection locked="0"/>
    </xf>
    <xf numFmtId="0" fontId="46" fillId="0" borderId="0" xfId="13" applyFont="1"/>
    <xf numFmtId="49" fontId="0" fillId="0" borderId="0" xfId="0" applyNumberFormat="1" applyProtection="1">
      <protection locked="0"/>
    </xf>
    <xf numFmtId="0" fontId="47" fillId="0" borderId="0" xfId="1" applyFont="1" applyFill="1" applyBorder="1" applyAlignment="1" applyProtection="1">
      <alignment horizontal="left"/>
      <protection locked="0"/>
    </xf>
    <xf numFmtId="0" fontId="0" fillId="0" borderId="0" xfId="0" applyAlignment="1" applyProtection="1">
      <alignment wrapText="1"/>
      <protection locked="0"/>
    </xf>
    <xf numFmtId="0" fontId="14" fillId="0" borderId="0" xfId="13" quotePrefix="1" applyFont="1" applyProtection="1">
      <protection locked="0"/>
    </xf>
    <xf numFmtId="0" fontId="48" fillId="0" borderId="0" xfId="0" applyFont="1"/>
    <xf numFmtId="0" fontId="49" fillId="10" borderId="0" xfId="7" applyFont="1" applyFill="1" applyAlignment="1" applyProtection="1">
      <alignment horizontal="center" vertical="center"/>
      <protection hidden="1"/>
    </xf>
    <xf numFmtId="0" fontId="50" fillId="0" borderId="0" xfId="0" applyFont="1" applyAlignment="1" applyProtection="1">
      <alignment horizontal="center" vertical="center" textRotation="90"/>
      <protection locked="0"/>
    </xf>
    <xf numFmtId="0" fontId="0" fillId="0" borderId="3" xfId="0" applyBorder="1" applyProtection="1">
      <protection locked="0"/>
    </xf>
    <xf numFmtId="0" fontId="41" fillId="0" borderId="0" xfId="7" applyFont="1" applyProtection="1">
      <protection hidden="1"/>
    </xf>
    <xf numFmtId="0" fontId="48" fillId="0" borderId="0" xfId="0" applyFont="1" applyAlignment="1">
      <alignment wrapText="1"/>
    </xf>
    <xf numFmtId="0" fontId="51" fillId="0" borderId="0" xfId="0" applyFont="1" applyAlignment="1">
      <alignment horizontal="left" vertical="center"/>
    </xf>
    <xf numFmtId="0" fontId="5" fillId="0" borderId="0" xfId="13" applyFont="1" applyAlignment="1" applyProtection="1">
      <alignment vertical="center"/>
      <protection locked="0"/>
    </xf>
    <xf numFmtId="0" fontId="20" fillId="0" borderId="0" xfId="0" applyFont="1" applyAlignment="1" applyProtection="1">
      <alignment horizontal="center" vertical="center"/>
      <protection hidden="1"/>
    </xf>
    <xf numFmtId="0" fontId="0" fillId="0" borderId="36" xfId="0" applyBorder="1"/>
    <xf numFmtId="0" fontId="0" fillId="0" borderId="28" xfId="0" applyBorder="1"/>
    <xf numFmtId="0" fontId="0" fillId="0" borderId="37" xfId="0" applyBorder="1"/>
    <xf numFmtId="0" fontId="0" fillId="0" borderId="0" xfId="0" applyAlignment="1">
      <alignment vertical="center" wrapText="1"/>
    </xf>
    <xf numFmtId="0" fontId="0" fillId="0" borderId="0" xfId="0" applyAlignment="1">
      <alignment wrapText="1"/>
    </xf>
    <xf numFmtId="0" fontId="0" fillId="22" borderId="0" xfId="0" applyFill="1" applyAlignment="1" applyProtection="1">
      <alignment vertical="center"/>
      <protection hidden="1"/>
    </xf>
    <xf numFmtId="0" fontId="52" fillId="0" borderId="0" xfId="0" applyFont="1" applyAlignment="1">
      <alignment horizontal="left" vertical="center"/>
    </xf>
    <xf numFmtId="0" fontId="0" fillId="16" borderId="0" xfId="0" applyFill="1" applyAlignment="1" applyProtection="1">
      <alignment vertical="center"/>
      <protection hidden="1"/>
    </xf>
    <xf numFmtId="0" fontId="30" fillId="22" borderId="58" xfId="0" applyFont="1" applyFill="1" applyBorder="1" applyAlignment="1" applyProtection="1">
      <alignment vertical="top"/>
      <protection hidden="1"/>
    </xf>
    <xf numFmtId="0" fontId="30" fillId="22" borderId="57" xfId="0" applyFont="1" applyFill="1" applyBorder="1" applyAlignment="1" applyProtection="1">
      <alignment vertical="top"/>
      <protection hidden="1"/>
    </xf>
    <xf numFmtId="0" fontId="30" fillId="22" borderId="57" xfId="0" applyFont="1" applyFill="1" applyBorder="1" applyProtection="1">
      <protection hidden="1"/>
    </xf>
    <xf numFmtId="0" fontId="35" fillId="0" borderId="58" xfId="0" applyFont="1" applyBorder="1" applyAlignment="1" applyProtection="1">
      <alignment horizontal="right" vertical="center"/>
      <protection hidden="1"/>
    </xf>
    <xf numFmtId="0" fontId="35" fillId="0" borderId="57" xfId="0" applyFont="1" applyBorder="1" applyAlignment="1" applyProtection="1">
      <alignment horizontal="right" vertical="center"/>
      <protection hidden="1"/>
    </xf>
    <xf numFmtId="0" fontId="53" fillId="0" borderId="0" xfId="0" applyFont="1" applyAlignment="1" applyProtection="1">
      <alignment horizontal="center" vertical="center" textRotation="90"/>
      <protection locked="0"/>
    </xf>
    <xf numFmtId="0" fontId="54" fillId="0" borderId="0" xfId="0" applyFont="1" applyAlignment="1">
      <alignment horizontal="left" vertical="center"/>
    </xf>
    <xf numFmtId="0" fontId="35" fillId="5" borderId="64" xfId="0" applyFont="1" applyFill="1" applyBorder="1" applyAlignment="1" applyProtection="1">
      <alignment vertical="center"/>
      <protection hidden="1"/>
    </xf>
    <xf numFmtId="0" fontId="45" fillId="0" borderId="0" xfId="0" applyFont="1"/>
    <xf numFmtId="0" fontId="0" fillId="0" borderId="38" xfId="0" applyBorder="1" applyAlignment="1" applyProtection="1">
      <alignment vertical="center"/>
      <protection hidden="1"/>
    </xf>
    <xf numFmtId="0" fontId="51" fillId="0" borderId="0" xfId="0" applyFont="1" applyAlignment="1">
      <alignment horizontal="left" vertical="center" wrapText="1"/>
    </xf>
    <xf numFmtId="0" fontId="5" fillId="0" borderId="0" xfId="13" applyFont="1" applyAlignment="1" applyProtection="1">
      <alignment horizontal="left"/>
      <protection locked="0"/>
    </xf>
    <xf numFmtId="0" fontId="71" fillId="0" borderId="0" xfId="0" applyFont="1" applyAlignment="1">
      <alignment vertical="center"/>
    </xf>
    <xf numFmtId="0" fontId="45" fillId="0" borderId="0" xfId="0" applyFont="1" applyProtection="1">
      <protection hidden="1"/>
    </xf>
    <xf numFmtId="0" fontId="0" fillId="0" borderId="0" xfId="0" applyAlignment="1" applyProtection="1">
      <alignment vertical="top"/>
      <protection hidden="1"/>
    </xf>
    <xf numFmtId="0" fontId="13" fillId="0" borderId="52" xfId="0" applyFont="1" applyBorder="1" applyProtection="1">
      <protection hidden="1"/>
    </xf>
    <xf numFmtId="0" fontId="13" fillId="0" borderId="53" xfId="0" applyFont="1" applyBorder="1" applyProtection="1">
      <protection hidden="1"/>
    </xf>
    <xf numFmtId="0" fontId="13" fillId="5" borderId="29" xfId="0" applyFont="1" applyFill="1" applyBorder="1" applyAlignment="1" applyProtection="1">
      <alignment horizontal="center" vertical="center"/>
      <protection hidden="1"/>
    </xf>
    <xf numFmtId="0" fontId="0" fillId="0" borderId="0" xfId="0" applyAlignment="1" applyProtection="1">
      <alignment horizontal="left" vertical="center" wrapText="1"/>
      <protection hidden="1"/>
    </xf>
    <xf numFmtId="0" fontId="0" fillId="0" borderId="0" xfId="0" applyAlignment="1" applyProtection="1">
      <alignment horizontal="left" vertical="center"/>
      <protection hidden="1"/>
    </xf>
    <xf numFmtId="0" fontId="6" fillId="0" borderId="0" xfId="0" applyFont="1" applyAlignment="1" applyProtection="1">
      <alignment vertical="center"/>
      <protection hidden="1"/>
    </xf>
    <xf numFmtId="0" fontId="19" fillId="0" borderId="0" xfId="0" applyFont="1" applyProtection="1">
      <protection hidden="1"/>
    </xf>
    <xf numFmtId="0" fontId="42" fillId="0" borderId="0" xfId="0" applyFont="1" applyProtection="1">
      <protection hidden="1"/>
    </xf>
    <xf numFmtId="0" fontId="0" fillId="17" borderId="31" xfId="0" applyFill="1" applyBorder="1" applyProtection="1">
      <protection hidden="1"/>
    </xf>
    <xf numFmtId="0" fontId="0" fillId="26" borderId="0" xfId="0" applyFill="1"/>
    <xf numFmtId="0" fontId="0" fillId="27" borderId="0" xfId="0" applyFill="1"/>
    <xf numFmtId="0" fontId="0" fillId="3" borderId="0" xfId="0" applyFill="1"/>
    <xf numFmtId="0" fontId="6" fillId="20" borderId="31" xfId="0" applyFont="1" applyFill="1" applyBorder="1" applyProtection="1">
      <protection hidden="1"/>
    </xf>
    <xf numFmtId="0" fontId="0" fillId="0" borderId="0" xfId="0" quotePrefix="1"/>
    <xf numFmtId="0" fontId="71" fillId="0" borderId="0" xfId="0" quotePrefix="1" applyFont="1" applyAlignment="1">
      <alignment vertical="center"/>
    </xf>
    <xf numFmtId="0" fontId="73" fillId="0" borderId="0" xfId="0" applyFont="1" applyAlignment="1">
      <alignment horizontal="left" vertical="center"/>
    </xf>
    <xf numFmtId="0" fontId="46" fillId="0" borderId="3" xfId="13" applyFont="1" applyBorder="1" applyAlignment="1">
      <alignment vertical="center"/>
    </xf>
    <xf numFmtId="0" fontId="63" fillId="0" borderId="0" xfId="0" applyFont="1" applyAlignment="1" applyProtection="1">
      <alignment vertical="center" wrapText="1"/>
      <protection hidden="1"/>
    </xf>
    <xf numFmtId="0" fontId="14" fillId="0" borderId="0" xfId="0" applyFont="1" applyAlignment="1" applyProtection="1">
      <alignment horizontal="center"/>
      <protection locked="0"/>
    </xf>
    <xf numFmtId="0" fontId="18" fillId="0" borderId="0" xfId="0" applyFont="1" applyAlignment="1" applyProtection="1">
      <alignment horizontal="right"/>
      <protection hidden="1"/>
    </xf>
    <xf numFmtId="0" fontId="74" fillId="28" borderId="0" xfId="0" applyFont="1" applyFill="1"/>
    <xf numFmtId="0" fontId="12" fillId="8" borderId="0" xfId="0" applyFont="1" applyFill="1" applyAlignment="1" applyProtection="1">
      <alignment vertical="center"/>
      <protection locked="0" hidden="1"/>
    </xf>
    <xf numFmtId="0" fontId="13" fillId="11" borderId="29" xfId="0" applyFont="1" applyFill="1" applyBorder="1" applyProtection="1">
      <protection locked="0" hidden="1"/>
    </xf>
    <xf numFmtId="0" fontId="9" fillId="10" borderId="29" xfId="0" applyFont="1" applyFill="1" applyBorder="1" applyAlignment="1" applyProtection="1">
      <alignment vertical="center"/>
      <protection hidden="1"/>
    </xf>
    <xf numFmtId="0" fontId="34" fillId="0" borderId="0" xfId="0" applyFont="1" applyProtection="1">
      <protection locked="0" hidden="1"/>
    </xf>
    <xf numFmtId="0" fontId="18" fillId="17" borderId="0" xfId="0" applyFont="1" applyFill="1" applyAlignment="1" applyProtection="1">
      <alignment vertical="center"/>
      <protection hidden="1"/>
    </xf>
    <xf numFmtId="43" fontId="13" fillId="11" borderId="29" xfId="19" applyFont="1" applyFill="1" applyBorder="1" applyAlignment="1" applyProtection="1">
      <protection hidden="1"/>
    </xf>
    <xf numFmtId="0" fontId="0" fillId="10" borderId="60" xfId="0" applyFill="1" applyBorder="1" applyProtection="1">
      <protection hidden="1"/>
    </xf>
    <xf numFmtId="0" fontId="18" fillId="0" borderId="0" xfId="0" applyFont="1" applyProtection="1">
      <protection hidden="1"/>
    </xf>
    <xf numFmtId="0" fontId="13" fillId="11" borderId="50" xfId="0" applyFont="1" applyFill="1" applyBorder="1" applyProtection="1">
      <protection hidden="1"/>
    </xf>
    <xf numFmtId="0" fontId="13" fillId="11" borderId="29" xfId="0" applyFont="1" applyFill="1" applyBorder="1" applyProtection="1">
      <protection hidden="1"/>
    </xf>
    <xf numFmtId="1" fontId="14" fillId="0" borderId="3" xfId="0" applyNumberFormat="1" applyFont="1" applyBorder="1" applyAlignment="1" applyProtection="1">
      <alignment wrapText="1"/>
      <protection locked="0"/>
    </xf>
    <xf numFmtId="0" fontId="14" fillId="8" borderId="3" xfId="0" applyFont="1" applyFill="1" applyBorder="1" applyProtection="1">
      <protection locked="0"/>
    </xf>
    <xf numFmtId="0" fontId="74" fillId="29" borderId="0" xfId="0" applyFont="1" applyFill="1"/>
    <xf numFmtId="0" fontId="14" fillId="8" borderId="0" xfId="0" applyFont="1" applyFill="1" applyAlignment="1" applyProtection="1">
      <alignment horizontal="center"/>
      <protection locked="0"/>
    </xf>
    <xf numFmtId="0" fontId="14" fillId="0" borderId="15" xfId="13" applyFont="1" applyBorder="1" applyProtection="1">
      <protection locked="0"/>
    </xf>
    <xf numFmtId="0" fontId="14" fillId="0" borderId="7" xfId="13" applyFont="1" applyBorder="1" applyProtection="1">
      <protection locked="0"/>
    </xf>
    <xf numFmtId="0" fontId="14" fillId="0" borderId="78" xfId="13" applyFont="1" applyBorder="1" applyProtection="1">
      <protection locked="0"/>
    </xf>
    <xf numFmtId="0" fontId="0" fillId="30" borderId="0" xfId="0" applyFill="1"/>
    <xf numFmtId="0" fontId="17" fillId="0" borderId="0" xfId="0" applyFont="1" applyAlignment="1" applyProtection="1">
      <alignment vertical="center"/>
      <protection locked="0" hidden="1"/>
    </xf>
    <xf numFmtId="0" fontId="21" fillId="8" borderId="0" xfId="0" applyFont="1" applyFill="1" applyAlignment="1" applyProtection="1">
      <alignment vertical="center"/>
      <protection locked="0" hidden="1"/>
    </xf>
    <xf numFmtId="0" fontId="63" fillId="8" borderId="0" xfId="0" applyFont="1" applyFill="1" applyAlignment="1" applyProtection="1">
      <alignment vertical="center" wrapText="1"/>
      <protection hidden="1"/>
    </xf>
    <xf numFmtId="0" fontId="16" fillId="8" borderId="0" xfId="0" applyFont="1" applyFill="1" applyAlignment="1" applyProtection="1">
      <alignment vertical="center"/>
      <protection locked="0" hidden="1"/>
    </xf>
    <xf numFmtId="0" fontId="16" fillId="0" borderId="3" xfId="0" applyFont="1" applyBorder="1" applyAlignment="1" applyProtection="1">
      <alignment vertical="center"/>
      <protection locked="0" hidden="1"/>
    </xf>
    <xf numFmtId="0" fontId="16" fillId="8" borderId="3" xfId="0" applyFont="1" applyFill="1" applyBorder="1" applyAlignment="1" applyProtection="1">
      <alignment vertical="center"/>
      <protection locked="0" hidden="1"/>
    </xf>
    <xf numFmtId="0" fontId="0" fillId="0" borderId="3" xfId="0" applyBorder="1" applyAlignment="1" applyProtection="1">
      <alignment vertical="center"/>
      <protection hidden="1"/>
    </xf>
    <xf numFmtId="0" fontId="0" fillId="0" borderId="3" xfId="0" applyBorder="1" applyAlignment="1" applyProtection="1">
      <alignment vertical="center"/>
      <protection locked="0" hidden="1"/>
    </xf>
    <xf numFmtId="0" fontId="0" fillId="31" borderId="3" xfId="0" applyFill="1" applyBorder="1" applyAlignment="1" applyProtection="1">
      <alignment vertical="center"/>
      <protection locked="0" hidden="1"/>
    </xf>
    <xf numFmtId="0" fontId="77" fillId="0" borderId="0" xfId="0" applyFont="1" applyAlignment="1" applyProtection="1">
      <alignment vertical="center"/>
      <protection hidden="1"/>
    </xf>
    <xf numFmtId="0" fontId="14" fillId="0" borderId="0" xfId="0" applyFont="1" applyAlignment="1" applyProtection="1">
      <alignment wrapText="1"/>
      <protection hidden="1"/>
    </xf>
    <xf numFmtId="0" fontId="22" fillId="0" borderId="0" xfId="0" applyFont="1" applyProtection="1">
      <protection hidden="1"/>
    </xf>
    <xf numFmtId="0" fontId="13" fillId="0" borderId="0" xfId="0" applyFont="1" applyProtection="1">
      <protection locked="0" hidden="1"/>
    </xf>
    <xf numFmtId="0" fontId="0" fillId="5" borderId="0" xfId="0" applyFill="1" applyProtection="1">
      <protection hidden="1"/>
    </xf>
    <xf numFmtId="0" fontId="13" fillId="5" borderId="0" xfId="0" applyFont="1" applyFill="1" applyProtection="1">
      <protection hidden="1"/>
    </xf>
    <xf numFmtId="0" fontId="0" fillId="0" borderId="53" xfId="0" applyBorder="1" applyProtection="1">
      <protection hidden="1"/>
    </xf>
    <xf numFmtId="0" fontId="0" fillId="5" borderId="53" xfId="0" applyFill="1" applyBorder="1" applyProtection="1">
      <protection hidden="1"/>
    </xf>
    <xf numFmtId="0" fontId="13" fillId="0" borderId="0" xfId="0" applyFont="1" applyAlignment="1" applyProtection="1">
      <alignment wrapText="1"/>
      <protection locked="0"/>
    </xf>
    <xf numFmtId="0" fontId="21" fillId="0" borderId="0" xfId="0" applyFont="1" applyProtection="1">
      <protection locked="0" hidden="1"/>
    </xf>
    <xf numFmtId="0" fontId="0" fillId="17" borderId="0" xfId="0" applyFill="1" applyProtection="1">
      <protection locked="0" hidden="1"/>
    </xf>
    <xf numFmtId="0" fontId="21" fillId="17" borderId="0" xfId="0" applyFont="1" applyFill="1" applyProtection="1">
      <protection locked="0" hidden="1"/>
    </xf>
    <xf numFmtId="0" fontId="0" fillId="0" borderId="0" xfId="0" applyAlignment="1" applyProtection="1">
      <alignment horizontal="center"/>
      <protection locked="0" hidden="1"/>
    </xf>
    <xf numFmtId="0" fontId="75" fillId="0" borderId="0" xfId="20" applyProtection="1">
      <protection locked="0"/>
    </xf>
    <xf numFmtId="165" fontId="75" fillId="0" borderId="0" xfId="20" applyNumberFormat="1" applyAlignment="1" applyProtection="1">
      <alignment horizontal="center"/>
      <protection locked="0"/>
    </xf>
    <xf numFmtId="166" fontId="75" fillId="0" borderId="0" xfId="20" applyNumberFormat="1" applyAlignment="1" applyProtection="1">
      <alignment horizontal="center"/>
      <protection locked="0"/>
    </xf>
    <xf numFmtId="49" fontId="75" fillId="0" borderId="0" xfId="20" applyNumberFormat="1" applyProtection="1">
      <protection locked="0"/>
    </xf>
    <xf numFmtId="0" fontId="21" fillId="0" borderId="3" xfId="0" applyFont="1" applyBorder="1" applyProtection="1">
      <protection hidden="1"/>
    </xf>
    <xf numFmtId="0" fontId="13" fillId="0" borderId="0" xfId="0" applyFont="1" applyAlignment="1" applyProtection="1">
      <alignment horizontal="center"/>
      <protection hidden="1"/>
    </xf>
    <xf numFmtId="0" fontId="13" fillId="17" borderId="0" xfId="0" applyFont="1" applyFill="1" applyAlignment="1" applyProtection="1">
      <alignment horizontal="left"/>
      <protection hidden="1"/>
    </xf>
    <xf numFmtId="0" fontId="66" fillId="17" borderId="0" xfId="0" applyFont="1" applyFill="1" applyAlignment="1" applyProtection="1">
      <alignment horizontal="center"/>
      <protection hidden="1"/>
    </xf>
    <xf numFmtId="0" fontId="13" fillId="0" borderId="0" xfId="0" applyFont="1" applyAlignment="1" applyProtection="1">
      <alignment vertical="top"/>
      <protection hidden="1"/>
    </xf>
    <xf numFmtId="0" fontId="66" fillId="0" borderId="0" xfId="0" applyFont="1" applyProtection="1">
      <protection hidden="1"/>
    </xf>
    <xf numFmtId="0" fontId="66" fillId="17" borderId="0" xfId="0" applyFont="1" applyFill="1" applyProtection="1">
      <protection hidden="1"/>
    </xf>
    <xf numFmtId="2" fontId="43" fillId="17" borderId="0" xfId="0" applyNumberFormat="1" applyFont="1" applyFill="1" applyAlignment="1" applyProtection="1">
      <alignment vertical="center"/>
      <protection hidden="1"/>
    </xf>
    <xf numFmtId="0" fontId="13" fillId="10" borderId="0" xfId="0" applyFont="1" applyFill="1" applyAlignment="1" applyProtection="1">
      <alignment vertical="center"/>
      <protection hidden="1"/>
    </xf>
    <xf numFmtId="2" fontId="35" fillId="11" borderId="0" xfId="0" applyNumberFormat="1" applyFont="1" applyFill="1" applyAlignment="1" applyProtection="1">
      <alignment vertical="center"/>
      <protection hidden="1"/>
    </xf>
    <xf numFmtId="0" fontId="13" fillId="10" borderId="0" xfId="0" applyFont="1" applyFill="1" applyProtection="1">
      <protection hidden="1"/>
    </xf>
    <xf numFmtId="0" fontId="0" fillId="0" borderId="22" xfId="0" applyBorder="1" applyAlignment="1" applyProtection="1">
      <alignment vertical="center" textRotation="90"/>
      <protection hidden="1"/>
    </xf>
    <xf numFmtId="9" fontId="35" fillId="0" borderId="0" xfId="0" applyNumberFormat="1" applyFont="1" applyAlignment="1" applyProtection="1">
      <alignment vertical="center"/>
      <protection hidden="1"/>
    </xf>
    <xf numFmtId="0" fontId="0" fillId="0" borderId="3" xfId="0" applyBorder="1" applyAlignment="1">
      <alignment horizontal="center"/>
    </xf>
    <xf numFmtId="0" fontId="71" fillId="17" borderId="3" xfId="0" applyFont="1" applyFill="1" applyBorder="1" applyAlignment="1">
      <alignment horizontal="center" vertical="center"/>
    </xf>
    <xf numFmtId="0" fontId="81" fillId="0" borderId="0" xfId="0" applyFont="1" applyAlignment="1">
      <alignment vertical="center"/>
    </xf>
    <xf numFmtId="0" fontId="19" fillId="0" borderId="0" xfId="0" applyFont="1"/>
    <xf numFmtId="167" fontId="0" fillId="0" borderId="0" xfId="0" applyNumberFormat="1" applyAlignment="1">
      <alignment horizontal="center"/>
    </xf>
    <xf numFmtId="0" fontId="79" fillId="17" borderId="81" xfId="0" applyFont="1" applyFill="1" applyBorder="1" applyAlignment="1">
      <alignment vertical="center"/>
    </xf>
    <xf numFmtId="0" fontId="6" fillId="0" borderId="33" xfId="0" applyFont="1" applyBorder="1"/>
    <xf numFmtId="0" fontId="0" fillId="0" borderId="0" xfId="0" applyAlignment="1" applyProtection="1">
      <alignment vertical="center" wrapText="1"/>
      <protection hidden="1"/>
    </xf>
    <xf numFmtId="0" fontId="13" fillId="0" borderId="0" xfId="0" applyFont="1" applyAlignment="1" applyProtection="1">
      <alignment vertical="center"/>
      <protection hidden="1"/>
    </xf>
    <xf numFmtId="0" fontId="10" fillId="0" borderId="0" xfId="0" applyFont="1"/>
    <xf numFmtId="0" fontId="10" fillId="0" borderId="0" xfId="0" applyFont="1" applyAlignment="1" applyProtection="1">
      <alignment horizontal="left"/>
      <protection locked="0"/>
    </xf>
    <xf numFmtId="0" fontId="10" fillId="0" borderId="0" xfId="0" applyFont="1" applyProtection="1">
      <protection locked="0"/>
    </xf>
    <xf numFmtId="49" fontId="10" fillId="0" borderId="0" xfId="0" applyNumberFormat="1" applyFont="1" applyProtection="1">
      <protection locked="0"/>
    </xf>
    <xf numFmtId="0" fontId="10" fillId="17" borderId="0" xfId="0" applyFont="1" applyFill="1"/>
    <xf numFmtId="0" fontId="10" fillId="0" borderId="0" xfId="0" applyFont="1" applyAlignment="1">
      <alignment vertical="top"/>
    </xf>
    <xf numFmtId="0" fontId="10" fillId="0" borderId="0" xfId="0" applyFont="1" applyAlignment="1">
      <alignment vertical="top" wrapText="1"/>
    </xf>
    <xf numFmtId="0" fontId="0" fillId="0" borderId="0" xfId="0" applyAlignment="1">
      <alignment vertical="top"/>
    </xf>
    <xf numFmtId="0" fontId="14" fillId="0" borderId="18" xfId="13" applyFont="1" applyBorder="1" applyAlignment="1" applyProtection="1">
      <alignment vertical="center"/>
      <protection locked="0"/>
    </xf>
    <xf numFmtId="1" fontId="13" fillId="11" borderId="0" xfId="17" applyNumberFormat="1" applyFont="1" applyFill="1" applyBorder="1" applyAlignment="1" applyProtection="1">
      <protection locked="0" hidden="1"/>
    </xf>
    <xf numFmtId="0" fontId="20" fillId="0" borderId="0" xfId="0" applyFont="1" applyAlignment="1" applyProtection="1">
      <alignment vertical="center"/>
      <protection hidden="1"/>
    </xf>
    <xf numFmtId="0" fontId="71" fillId="11" borderId="3" xfId="0" applyFont="1" applyFill="1" applyBorder="1" applyAlignment="1">
      <alignment horizontal="center" vertical="center"/>
    </xf>
    <xf numFmtId="0" fontId="0" fillId="11" borderId="3" xfId="0" applyFill="1" applyBorder="1" applyAlignment="1">
      <alignment horizontal="center" vertical="center"/>
    </xf>
    <xf numFmtId="0" fontId="0" fillId="0" borderId="79" xfId="0" applyBorder="1"/>
    <xf numFmtId="0" fontId="6" fillId="0" borderId="81" xfId="0" applyFont="1" applyBorder="1"/>
    <xf numFmtId="0" fontId="0" fillId="0" borderId="35" xfId="0" applyBorder="1" applyAlignment="1">
      <alignment horizontal="center"/>
    </xf>
    <xf numFmtId="0" fontId="79" fillId="17" borderId="79" xfId="0" applyFont="1" applyFill="1" applyBorder="1" applyAlignment="1">
      <alignment vertical="center"/>
    </xf>
    <xf numFmtId="0" fontId="0" fillId="0" borderId="80" xfId="0" applyBorder="1" applyAlignment="1">
      <alignment horizontal="center"/>
    </xf>
    <xf numFmtId="0" fontId="0" fillId="11" borderId="82" xfId="0" applyFill="1" applyBorder="1" applyAlignment="1">
      <alignment horizontal="center"/>
    </xf>
    <xf numFmtId="0" fontId="0" fillId="0" borderId="0" xfId="0" applyAlignment="1" applyProtection="1">
      <alignment horizontal="center"/>
      <protection hidden="1"/>
    </xf>
    <xf numFmtId="0" fontId="21" fillId="19" borderId="9" xfId="0" applyFont="1" applyFill="1" applyBorder="1" applyProtection="1">
      <protection hidden="1"/>
    </xf>
    <xf numFmtId="0" fontId="21" fillId="19" borderId="7" xfId="0" applyFont="1" applyFill="1" applyBorder="1" applyProtection="1">
      <protection hidden="1"/>
    </xf>
    <xf numFmtId="0" fontId="0" fillId="19" borderId="7" xfId="0" applyFill="1" applyBorder="1" applyProtection="1">
      <protection hidden="1"/>
    </xf>
    <xf numFmtId="0" fontId="0" fillId="19" borderId="10" xfId="0" applyFill="1" applyBorder="1" applyProtection="1">
      <protection hidden="1"/>
    </xf>
    <xf numFmtId="0" fontId="21" fillId="19" borderId="11" xfId="0" applyFont="1" applyFill="1" applyBorder="1" applyProtection="1">
      <protection hidden="1"/>
    </xf>
    <xf numFmtId="0" fontId="0" fillId="19" borderId="4" xfId="0" applyFill="1" applyBorder="1" applyProtection="1">
      <protection hidden="1"/>
    </xf>
    <xf numFmtId="0" fontId="6" fillId="19" borderId="12" xfId="0" applyFont="1" applyFill="1" applyBorder="1" applyAlignment="1" applyProtection="1">
      <alignment horizontal="center" vertical="center"/>
      <protection hidden="1"/>
    </xf>
    <xf numFmtId="0" fontId="18" fillId="19" borderId="14" xfId="0" applyFont="1" applyFill="1" applyBorder="1" applyAlignment="1" applyProtection="1">
      <alignment horizontal="center" vertical="center"/>
      <protection hidden="1"/>
    </xf>
    <xf numFmtId="0" fontId="21" fillId="19" borderId="3" xfId="0" applyFont="1" applyFill="1" applyBorder="1" applyProtection="1">
      <protection hidden="1"/>
    </xf>
    <xf numFmtId="0" fontId="21" fillId="19" borderId="13" xfId="0" applyFont="1" applyFill="1" applyBorder="1" applyProtection="1">
      <protection hidden="1"/>
    </xf>
    <xf numFmtId="0" fontId="0" fillId="19" borderId="88" xfId="0" applyFill="1" applyBorder="1" applyProtection="1">
      <protection hidden="1"/>
    </xf>
    <xf numFmtId="0" fontId="0" fillId="24" borderId="37" xfId="0" applyFill="1" applyBorder="1" applyAlignment="1" applyProtection="1">
      <alignment horizontal="center"/>
      <protection hidden="1"/>
    </xf>
    <xf numFmtId="0" fontId="0" fillId="22" borderId="37" xfId="0" applyFill="1" applyBorder="1" applyAlignment="1" applyProtection="1">
      <alignment horizontal="center"/>
      <protection hidden="1"/>
    </xf>
    <xf numFmtId="0" fontId="0" fillId="22" borderId="89" xfId="0" applyFill="1" applyBorder="1" applyAlignment="1" applyProtection="1">
      <alignment horizontal="center"/>
      <protection hidden="1"/>
    </xf>
    <xf numFmtId="0" fontId="21" fillId="19" borderId="3" xfId="0" applyFont="1" applyFill="1" applyBorder="1" applyAlignment="1" applyProtection="1">
      <alignment horizontal="center"/>
      <protection hidden="1"/>
    </xf>
    <xf numFmtId="0" fontId="0" fillId="0" borderId="81" xfId="0" applyBorder="1" applyAlignment="1" applyProtection="1">
      <alignment horizontal="center" wrapText="1"/>
      <protection hidden="1"/>
    </xf>
    <xf numFmtId="0" fontId="0" fillId="0" borderId="3" xfId="0" applyBorder="1" applyAlignment="1" applyProtection="1">
      <alignment horizontal="center"/>
      <protection hidden="1"/>
    </xf>
    <xf numFmtId="0" fontId="0" fillId="0" borderId="82" xfId="0" applyBorder="1" applyAlignment="1" applyProtection="1">
      <alignment horizontal="center"/>
      <protection hidden="1"/>
    </xf>
    <xf numFmtId="0" fontId="17" fillId="19" borderId="3" xfId="0" applyFont="1" applyFill="1" applyBorder="1" applyAlignment="1" applyProtection="1">
      <alignment horizontal="center" wrapText="1"/>
      <protection hidden="1"/>
    </xf>
    <xf numFmtId="0" fontId="17" fillId="19" borderId="18" xfId="0" applyFont="1" applyFill="1" applyBorder="1" applyAlignment="1" applyProtection="1">
      <alignment horizontal="center" wrapText="1"/>
      <protection hidden="1"/>
    </xf>
    <xf numFmtId="0" fontId="0" fillId="32" borderId="81" xfId="0" applyFill="1" applyBorder="1" applyProtection="1">
      <protection hidden="1"/>
    </xf>
    <xf numFmtId="0" fontId="0" fillId="32" borderId="3" xfId="0" applyFill="1" applyBorder="1" applyAlignment="1" applyProtection="1">
      <alignment horizontal="center"/>
      <protection hidden="1"/>
    </xf>
    <xf numFmtId="0" fontId="0" fillId="32" borderId="82" xfId="0" applyFill="1" applyBorder="1" applyAlignment="1" applyProtection="1">
      <alignment horizontal="center"/>
      <protection hidden="1"/>
    </xf>
    <xf numFmtId="0" fontId="21" fillId="19" borderId="81" xfId="0" applyFont="1" applyFill="1" applyBorder="1" applyProtection="1">
      <protection hidden="1"/>
    </xf>
    <xf numFmtId="0" fontId="86" fillId="19" borderId="3" xfId="0" applyFont="1" applyFill="1" applyBorder="1" applyAlignment="1" applyProtection="1">
      <alignment horizontal="center"/>
      <protection hidden="1"/>
    </xf>
    <xf numFmtId="0" fontId="21" fillId="24" borderId="3" xfId="0" applyFont="1" applyFill="1" applyBorder="1" applyProtection="1">
      <protection hidden="1"/>
    </xf>
    <xf numFmtId="2" fontId="87" fillId="19" borderId="3" xfId="0" applyNumberFormat="1" applyFont="1" applyFill="1" applyBorder="1" applyAlignment="1" applyProtection="1">
      <alignment horizontal="center"/>
      <protection hidden="1"/>
    </xf>
    <xf numFmtId="0" fontId="88" fillId="3" borderId="20" xfId="0" applyFont="1" applyFill="1" applyBorder="1" applyAlignment="1" applyProtection="1">
      <alignment horizontal="center"/>
      <protection hidden="1"/>
    </xf>
    <xf numFmtId="0" fontId="21" fillId="3" borderId="3" xfId="0" applyFont="1" applyFill="1" applyBorder="1" applyAlignment="1" applyProtection="1">
      <alignment horizontal="center"/>
      <protection hidden="1"/>
    </xf>
    <xf numFmtId="0" fontId="0" fillId="3" borderId="18" xfId="0" applyFill="1" applyBorder="1" applyAlignment="1" applyProtection="1">
      <alignment horizontal="center"/>
      <protection hidden="1"/>
    </xf>
    <xf numFmtId="0" fontId="6" fillId="0" borderId="81" xfId="0" applyFont="1" applyBorder="1" applyAlignment="1" applyProtection="1">
      <alignment horizontal="center"/>
      <protection hidden="1"/>
    </xf>
    <xf numFmtId="0" fontId="6" fillId="0" borderId="33" xfId="0" applyFont="1" applyBorder="1" applyAlignment="1" applyProtection="1">
      <alignment horizontal="center"/>
      <protection hidden="1"/>
    </xf>
    <xf numFmtId="0" fontId="0" fillId="0" borderId="34" xfId="0" applyBorder="1" applyAlignment="1" applyProtection="1">
      <alignment horizontal="center"/>
      <protection hidden="1"/>
    </xf>
    <xf numFmtId="0" fontId="0" fillId="0" borderId="85" xfId="0" applyBorder="1" applyAlignment="1" applyProtection="1">
      <alignment horizontal="center" vertical="center"/>
      <protection hidden="1"/>
    </xf>
    <xf numFmtId="0" fontId="0" fillId="0" borderId="86" xfId="0" applyBorder="1" applyAlignment="1" applyProtection="1">
      <alignment horizontal="center" vertical="center"/>
      <protection hidden="1"/>
    </xf>
    <xf numFmtId="0" fontId="0" fillId="0" borderId="87" xfId="0" applyBorder="1" applyAlignment="1" applyProtection="1">
      <alignment horizontal="center" vertical="center"/>
      <protection hidden="1"/>
    </xf>
    <xf numFmtId="0" fontId="0" fillId="19" borderId="36" xfId="0" applyFill="1" applyBorder="1" applyProtection="1">
      <protection hidden="1"/>
    </xf>
    <xf numFmtId="0" fontId="0" fillId="0" borderId="79" xfId="0" applyBorder="1" applyProtection="1">
      <protection hidden="1"/>
    </xf>
    <xf numFmtId="0" fontId="0" fillId="0" borderId="32" xfId="0" applyBorder="1" applyProtection="1">
      <protection hidden="1"/>
    </xf>
    <xf numFmtId="0" fontId="0" fillId="0" borderId="7" xfId="0" applyBorder="1" applyProtection="1">
      <protection hidden="1"/>
    </xf>
    <xf numFmtId="0" fontId="0" fillId="17" borderId="32" xfId="0" applyFill="1" applyBorder="1" applyProtection="1">
      <protection hidden="1"/>
    </xf>
    <xf numFmtId="0" fontId="0" fillId="0" borderId="33" xfId="0" applyBorder="1" applyProtection="1">
      <protection hidden="1"/>
    </xf>
    <xf numFmtId="0" fontId="0" fillId="0" borderId="34" xfId="0" applyBorder="1" applyProtection="1">
      <protection hidden="1"/>
    </xf>
    <xf numFmtId="0" fontId="0" fillId="17" borderId="90" xfId="0" applyFill="1" applyBorder="1" applyProtection="1">
      <protection hidden="1"/>
    </xf>
    <xf numFmtId="0" fontId="21" fillId="19" borderId="16" xfId="0" applyFont="1" applyFill="1" applyBorder="1" applyProtection="1">
      <protection hidden="1"/>
    </xf>
    <xf numFmtId="0" fontId="21" fillId="19" borderId="5" xfId="0" applyFont="1" applyFill="1" applyBorder="1" applyProtection="1">
      <protection hidden="1"/>
    </xf>
    <xf numFmtId="0" fontId="0" fillId="19" borderId="5" xfId="0" applyFill="1" applyBorder="1" applyProtection="1">
      <protection hidden="1"/>
    </xf>
    <xf numFmtId="0" fontId="0" fillId="19" borderId="17" xfId="0" applyFill="1" applyBorder="1" applyProtection="1">
      <protection hidden="1"/>
    </xf>
    <xf numFmtId="0" fontId="42" fillId="0" borderId="0" xfId="0" applyFont="1" applyAlignment="1" applyProtection="1">
      <alignment horizontal="center"/>
      <protection hidden="1"/>
    </xf>
    <xf numFmtId="0" fontId="6" fillId="0" borderId="0" xfId="0" applyFont="1" applyAlignment="1" applyProtection="1">
      <alignment horizontal="center" vertical="center"/>
      <protection hidden="1"/>
    </xf>
    <xf numFmtId="0" fontId="18" fillId="0" borderId="0" xfId="0" applyFont="1" applyAlignment="1" applyProtection="1">
      <alignment horizontal="center"/>
      <protection hidden="1"/>
    </xf>
    <xf numFmtId="0" fontId="92" fillId="0" borderId="0" xfId="0" applyFont="1" applyAlignment="1" applyProtection="1">
      <alignment horizontal="center"/>
      <protection hidden="1"/>
    </xf>
    <xf numFmtId="0" fontId="0" fillId="0" borderId="0" xfId="0" applyAlignment="1" applyProtection="1">
      <alignment horizontal="center" wrapText="1"/>
      <protection hidden="1"/>
    </xf>
    <xf numFmtId="0" fontId="6" fillId="0" borderId="0" xfId="0" applyFont="1" applyAlignment="1" applyProtection="1">
      <alignment horizontal="center"/>
      <protection hidden="1"/>
    </xf>
    <xf numFmtId="0" fontId="93" fillId="0" borderId="0" xfId="0" applyFont="1" applyAlignment="1" applyProtection="1">
      <alignment horizontal="center"/>
      <protection hidden="1"/>
    </xf>
    <xf numFmtId="168" fontId="0" fillId="0" borderId="0" xfId="0" applyNumberFormat="1" applyProtection="1">
      <protection hidden="1"/>
    </xf>
    <xf numFmtId="0" fontId="0" fillId="0" borderId="0" xfId="0" applyAlignment="1" applyProtection="1">
      <alignment wrapText="1"/>
      <protection hidden="1"/>
    </xf>
    <xf numFmtId="0" fontId="0" fillId="0" borderId="0" xfId="0" applyAlignment="1" applyProtection="1">
      <alignment horizontal="right" vertical="center" wrapText="1"/>
      <protection hidden="1"/>
    </xf>
    <xf numFmtId="0" fontId="17" fillId="0" borderId="0" xfId="0" applyFont="1" applyAlignment="1" applyProtection="1">
      <alignment wrapText="1"/>
      <protection hidden="1"/>
    </xf>
    <xf numFmtId="0" fontId="0" fillId="0" borderId="0" xfId="0" applyAlignment="1" applyProtection="1">
      <alignment horizontal="right"/>
      <protection hidden="1"/>
    </xf>
    <xf numFmtId="2" fontId="0" fillId="0" borderId="0" xfId="0" applyNumberFormat="1" applyProtection="1">
      <protection hidden="1"/>
    </xf>
    <xf numFmtId="0" fontId="21" fillId="19" borderId="0" xfId="0" applyFont="1" applyFill="1" applyProtection="1">
      <protection hidden="1"/>
    </xf>
    <xf numFmtId="0" fontId="0" fillId="19" borderId="0" xfId="0" applyFill="1" applyProtection="1">
      <protection hidden="1"/>
    </xf>
    <xf numFmtId="0" fontId="0" fillId="19" borderId="0" xfId="0" applyFill="1" applyAlignment="1" applyProtection="1">
      <alignment horizontal="center"/>
      <protection hidden="1"/>
    </xf>
    <xf numFmtId="0" fontId="21" fillId="19" borderId="0" xfId="0" applyFont="1" applyFill="1" applyAlignment="1" applyProtection="1">
      <alignment wrapText="1"/>
      <protection hidden="1"/>
    </xf>
    <xf numFmtId="0" fontId="21" fillId="19" borderId="0" xfId="0" applyFont="1" applyFill="1" applyAlignment="1" applyProtection="1">
      <alignment horizontal="center"/>
      <protection hidden="1"/>
    </xf>
    <xf numFmtId="0" fontId="89" fillId="19" borderId="0" xfId="0" applyFont="1" applyFill="1" applyProtection="1">
      <protection hidden="1"/>
    </xf>
    <xf numFmtId="168" fontId="0" fillId="19" borderId="0" xfId="0" applyNumberFormat="1" applyFill="1" applyAlignment="1" applyProtection="1">
      <alignment horizontal="center"/>
      <protection hidden="1"/>
    </xf>
    <xf numFmtId="0" fontId="90" fillId="19" borderId="0" xfId="0" applyFont="1" applyFill="1" applyProtection="1">
      <protection hidden="1"/>
    </xf>
    <xf numFmtId="0" fontId="0" fillId="19" borderId="0" xfId="0" applyFill="1" applyAlignment="1" applyProtection="1">
      <alignment horizontal="center" vertical="center"/>
      <protection hidden="1"/>
    </xf>
    <xf numFmtId="0" fontId="21" fillId="19" borderId="91" xfId="0" applyFont="1" applyFill="1" applyBorder="1" applyProtection="1">
      <protection hidden="1"/>
    </xf>
    <xf numFmtId="0" fontId="13" fillId="33" borderId="92" xfId="0" applyFont="1" applyFill="1" applyBorder="1" applyProtection="1">
      <protection hidden="1"/>
    </xf>
    <xf numFmtId="0" fontId="13" fillId="33" borderId="92" xfId="0" applyFont="1" applyFill="1" applyBorder="1" applyAlignment="1" applyProtection="1">
      <alignment horizontal="center"/>
      <protection hidden="1"/>
    </xf>
    <xf numFmtId="0" fontId="94" fillId="19" borderId="0" xfId="0" applyFont="1" applyFill="1" applyProtection="1">
      <protection hidden="1"/>
    </xf>
    <xf numFmtId="0" fontId="21" fillId="19" borderId="0" xfId="0" applyFont="1" applyFill="1" applyAlignment="1" applyProtection="1">
      <alignment horizontal="center" wrapText="1"/>
      <protection hidden="1"/>
    </xf>
    <xf numFmtId="0" fontId="91" fillId="19" borderId="0" xfId="0" applyFont="1" applyFill="1" applyAlignment="1" applyProtection="1">
      <alignment vertical="center"/>
      <protection hidden="1"/>
    </xf>
    <xf numFmtId="0" fontId="91" fillId="19" borderId="0" xfId="0" applyFont="1" applyFill="1" applyAlignment="1" applyProtection="1">
      <alignment horizontal="center" vertical="center"/>
      <protection hidden="1"/>
    </xf>
    <xf numFmtId="0" fontId="42" fillId="19" borderId="0" xfId="0" applyFont="1" applyFill="1" applyAlignment="1" applyProtection="1">
      <alignment horizontal="center" vertical="center"/>
      <protection hidden="1"/>
    </xf>
    <xf numFmtId="0" fontId="0" fillId="0" borderId="35" xfId="0" applyBorder="1" applyAlignment="1" applyProtection="1">
      <alignment horizontal="center"/>
      <protection hidden="1"/>
    </xf>
    <xf numFmtId="0" fontId="7" fillId="0" borderId="0" xfId="1" applyFill="1" applyBorder="1" applyAlignment="1" applyProtection="1">
      <alignment vertical="center" wrapText="1"/>
      <protection hidden="1"/>
    </xf>
    <xf numFmtId="0" fontId="0" fillId="0" borderId="34" xfId="0" applyBorder="1" applyAlignment="1">
      <alignment horizontal="center"/>
    </xf>
    <xf numFmtId="167" fontId="0" fillId="0" borderId="0" xfId="0" applyNumberFormat="1" applyProtection="1">
      <protection hidden="1"/>
    </xf>
    <xf numFmtId="0" fontId="71" fillId="0" borderId="0" xfId="0" applyFont="1" applyAlignment="1">
      <alignment horizontal="center" vertical="center"/>
    </xf>
    <xf numFmtId="0" fontId="95" fillId="0" borderId="0" xfId="0" applyFont="1" applyAlignment="1">
      <alignment vertical="center"/>
    </xf>
    <xf numFmtId="0" fontId="81" fillId="17" borderId="30" xfId="0" applyFont="1" applyFill="1" applyBorder="1" applyAlignment="1">
      <alignment vertical="center"/>
    </xf>
    <xf numFmtId="0" fontId="81" fillId="17" borderId="8" xfId="0" applyFont="1" applyFill="1" applyBorder="1" applyAlignment="1">
      <alignment vertical="center"/>
    </xf>
    <xf numFmtId="0" fontId="81" fillId="17" borderId="50" xfId="0" applyFont="1" applyFill="1" applyBorder="1" applyAlignment="1">
      <alignment vertical="center"/>
    </xf>
    <xf numFmtId="0" fontId="21" fillId="0" borderId="0" xfId="0" applyFont="1" applyAlignment="1" applyProtection="1">
      <alignment horizontal="center"/>
      <protection hidden="1"/>
    </xf>
    <xf numFmtId="0" fontId="0" fillId="34" borderId="3" xfId="0" applyFill="1" applyBorder="1" applyAlignment="1" applyProtection="1">
      <alignment horizontal="center"/>
      <protection hidden="1"/>
    </xf>
    <xf numFmtId="0" fontId="0" fillId="7" borderId="3" xfId="0" applyFill="1" applyBorder="1" applyAlignment="1" applyProtection="1">
      <alignment horizontal="center"/>
      <protection hidden="1"/>
    </xf>
    <xf numFmtId="0" fontId="0" fillId="4" borderId="3" xfId="0" applyFill="1" applyBorder="1" applyAlignment="1" applyProtection="1">
      <alignment horizontal="center"/>
      <protection hidden="1"/>
    </xf>
    <xf numFmtId="0" fontId="19" fillId="0" borderId="0" xfId="0" applyFont="1" applyAlignment="1">
      <alignment vertical="top" wrapText="1"/>
    </xf>
    <xf numFmtId="0" fontId="96" fillId="0" borderId="0" xfId="0" applyFont="1" applyAlignment="1">
      <alignment vertical="center"/>
    </xf>
    <xf numFmtId="0" fontId="97" fillId="0" borderId="0" xfId="0" applyFont="1" applyAlignment="1">
      <alignment vertical="center"/>
    </xf>
    <xf numFmtId="0" fontId="0" fillId="9" borderId="0" xfId="0" applyFill="1" applyProtection="1">
      <protection hidden="1"/>
    </xf>
    <xf numFmtId="0" fontId="21" fillId="9" borderId="0" xfId="0" applyFont="1" applyFill="1" applyProtection="1">
      <protection hidden="1"/>
    </xf>
    <xf numFmtId="0" fontId="0" fillId="0" borderId="3" xfId="0" applyBorder="1" applyProtection="1">
      <protection locked="0" hidden="1"/>
    </xf>
    <xf numFmtId="0" fontId="6" fillId="19" borderId="12" xfId="0" applyFont="1" applyFill="1" applyBorder="1" applyAlignment="1" applyProtection="1">
      <alignment horizontal="left" vertical="center"/>
      <protection hidden="1"/>
    </xf>
    <xf numFmtId="0" fontId="18" fillId="19" borderId="14" xfId="0" applyFont="1" applyFill="1" applyBorder="1" applyAlignment="1" applyProtection="1">
      <alignment horizontal="left" vertical="center"/>
      <protection hidden="1"/>
    </xf>
    <xf numFmtId="0" fontId="0" fillId="0" borderId="3" xfId="0" applyBorder="1" applyAlignment="1" applyProtection="1">
      <alignment horizontal="center"/>
      <protection locked="0" hidden="1"/>
    </xf>
    <xf numFmtId="0" fontId="0" fillId="35" borderId="0" xfId="0" applyFill="1" applyProtection="1">
      <protection locked="0" hidden="1"/>
    </xf>
    <xf numFmtId="167" fontId="0" fillId="0" borderId="5" xfId="0" applyNumberFormat="1" applyBorder="1" applyProtection="1">
      <protection hidden="1"/>
    </xf>
    <xf numFmtId="0" fontId="0" fillId="0" borderId="5" xfId="0" applyBorder="1" applyProtection="1">
      <protection hidden="1"/>
    </xf>
    <xf numFmtId="0" fontId="0" fillId="35" borderId="5" xfId="0" applyFill="1" applyBorder="1" applyProtection="1">
      <protection locked="0" hidden="1"/>
    </xf>
    <xf numFmtId="0" fontId="0" fillId="0" borderId="5" xfId="0" applyBorder="1" applyProtection="1">
      <protection locked="0" hidden="1"/>
    </xf>
    <xf numFmtId="0" fontId="0" fillId="2" borderId="0" xfId="0" applyFill="1" applyProtection="1">
      <protection locked="0" hidden="1"/>
    </xf>
    <xf numFmtId="0" fontId="6" fillId="35" borderId="5" xfId="0" applyFont="1" applyFill="1" applyBorder="1" applyProtection="1">
      <protection locked="0" hidden="1"/>
    </xf>
    <xf numFmtId="0" fontId="16" fillId="0" borderId="0" xfId="0" applyFont="1" applyAlignment="1" applyProtection="1">
      <alignment vertical="center" textRotation="90" wrapText="1"/>
      <protection locked="0" hidden="1"/>
    </xf>
    <xf numFmtId="0" fontId="6" fillId="0" borderId="0" xfId="0" applyFont="1" applyAlignment="1" applyProtection="1">
      <alignment horizontal="left" vertical="center"/>
      <protection hidden="1"/>
    </xf>
    <xf numFmtId="0" fontId="18" fillId="0" borderId="0" xfId="0" applyFont="1" applyAlignment="1" applyProtection="1">
      <alignment horizontal="left" vertical="center"/>
      <protection hidden="1"/>
    </xf>
    <xf numFmtId="0" fontId="6" fillId="0" borderId="0" xfId="0" applyFont="1" applyProtection="1">
      <protection locked="0" hidden="1"/>
    </xf>
    <xf numFmtId="0" fontId="98" fillId="0" borderId="0" xfId="0" applyFont="1" applyAlignment="1">
      <alignment vertical="center"/>
    </xf>
    <xf numFmtId="0" fontId="79" fillId="0" borderId="0" xfId="0" applyFont="1" applyAlignment="1">
      <alignment vertical="center"/>
    </xf>
    <xf numFmtId="0" fontId="16" fillId="0" borderId="0" xfId="0" applyFont="1" applyAlignment="1" applyProtection="1">
      <alignment vertical="center" textRotation="90"/>
      <protection hidden="1"/>
    </xf>
    <xf numFmtId="0" fontId="20" fillId="0" borderId="0" xfId="0" applyFont="1" applyAlignment="1" applyProtection="1">
      <alignment vertical="center" textRotation="90"/>
      <protection hidden="1"/>
    </xf>
    <xf numFmtId="0" fontId="21" fillId="17" borderId="0" xfId="0" applyFont="1" applyFill="1" applyProtection="1">
      <protection hidden="1"/>
    </xf>
    <xf numFmtId="0" fontId="21" fillId="11" borderId="77" xfId="0" applyFont="1" applyFill="1" applyBorder="1" applyProtection="1">
      <protection hidden="1"/>
    </xf>
    <xf numFmtId="0" fontId="87" fillId="0" borderId="0" xfId="0" applyFont="1" applyAlignment="1" applyProtection="1">
      <alignment horizontal="left"/>
      <protection hidden="1"/>
    </xf>
    <xf numFmtId="0" fontId="87" fillId="17" borderId="0" xfId="0" applyFont="1" applyFill="1" applyAlignment="1" applyProtection="1">
      <alignment horizontal="left"/>
      <protection hidden="1"/>
    </xf>
    <xf numFmtId="167" fontId="0" fillId="35" borderId="5" xfId="0" applyNumberFormat="1" applyFill="1" applyBorder="1" applyProtection="1">
      <protection hidden="1"/>
    </xf>
    <xf numFmtId="167" fontId="0" fillId="35" borderId="5" xfId="21" applyNumberFormat="1" applyFont="1" applyFill="1" applyBorder="1" applyProtection="1">
      <protection locked="0" hidden="1"/>
    </xf>
    <xf numFmtId="169" fontId="101" fillId="17" borderId="0" xfId="19" applyNumberFormat="1" applyFont="1" applyFill="1" applyAlignment="1" applyProtection="1">
      <alignment vertical="center" wrapText="1"/>
      <protection locked="0" hidden="1"/>
    </xf>
    <xf numFmtId="0" fontId="71" fillId="17" borderId="94" xfId="0" applyFont="1" applyFill="1" applyBorder="1" applyAlignment="1">
      <alignment horizontal="center" vertical="center"/>
    </xf>
    <xf numFmtId="0" fontId="0" fillId="0" borderId="11" xfId="0" applyBorder="1" applyAlignment="1">
      <alignment horizontal="center"/>
    </xf>
    <xf numFmtId="0" fontId="0" fillId="0" borderId="11" xfId="0" applyBorder="1"/>
    <xf numFmtId="0" fontId="81" fillId="17" borderId="0" xfId="0" applyFont="1" applyFill="1" applyAlignment="1">
      <alignment vertical="center"/>
    </xf>
    <xf numFmtId="0" fontId="81" fillId="0" borderId="22" xfId="0" applyFont="1" applyBorder="1" applyAlignment="1">
      <alignment vertical="center"/>
    </xf>
    <xf numFmtId="0" fontId="19" fillId="0" borderId="22" xfId="0" applyFont="1" applyBorder="1"/>
    <xf numFmtId="0" fontId="0" fillId="0" borderId="22" xfId="0" applyBorder="1" applyAlignment="1">
      <alignment horizontal="center"/>
    </xf>
    <xf numFmtId="0" fontId="0" fillId="0" borderId="22" xfId="0" applyBorder="1" applyAlignment="1">
      <alignment horizontal="center" vertical="center"/>
    </xf>
    <xf numFmtId="0" fontId="0" fillId="0" borderId="22" xfId="0" applyBorder="1"/>
    <xf numFmtId="2" fontId="13" fillId="33" borderId="92" xfId="0" applyNumberFormat="1" applyFont="1" applyFill="1" applyBorder="1" applyAlignment="1" applyProtection="1">
      <alignment horizontal="center"/>
      <protection hidden="1"/>
    </xf>
    <xf numFmtId="167" fontId="0" fillId="0" borderId="0" xfId="0" applyNumberFormat="1" applyProtection="1">
      <protection locked="0" hidden="1"/>
    </xf>
    <xf numFmtId="0" fontId="0" fillId="0" borderId="0" xfId="0" applyAlignment="1" applyProtection="1">
      <alignment horizontal="right"/>
      <protection locked="0" hidden="1"/>
    </xf>
    <xf numFmtId="1" fontId="0" fillId="0" borderId="0" xfId="0" applyNumberFormat="1" applyProtection="1">
      <protection locked="0"/>
    </xf>
    <xf numFmtId="0" fontId="104" fillId="36" borderId="14" xfId="0" applyFont="1" applyFill="1" applyBorder="1" applyAlignment="1">
      <alignment horizontal="right" vertical="center"/>
    </xf>
    <xf numFmtId="0" fontId="104" fillId="36" borderId="17" xfId="0" applyFont="1" applyFill="1" applyBorder="1" applyAlignment="1">
      <alignment horizontal="right" vertical="center"/>
    </xf>
    <xf numFmtId="0" fontId="0" fillId="8" borderId="0" xfId="0" applyFill="1" applyProtection="1">
      <protection locked="0"/>
    </xf>
    <xf numFmtId="0" fontId="14" fillId="8" borderId="0" xfId="9" applyFont="1" applyFill="1" applyAlignment="1" applyProtection="1">
      <alignment horizontal="left"/>
      <protection locked="0"/>
    </xf>
    <xf numFmtId="0" fontId="14" fillId="8" borderId="0" xfId="13" applyFont="1" applyFill="1" applyAlignment="1" applyProtection="1">
      <alignment horizontal="left"/>
      <protection locked="0"/>
    </xf>
    <xf numFmtId="0" fontId="0" fillId="8" borderId="0" xfId="0" applyFill="1"/>
    <xf numFmtId="0" fontId="14" fillId="0" borderId="0" xfId="0" applyFont="1" applyAlignment="1" applyProtection="1">
      <alignment horizontal="left"/>
      <protection locked="0"/>
    </xf>
    <xf numFmtId="0" fontId="23" fillId="0" borderId="17" xfId="0" applyFont="1" applyBorder="1" applyAlignment="1">
      <alignment vertical="center"/>
    </xf>
    <xf numFmtId="0" fontId="0" fillId="0" borderId="31" xfId="0" applyBorder="1" applyProtection="1">
      <protection hidden="1"/>
    </xf>
    <xf numFmtId="0" fontId="0" fillId="0" borderId="0" xfId="0" applyAlignment="1" applyProtection="1">
      <alignment vertical="top"/>
      <protection locked="0"/>
    </xf>
    <xf numFmtId="0" fontId="0" fillId="0" borderId="0" xfId="0" applyAlignment="1" applyProtection="1">
      <alignment horizontal="right"/>
      <protection locked="0"/>
    </xf>
    <xf numFmtId="49" fontId="0" fillId="0" borderId="0" xfId="0" applyNumberFormat="1" applyAlignment="1" applyProtection="1">
      <alignment vertical="top" wrapText="1"/>
      <protection locked="0"/>
    </xf>
    <xf numFmtId="0" fontId="63"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locked="0" hidden="1"/>
    </xf>
    <xf numFmtId="0" fontId="61" fillId="25" borderId="66" xfId="0" applyFont="1" applyFill="1" applyBorder="1" applyAlignment="1" applyProtection="1">
      <alignment horizontal="center" vertical="center"/>
      <protection hidden="1"/>
    </xf>
    <xf numFmtId="0" fontId="13" fillId="0" borderId="0" xfId="0" applyFont="1" applyAlignment="1" applyProtection="1">
      <alignment horizontal="left" vertical="center"/>
      <protection hidden="1"/>
    </xf>
    <xf numFmtId="0" fontId="30" fillId="22" borderId="58" xfId="0" applyFont="1" applyFill="1" applyBorder="1" applyAlignment="1" applyProtection="1">
      <alignment horizontal="right" vertical="center"/>
      <protection hidden="1"/>
    </xf>
    <xf numFmtId="0" fontId="30" fillId="22" borderId="57" xfId="0" applyFont="1" applyFill="1" applyBorder="1" applyAlignment="1" applyProtection="1">
      <alignment horizontal="right" vertical="center"/>
      <protection hidden="1"/>
    </xf>
    <xf numFmtId="0" fontId="16" fillId="7" borderId="57" xfId="0" applyFont="1" applyFill="1" applyBorder="1" applyAlignment="1" applyProtection="1">
      <alignment horizontal="center" vertical="center"/>
      <protection locked="0" hidden="1"/>
    </xf>
    <xf numFmtId="0" fontId="16" fillId="7" borderId="63" xfId="0" applyFont="1" applyFill="1" applyBorder="1" applyAlignment="1" applyProtection="1">
      <alignment horizontal="center" vertical="center"/>
      <protection locked="0" hidden="1"/>
    </xf>
    <xf numFmtId="0" fontId="16" fillId="17" borderId="66" xfId="0" applyFont="1" applyFill="1" applyBorder="1" applyAlignment="1" applyProtection="1">
      <alignment horizontal="center" vertical="center"/>
      <protection locked="0" hidden="1"/>
    </xf>
    <xf numFmtId="0" fontId="16" fillId="17" borderId="67" xfId="0" applyFont="1" applyFill="1" applyBorder="1" applyAlignment="1" applyProtection="1">
      <alignment horizontal="center" vertical="center"/>
      <protection locked="0" hidden="1"/>
    </xf>
    <xf numFmtId="44" fontId="16" fillId="17" borderId="66" xfId="21" applyFont="1" applyFill="1" applyBorder="1" applyAlignment="1" applyProtection="1">
      <alignment horizontal="right" vertical="center"/>
      <protection locked="0" hidden="1"/>
    </xf>
    <xf numFmtId="0" fontId="13" fillId="0" borderId="0" xfId="0" applyFont="1" applyAlignment="1" applyProtection="1">
      <alignment horizontal="left" vertical="center" textRotation="180" wrapText="1"/>
      <protection hidden="1"/>
    </xf>
    <xf numFmtId="0" fontId="0" fillId="0" borderId="43"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0" fontId="45" fillId="6" borderId="0" xfId="0" applyFont="1" applyFill="1" applyAlignment="1" applyProtection="1">
      <alignment horizontal="left" vertical="center" wrapText="1"/>
      <protection hidden="1"/>
    </xf>
    <xf numFmtId="2" fontId="57" fillId="7" borderId="0" xfId="0" applyNumberFormat="1" applyFont="1" applyFill="1" applyAlignment="1" applyProtection="1">
      <alignment horizontal="left" vertical="center"/>
      <protection hidden="1"/>
    </xf>
    <xf numFmtId="2" fontId="57" fillId="7" borderId="4" xfId="0" applyNumberFormat="1" applyFont="1" applyFill="1" applyBorder="1" applyAlignment="1" applyProtection="1">
      <alignment horizontal="left" vertical="center"/>
      <protection hidden="1"/>
    </xf>
    <xf numFmtId="2" fontId="57" fillId="7" borderId="5" xfId="0" applyNumberFormat="1" applyFont="1" applyFill="1" applyBorder="1" applyAlignment="1" applyProtection="1">
      <alignment horizontal="left" vertical="center"/>
      <protection hidden="1"/>
    </xf>
    <xf numFmtId="2" fontId="57" fillId="7" borderId="17" xfId="0" applyNumberFormat="1" applyFont="1" applyFill="1" applyBorder="1" applyAlignment="1" applyProtection="1">
      <alignment horizontal="left" vertical="center"/>
      <protection hidden="1"/>
    </xf>
    <xf numFmtId="0" fontId="30" fillId="22" borderId="11" xfId="0" applyFont="1" applyFill="1" applyBorder="1" applyAlignment="1" applyProtection="1">
      <alignment horizontal="right" vertical="center" indent="1"/>
      <protection hidden="1"/>
    </xf>
    <xf numFmtId="0" fontId="30" fillId="22" borderId="0" xfId="0" applyFont="1" applyFill="1" applyAlignment="1" applyProtection="1">
      <alignment horizontal="right" vertical="center" indent="1"/>
      <protection hidden="1"/>
    </xf>
    <xf numFmtId="0" fontId="30" fillId="22" borderId="16" xfId="0" applyFont="1" applyFill="1" applyBorder="1" applyAlignment="1" applyProtection="1">
      <alignment horizontal="right" vertical="center" indent="1"/>
      <protection hidden="1"/>
    </xf>
    <xf numFmtId="0" fontId="30" fillId="22" borderId="5" xfId="0" applyFont="1" applyFill="1" applyBorder="1" applyAlignment="1" applyProtection="1">
      <alignment horizontal="right" vertical="center" indent="1"/>
      <protection hidden="1"/>
    </xf>
    <xf numFmtId="0" fontId="18" fillId="25" borderId="58" xfId="0" applyFont="1" applyFill="1" applyBorder="1" applyAlignment="1" applyProtection="1">
      <alignment horizontal="right" vertical="center"/>
      <protection hidden="1"/>
    </xf>
    <xf numFmtId="0" fontId="18" fillId="25" borderId="57" xfId="0" applyFont="1" applyFill="1" applyBorder="1" applyAlignment="1" applyProtection="1">
      <alignment horizontal="right" vertical="center"/>
      <protection hidden="1"/>
    </xf>
    <xf numFmtId="0" fontId="0" fillId="5" borderId="0" xfId="0" applyFill="1" applyAlignment="1" applyProtection="1">
      <alignment horizontal="center" vertical="center"/>
      <protection hidden="1"/>
    </xf>
    <xf numFmtId="0" fontId="0" fillId="5" borderId="5" xfId="0" applyFill="1" applyBorder="1" applyAlignment="1" applyProtection="1">
      <alignment horizontal="center" vertical="center"/>
      <protection hidden="1"/>
    </xf>
    <xf numFmtId="0" fontId="30" fillId="10" borderId="58" xfId="0" applyFont="1" applyFill="1" applyBorder="1" applyAlignment="1" applyProtection="1">
      <alignment horizontal="right" vertical="center"/>
      <protection hidden="1"/>
    </xf>
    <xf numFmtId="0" fontId="30" fillId="10" borderId="57" xfId="0" applyFont="1" applyFill="1" applyBorder="1" applyAlignment="1" applyProtection="1">
      <alignment horizontal="right" vertical="center"/>
      <protection hidden="1"/>
    </xf>
    <xf numFmtId="0" fontId="45" fillId="0" borderId="7" xfId="0" applyFont="1" applyBorder="1" applyAlignment="1">
      <alignment horizontal="center"/>
    </xf>
    <xf numFmtId="0" fontId="45" fillId="0" borderId="10" xfId="0" applyFont="1" applyBorder="1" applyAlignment="1">
      <alignment horizontal="center"/>
    </xf>
    <xf numFmtId="164" fontId="18" fillId="5" borderId="0" xfId="0" applyNumberFormat="1" applyFont="1" applyFill="1" applyAlignment="1" applyProtection="1">
      <alignment horizontal="center" vertical="center"/>
      <protection locked="0" hidden="1"/>
    </xf>
    <xf numFmtId="164" fontId="58" fillId="17" borderId="0" xfId="0" applyNumberFormat="1" applyFont="1" applyFill="1" applyAlignment="1" applyProtection="1">
      <alignment horizontal="center" vertical="center" textRotation="180"/>
      <protection locked="0" hidden="1"/>
    </xf>
    <xf numFmtId="164" fontId="58" fillId="17" borderId="0" xfId="0" applyNumberFormat="1" applyFont="1" applyFill="1" applyAlignment="1" applyProtection="1">
      <alignment horizontal="center" vertical="center"/>
      <protection locked="0" hidden="1"/>
    </xf>
    <xf numFmtId="2" fontId="57" fillId="7" borderId="0" xfId="0" applyNumberFormat="1" applyFont="1" applyFill="1" applyAlignment="1" applyProtection="1">
      <alignment horizontal="right" vertical="center"/>
      <protection hidden="1"/>
    </xf>
    <xf numFmtId="2" fontId="57" fillId="7" borderId="5" xfId="0" applyNumberFormat="1" applyFont="1" applyFill="1" applyBorder="1" applyAlignment="1" applyProtection="1">
      <alignment horizontal="right" vertical="center"/>
      <protection hidden="1"/>
    </xf>
    <xf numFmtId="164" fontId="16" fillId="7" borderId="57" xfId="0" applyNumberFormat="1" applyFont="1" applyFill="1" applyBorder="1" applyAlignment="1" applyProtection="1">
      <alignment horizontal="center" vertical="center"/>
      <protection locked="0" hidden="1"/>
    </xf>
    <xf numFmtId="164" fontId="16" fillId="7" borderId="63" xfId="0" applyNumberFormat="1" applyFont="1" applyFill="1" applyBorder="1" applyAlignment="1" applyProtection="1">
      <alignment horizontal="center" vertical="center"/>
      <protection locked="0" hidden="1"/>
    </xf>
    <xf numFmtId="0" fontId="9" fillId="24" borderId="0" xfId="0" applyFont="1" applyFill="1" applyAlignment="1" applyProtection="1">
      <alignment horizontal="center" vertical="center"/>
      <protection hidden="1"/>
    </xf>
    <xf numFmtId="0" fontId="0" fillId="23" borderId="15" xfId="0" applyFill="1" applyBorder="1" applyAlignment="1" applyProtection="1">
      <alignment horizontal="center" vertical="center"/>
      <protection hidden="1"/>
    </xf>
    <xf numFmtId="0" fontId="13" fillId="0" borderId="0" xfId="0" applyFont="1" applyAlignment="1" applyProtection="1">
      <alignment horizontal="right" vertical="center" textRotation="90" wrapText="1"/>
      <protection hidden="1"/>
    </xf>
    <xf numFmtId="164" fontId="58" fillId="17" borderId="0" xfId="0" applyNumberFormat="1" applyFont="1" applyFill="1" applyAlignment="1" applyProtection="1">
      <alignment horizontal="center" vertical="center" textRotation="90"/>
      <protection locked="0" hidden="1"/>
    </xf>
    <xf numFmtId="0" fontId="13" fillId="17" borderId="0" xfId="0" applyFont="1" applyFill="1" applyAlignment="1" applyProtection="1">
      <alignment horizontal="center" vertical="center" textRotation="90"/>
      <protection hidden="1"/>
    </xf>
    <xf numFmtId="0" fontId="13" fillId="17" borderId="0" xfId="0" applyFont="1" applyFill="1" applyAlignment="1" applyProtection="1">
      <alignment horizontal="center" vertical="center"/>
      <protection hidden="1"/>
    </xf>
    <xf numFmtId="0" fontId="16" fillId="11" borderId="57" xfId="0" applyFont="1" applyFill="1" applyBorder="1" applyAlignment="1" applyProtection="1">
      <alignment horizontal="center" vertical="center"/>
      <protection locked="0" hidden="1"/>
    </xf>
    <xf numFmtId="0" fontId="16" fillId="11" borderId="63" xfId="0" applyFont="1" applyFill="1" applyBorder="1" applyAlignment="1" applyProtection="1">
      <alignment horizontal="center" vertical="center"/>
      <protection locked="0" hidden="1"/>
    </xf>
    <xf numFmtId="0" fontId="35" fillId="0" borderId="57" xfId="0" applyFont="1" applyBorder="1" applyAlignment="1" applyProtection="1">
      <alignment horizontal="center" vertical="center"/>
      <protection hidden="1"/>
    </xf>
    <xf numFmtId="0" fontId="35" fillId="0" borderId="63" xfId="0" applyFont="1" applyBorder="1" applyAlignment="1" applyProtection="1">
      <alignment horizontal="center" vertical="center"/>
      <protection hidden="1"/>
    </xf>
    <xf numFmtId="0" fontId="56" fillId="35" borderId="49" xfId="7" applyFont="1" applyFill="1" applyBorder="1" applyAlignment="1" applyProtection="1">
      <alignment horizontal="center" vertical="center"/>
      <protection hidden="1"/>
    </xf>
    <xf numFmtId="0" fontId="16" fillId="0" borderId="0" xfId="0" applyFont="1" applyAlignment="1" applyProtection="1">
      <alignment horizontal="left" vertical="center"/>
      <protection hidden="1"/>
    </xf>
    <xf numFmtId="0" fontId="16" fillId="23" borderId="57" xfId="0" applyFont="1" applyFill="1" applyBorder="1" applyAlignment="1" applyProtection="1">
      <alignment horizontal="center" vertical="center"/>
      <protection locked="0" hidden="1"/>
    </xf>
    <xf numFmtId="0" fontId="16" fillId="23" borderId="63" xfId="0" applyFont="1" applyFill="1" applyBorder="1" applyAlignment="1" applyProtection="1">
      <alignment horizontal="center" vertical="center"/>
      <protection locked="0" hidden="1"/>
    </xf>
    <xf numFmtId="164" fontId="18" fillId="23" borderId="66" xfId="0" applyNumberFormat="1" applyFont="1" applyFill="1" applyBorder="1" applyAlignment="1" applyProtection="1">
      <alignment horizontal="center" vertical="center"/>
      <protection locked="0" hidden="1"/>
    </xf>
    <xf numFmtId="0" fontId="29" fillId="7" borderId="57" xfId="0" applyFont="1" applyFill="1" applyBorder="1" applyAlignment="1" applyProtection="1">
      <alignment horizontal="center" vertical="center"/>
      <protection locked="0" hidden="1"/>
    </xf>
    <xf numFmtId="0" fontId="30" fillId="22" borderId="58" xfId="0" applyFont="1" applyFill="1" applyBorder="1" applyAlignment="1" applyProtection="1">
      <alignment horizontal="center" vertical="center"/>
      <protection hidden="1"/>
    </xf>
    <xf numFmtId="0" fontId="30" fillId="22" borderId="57" xfId="0" applyFont="1" applyFill="1" applyBorder="1" applyAlignment="1" applyProtection="1">
      <alignment horizontal="center" vertical="center"/>
      <protection hidden="1"/>
    </xf>
    <xf numFmtId="0" fontId="30" fillId="10" borderId="58" xfId="0" applyFont="1" applyFill="1" applyBorder="1" applyAlignment="1" applyProtection="1">
      <alignment horizontal="left" vertical="center"/>
      <protection hidden="1"/>
    </xf>
    <xf numFmtId="0" fontId="30" fillId="10" borderId="57" xfId="0" applyFont="1" applyFill="1" applyBorder="1" applyAlignment="1" applyProtection="1">
      <alignment horizontal="left" vertical="center"/>
      <protection hidden="1"/>
    </xf>
    <xf numFmtId="0" fontId="61" fillId="25" borderId="68" xfId="0" applyFont="1" applyFill="1" applyBorder="1" applyAlignment="1" applyProtection="1">
      <alignment horizontal="center" vertical="center"/>
      <protection hidden="1"/>
    </xf>
    <xf numFmtId="164" fontId="60" fillId="17" borderId="0" xfId="0" applyNumberFormat="1" applyFont="1" applyFill="1" applyAlignment="1" applyProtection="1">
      <alignment horizontal="center" vertical="center"/>
      <protection locked="0" hidden="1"/>
    </xf>
    <xf numFmtId="0" fontId="13" fillId="17" borderId="0" xfId="0" applyFont="1" applyFill="1" applyAlignment="1" applyProtection="1">
      <alignment horizontal="center" vertical="center" textRotation="180"/>
      <protection hidden="1"/>
    </xf>
    <xf numFmtId="0" fontId="45" fillId="17" borderId="46" xfId="0" applyFont="1" applyFill="1" applyBorder="1" applyAlignment="1" applyProtection="1">
      <alignment horizontal="left" vertical="center" wrapText="1"/>
      <protection hidden="1"/>
    </xf>
    <xf numFmtId="0" fontId="45" fillId="17" borderId="0" xfId="0" applyFont="1" applyFill="1" applyAlignment="1" applyProtection="1">
      <alignment horizontal="left" vertical="center" wrapText="1"/>
      <protection hidden="1"/>
    </xf>
    <xf numFmtId="0" fontId="45" fillId="17" borderId="38" xfId="0" applyFont="1" applyFill="1" applyBorder="1" applyAlignment="1" applyProtection="1">
      <alignment horizontal="left" vertical="center" wrapText="1"/>
      <protection hidden="1"/>
    </xf>
    <xf numFmtId="0" fontId="45" fillId="17" borderId="47" xfId="0" applyFont="1" applyFill="1" applyBorder="1" applyAlignment="1" applyProtection="1">
      <alignment horizontal="left" vertical="center" wrapText="1"/>
      <protection hidden="1"/>
    </xf>
    <xf numFmtId="0" fontId="45" fillId="17" borderId="29" xfId="0" applyFont="1" applyFill="1" applyBorder="1" applyAlignment="1" applyProtection="1">
      <alignment horizontal="left" vertical="center" wrapText="1"/>
      <protection hidden="1"/>
    </xf>
    <xf numFmtId="0" fontId="45" fillId="17" borderId="48" xfId="0" applyFont="1" applyFill="1" applyBorder="1" applyAlignment="1" applyProtection="1">
      <alignment horizontal="left" vertical="center" wrapText="1"/>
      <protection hidden="1"/>
    </xf>
    <xf numFmtId="0" fontId="45" fillId="17" borderId="43" xfId="0" applyFont="1" applyFill="1" applyBorder="1" applyAlignment="1" applyProtection="1">
      <alignment horizontal="left" vertical="center" wrapText="1"/>
      <protection hidden="1"/>
    </xf>
    <xf numFmtId="0" fontId="45" fillId="17" borderId="44" xfId="0" applyFont="1" applyFill="1" applyBorder="1" applyAlignment="1" applyProtection="1">
      <alignment horizontal="left" vertical="center" wrapText="1"/>
      <protection hidden="1"/>
    </xf>
    <xf numFmtId="0" fontId="45" fillId="17" borderId="45" xfId="0" applyFont="1" applyFill="1" applyBorder="1" applyAlignment="1" applyProtection="1">
      <alignment horizontal="left" vertical="center" wrapText="1"/>
      <protection hidden="1"/>
    </xf>
    <xf numFmtId="164" fontId="18" fillId="23" borderId="67" xfId="0" applyNumberFormat="1" applyFont="1" applyFill="1" applyBorder="1" applyAlignment="1" applyProtection="1">
      <alignment horizontal="center" vertical="center"/>
      <protection locked="0" hidden="1"/>
    </xf>
    <xf numFmtId="0" fontId="0" fillId="7" borderId="57" xfId="0" applyFill="1" applyBorder="1" applyAlignment="1" applyProtection="1">
      <alignment horizontal="center" vertical="center"/>
      <protection locked="0" hidden="1"/>
    </xf>
    <xf numFmtId="0" fontId="0" fillId="7" borderId="63" xfId="0" applyFill="1" applyBorder="1" applyAlignment="1" applyProtection="1">
      <alignment horizontal="center" vertical="center"/>
      <protection locked="0" hidden="1"/>
    </xf>
    <xf numFmtId="0" fontId="62" fillId="22" borderId="57" xfId="0" applyFont="1" applyFill="1" applyBorder="1" applyAlignment="1" applyProtection="1">
      <alignment horizontal="center" vertical="center"/>
      <protection hidden="1"/>
    </xf>
    <xf numFmtId="0" fontId="64" fillId="22" borderId="0" xfId="7" applyFont="1" applyFill="1" applyAlignment="1" applyProtection="1">
      <alignment horizontal="center" vertical="center"/>
      <protection hidden="1"/>
    </xf>
    <xf numFmtId="0" fontId="16" fillId="17" borderId="57" xfId="0" applyFont="1" applyFill="1" applyBorder="1" applyAlignment="1" applyProtection="1">
      <alignment horizontal="center" vertical="center"/>
      <protection hidden="1"/>
    </xf>
    <xf numFmtId="0" fontId="16" fillId="17" borderId="63" xfId="0" applyFont="1" applyFill="1" applyBorder="1" applyAlignment="1" applyProtection="1">
      <alignment horizontal="center" vertical="center"/>
      <protection hidden="1"/>
    </xf>
    <xf numFmtId="0" fontId="16" fillId="11" borderId="72" xfId="0" applyFont="1" applyFill="1" applyBorder="1" applyAlignment="1" applyProtection="1">
      <alignment horizontal="center" vertical="center"/>
      <protection locked="0" hidden="1"/>
    </xf>
    <xf numFmtId="0" fontId="16" fillId="17" borderId="72" xfId="0" applyFont="1" applyFill="1" applyBorder="1" applyAlignment="1" applyProtection="1">
      <alignment horizontal="center" vertical="center"/>
      <protection hidden="1"/>
    </xf>
    <xf numFmtId="0" fontId="56" fillId="22" borderId="49" xfId="7" applyFont="1" applyFill="1" applyBorder="1" applyAlignment="1" applyProtection="1">
      <alignment horizontal="center" vertical="center"/>
      <protection hidden="1"/>
    </xf>
    <xf numFmtId="0" fontId="22" fillId="0" borderId="0" xfId="0" applyFont="1" applyAlignment="1" applyProtection="1">
      <alignment horizontal="center" vertical="center" wrapText="1"/>
      <protection hidden="1"/>
    </xf>
    <xf numFmtId="0" fontId="22" fillId="0" borderId="13" xfId="0" applyFont="1" applyBorder="1" applyAlignment="1" applyProtection="1">
      <alignment horizontal="center" vertical="center" wrapText="1"/>
      <protection hidden="1"/>
    </xf>
    <xf numFmtId="0" fontId="30" fillId="22" borderId="69" xfId="0" applyFont="1" applyFill="1" applyBorder="1" applyAlignment="1" applyProtection="1">
      <alignment horizontal="left" vertical="center"/>
      <protection hidden="1"/>
    </xf>
    <xf numFmtId="0" fontId="30" fillId="22" borderId="70" xfId="0" applyFont="1" applyFill="1" applyBorder="1" applyAlignment="1" applyProtection="1">
      <alignment horizontal="left" vertical="center"/>
      <protection hidden="1"/>
    </xf>
    <xf numFmtId="0" fontId="16" fillId="7" borderId="64" xfId="0" applyFont="1" applyFill="1" applyBorder="1" applyAlignment="1" applyProtection="1">
      <alignment horizontal="center" vertical="center" wrapText="1"/>
      <protection locked="0" hidden="1"/>
    </xf>
    <xf numFmtId="0" fontId="16" fillId="7" borderId="71" xfId="0" applyFont="1" applyFill="1" applyBorder="1" applyAlignment="1" applyProtection="1">
      <alignment horizontal="center" vertical="center" wrapText="1"/>
      <protection locked="0" hidden="1"/>
    </xf>
    <xf numFmtId="0" fontId="16" fillId="0" borderId="0" xfId="0" applyFont="1" applyAlignment="1" applyProtection="1">
      <alignment horizontal="center" vertical="center"/>
      <protection locked="0" hidden="1"/>
    </xf>
    <xf numFmtId="0" fontId="12" fillId="17" borderId="0" xfId="0" applyFont="1" applyFill="1" applyAlignment="1" applyProtection="1">
      <alignment horizontal="center" vertical="center"/>
      <protection locked="0" hidden="1"/>
    </xf>
    <xf numFmtId="0" fontId="33" fillId="35" borderId="61" xfId="1" applyFont="1" applyFill="1" applyBorder="1" applyAlignment="1" applyProtection="1">
      <alignment horizontal="center" vertical="center"/>
      <protection hidden="1"/>
    </xf>
    <xf numFmtId="0" fontId="33" fillId="35" borderId="0" xfId="1" applyFont="1" applyFill="1" applyBorder="1" applyAlignment="1" applyProtection="1">
      <alignment horizontal="center" vertical="center"/>
      <protection hidden="1"/>
    </xf>
    <xf numFmtId="0" fontId="59" fillId="35" borderId="0" xfId="1" applyFont="1" applyFill="1" applyBorder="1" applyAlignment="1" applyProtection="1">
      <alignment horizontal="center" vertical="center"/>
      <protection hidden="1"/>
    </xf>
    <xf numFmtId="0" fontId="9" fillId="24" borderId="0" xfId="0" applyFont="1" applyFill="1" applyAlignment="1" applyProtection="1">
      <alignment horizontal="center" vertical="center" textRotation="90"/>
      <protection hidden="1"/>
    </xf>
    <xf numFmtId="164" fontId="18" fillId="5" borderId="0" xfId="0" applyNumberFormat="1" applyFont="1" applyFill="1" applyAlignment="1" applyProtection="1">
      <alignment horizontal="center" vertical="center" textRotation="90"/>
      <protection locked="0" hidden="1"/>
    </xf>
    <xf numFmtId="0" fontId="55" fillId="35" borderId="0" xfId="7" applyFont="1" applyFill="1" applyAlignment="1" applyProtection="1">
      <alignment horizontal="center" vertical="center" wrapText="1"/>
      <protection locked="0" hidden="1"/>
    </xf>
    <xf numFmtId="0" fontId="36" fillId="0" borderId="0" xfId="8" applyFont="1" applyAlignment="1" applyProtection="1">
      <alignment horizontal="center" vertical="center" wrapText="1"/>
      <protection locked="0" hidden="1"/>
    </xf>
    <xf numFmtId="0" fontId="36" fillId="0" borderId="13" xfId="8" applyFont="1" applyBorder="1" applyAlignment="1" applyProtection="1">
      <alignment horizontal="center" vertical="center" wrapText="1"/>
      <protection locked="0" hidden="1"/>
    </xf>
    <xf numFmtId="0" fontId="56" fillId="10" borderId="0" xfId="7" applyFont="1" applyFill="1" applyAlignment="1" applyProtection="1">
      <alignment horizontal="center" vertical="center"/>
      <protection locked="0" hidden="1"/>
    </xf>
    <xf numFmtId="0" fontId="9" fillId="10" borderId="51" xfId="0" applyFont="1" applyFill="1" applyBorder="1" applyAlignment="1" applyProtection="1">
      <alignment horizontal="left" indent="1"/>
      <protection hidden="1"/>
    </xf>
    <xf numFmtId="0" fontId="9" fillId="0" borderId="0" xfId="0" applyFont="1" applyAlignment="1" applyProtection="1">
      <alignment horizontal="left" indent="1"/>
      <protection hidden="1"/>
    </xf>
    <xf numFmtId="0" fontId="13" fillId="0" borderId="0" xfId="0" applyFont="1" applyAlignment="1" applyProtection="1">
      <alignment horizontal="center"/>
      <protection locked="0" hidden="1"/>
    </xf>
    <xf numFmtId="0" fontId="13" fillId="0" borderId="0" xfId="0" applyFont="1" applyAlignment="1" applyProtection="1">
      <alignment horizontal="left" vertical="top" wrapText="1"/>
      <protection locked="0" hidden="1"/>
    </xf>
    <xf numFmtId="0" fontId="33" fillId="0" borderId="61" xfId="1" applyFont="1" applyFill="1" applyBorder="1" applyAlignment="1" applyProtection="1">
      <alignment horizontal="center" vertical="center"/>
      <protection hidden="1"/>
    </xf>
    <xf numFmtId="0" fontId="33" fillId="0" borderId="0" xfId="1"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9" fillId="17" borderId="0" xfId="0" applyFont="1" applyFill="1" applyAlignment="1" applyProtection="1">
      <alignment horizontal="left" indent="1"/>
      <protection hidden="1"/>
    </xf>
    <xf numFmtId="0" fontId="0" fillId="17" borderId="0" xfId="0" applyFill="1" applyAlignment="1" applyProtection="1">
      <alignment horizontal="center"/>
      <protection locked="0" hidden="1"/>
    </xf>
    <xf numFmtId="0" fontId="13" fillId="11" borderId="0" xfId="0" applyFont="1" applyFill="1" applyAlignment="1" applyProtection="1">
      <alignment horizontal="center"/>
      <protection locked="0" hidden="1"/>
    </xf>
    <xf numFmtId="3" fontId="13" fillId="11" borderId="0" xfId="0" applyNumberFormat="1" applyFont="1" applyFill="1" applyAlignment="1" applyProtection="1">
      <alignment horizontal="center"/>
      <protection locked="0" hidden="1"/>
    </xf>
    <xf numFmtId="0" fontId="9" fillId="0" borderId="0" xfId="0" applyFont="1" applyAlignment="1" applyProtection="1">
      <alignment horizontal="center"/>
      <protection hidden="1"/>
    </xf>
    <xf numFmtId="1" fontId="13" fillId="11" borderId="0" xfId="17" applyNumberFormat="1" applyFont="1" applyFill="1" applyBorder="1" applyAlignment="1" applyProtection="1">
      <alignment horizontal="right"/>
      <protection locked="0" hidden="1"/>
    </xf>
    <xf numFmtId="0" fontId="59" fillId="0" borderId="0" xfId="1" applyFont="1" applyFill="1" applyBorder="1" applyAlignment="1" applyProtection="1">
      <alignment horizontal="center" vertical="center"/>
      <protection hidden="1"/>
    </xf>
    <xf numFmtId="0" fontId="83" fillId="0" borderId="0" xfId="1" applyFont="1" applyFill="1" applyBorder="1" applyAlignment="1" applyProtection="1">
      <alignment horizontal="center" vertical="center"/>
      <protection hidden="1"/>
    </xf>
    <xf numFmtId="0" fontId="80" fillId="11" borderId="32" xfId="0" applyFont="1" applyFill="1" applyBorder="1" applyAlignment="1">
      <alignment horizontal="center" vertical="center" wrapText="1"/>
    </xf>
    <xf numFmtId="0" fontId="19" fillId="0" borderId="0" xfId="0" applyFont="1" applyAlignment="1">
      <alignment horizontal="left" vertical="center" wrapText="1"/>
    </xf>
    <xf numFmtId="0" fontId="81" fillId="17" borderId="30" xfId="0" applyFont="1" applyFill="1" applyBorder="1" applyAlignment="1">
      <alignment horizontal="center" vertical="center"/>
    </xf>
    <xf numFmtId="0" fontId="81" fillId="17" borderId="8" xfId="0" applyFont="1" applyFill="1" applyBorder="1" applyAlignment="1">
      <alignment horizontal="center" vertical="center"/>
    </xf>
    <xf numFmtId="0" fontId="81" fillId="17" borderId="50" xfId="0" applyFont="1" applyFill="1" applyBorder="1" applyAlignment="1">
      <alignment horizontal="center" vertical="center"/>
    </xf>
    <xf numFmtId="0" fontId="19" fillId="11" borderId="94" xfId="0" applyFont="1" applyFill="1" applyBorder="1" applyAlignment="1">
      <alignment horizontal="center"/>
    </xf>
    <xf numFmtId="0" fontId="19" fillId="11" borderId="95" xfId="0" applyFont="1" applyFill="1" applyBorder="1" applyAlignment="1">
      <alignment horizontal="center"/>
    </xf>
    <xf numFmtId="0" fontId="81" fillId="17" borderId="96" xfId="0" applyFont="1" applyFill="1" applyBorder="1" applyAlignment="1">
      <alignment horizontal="center" vertical="center"/>
    </xf>
    <xf numFmtId="0" fontId="0" fillId="0" borderId="78" xfId="0" applyBorder="1" applyAlignment="1">
      <alignment horizontal="center"/>
    </xf>
    <xf numFmtId="0" fontId="0" fillId="0" borderId="97" xfId="0" applyBorder="1" applyAlignment="1">
      <alignment horizontal="center"/>
    </xf>
    <xf numFmtId="0" fontId="19" fillId="0" borderId="0" xfId="0" applyFont="1" applyAlignment="1">
      <alignment horizontal="center" vertical="top" wrapText="1"/>
    </xf>
    <xf numFmtId="0" fontId="59" fillId="35" borderId="61" xfId="1" applyFont="1" applyFill="1" applyBorder="1" applyAlignment="1" applyProtection="1">
      <alignment horizontal="center" vertical="center"/>
      <protection hidden="1"/>
    </xf>
    <xf numFmtId="0" fontId="13" fillId="33" borderId="62" xfId="0" applyFont="1" applyFill="1" applyBorder="1" applyAlignment="1" applyProtection="1">
      <alignment horizontal="center"/>
      <protection hidden="1"/>
    </xf>
    <xf numFmtId="0" fontId="13" fillId="33" borderId="65" xfId="0" applyFont="1" applyFill="1" applyBorder="1" applyAlignment="1" applyProtection="1">
      <alignment horizontal="center"/>
      <protection hidden="1"/>
    </xf>
    <xf numFmtId="0" fontId="0" fillId="0" borderId="18" xfId="0" applyBorder="1" applyAlignment="1" applyProtection="1">
      <alignment horizontal="center"/>
      <protection hidden="1"/>
    </xf>
    <xf numFmtId="0" fontId="0" fillId="0" borderId="19" xfId="0" applyBorder="1" applyAlignment="1" applyProtection="1">
      <alignment horizontal="center"/>
      <protection hidden="1"/>
    </xf>
    <xf numFmtId="0" fontId="0" fillId="0" borderId="20" xfId="0" applyBorder="1" applyAlignment="1" applyProtection="1">
      <alignment horizontal="center"/>
      <protection hidden="1"/>
    </xf>
    <xf numFmtId="0" fontId="0" fillId="0" borderId="66" xfId="0" applyBorder="1" applyAlignment="1" applyProtection="1">
      <alignment horizontal="center"/>
      <protection locked="0"/>
    </xf>
    <xf numFmtId="0" fontId="35" fillId="11" borderId="57" xfId="0" applyFont="1" applyFill="1" applyBorder="1" applyAlignment="1" applyProtection="1">
      <alignment horizontal="center" vertical="center"/>
      <protection locked="0" hidden="1"/>
    </xf>
    <xf numFmtId="0" fontId="35" fillId="11" borderId="65" xfId="0" applyFont="1" applyFill="1" applyBorder="1" applyAlignment="1" applyProtection="1">
      <alignment horizontal="center" vertical="center"/>
      <protection locked="0" hidden="1"/>
    </xf>
    <xf numFmtId="9" fontId="13" fillId="17" borderId="0" xfId="17" applyFont="1" applyFill="1" applyBorder="1" applyAlignment="1" applyProtection="1">
      <alignment horizontal="center"/>
      <protection locked="0" hidden="1"/>
    </xf>
    <xf numFmtId="0" fontId="33" fillId="35" borderId="61" xfId="1" applyFont="1" applyFill="1" applyBorder="1" applyAlignment="1" applyProtection="1">
      <alignment horizontal="center" vertical="center"/>
      <protection locked="0" hidden="1"/>
    </xf>
    <xf numFmtId="0" fontId="33" fillId="35" borderId="0" xfId="1" applyFont="1" applyFill="1" applyBorder="1" applyAlignment="1" applyProtection="1">
      <alignment horizontal="center" vertical="center"/>
      <protection locked="0" hidden="1"/>
    </xf>
    <xf numFmtId="0" fontId="35" fillId="0" borderId="65" xfId="0" applyFont="1" applyBorder="1" applyAlignment="1" applyProtection="1">
      <alignment horizontal="center" vertical="center"/>
      <protection hidden="1"/>
    </xf>
    <xf numFmtId="0" fontId="103" fillId="10" borderId="0" xfId="7" applyFont="1" applyFill="1" applyAlignment="1" applyProtection="1">
      <alignment horizontal="center"/>
      <protection hidden="1"/>
    </xf>
    <xf numFmtId="0" fontId="103" fillId="10" borderId="60" xfId="7" applyFont="1" applyFill="1" applyBorder="1" applyAlignment="1" applyProtection="1">
      <alignment horizontal="center"/>
      <protection hidden="1"/>
    </xf>
    <xf numFmtId="0" fontId="35" fillId="17" borderId="0" xfId="0" applyFont="1" applyFill="1" applyAlignment="1" applyProtection="1">
      <alignment horizontal="center"/>
      <protection locked="0" hidden="1"/>
    </xf>
    <xf numFmtId="0" fontId="30" fillId="17" borderId="0" xfId="0" applyFont="1" applyFill="1" applyAlignment="1" applyProtection="1">
      <alignment horizontal="left" indent="1"/>
      <protection hidden="1"/>
    </xf>
    <xf numFmtId="0" fontId="30" fillId="10" borderId="62" xfId="0" applyFont="1" applyFill="1" applyBorder="1" applyAlignment="1" applyProtection="1">
      <alignment horizontal="left" vertical="center" indent="1"/>
      <protection hidden="1"/>
    </xf>
    <xf numFmtId="0" fontId="30" fillId="10" borderId="57" xfId="0" applyFont="1" applyFill="1" applyBorder="1" applyAlignment="1" applyProtection="1">
      <alignment horizontal="left" vertical="center" indent="1"/>
      <protection hidden="1"/>
    </xf>
    <xf numFmtId="0" fontId="30" fillId="10" borderId="0" xfId="0" applyFont="1" applyFill="1" applyAlignment="1" applyProtection="1">
      <alignment horizontal="left" indent="1"/>
      <protection hidden="1"/>
    </xf>
    <xf numFmtId="0" fontId="35" fillId="11" borderId="0" xfId="0" applyFont="1" applyFill="1" applyAlignment="1" applyProtection="1">
      <alignment horizontal="center"/>
      <protection locked="0" hidden="1"/>
    </xf>
    <xf numFmtId="0" fontId="35" fillId="11" borderId="57" xfId="0" applyFont="1" applyFill="1" applyBorder="1" applyAlignment="1" applyProtection="1">
      <alignment horizontal="center"/>
      <protection locked="0" hidden="1"/>
    </xf>
    <xf numFmtId="0" fontId="35" fillId="11" borderId="65" xfId="0" applyFont="1" applyFill="1" applyBorder="1" applyAlignment="1" applyProtection="1">
      <alignment horizontal="center"/>
      <protection locked="0" hidden="1"/>
    </xf>
    <xf numFmtId="2" fontId="43" fillId="11" borderId="0" xfId="0" applyNumberFormat="1" applyFont="1" applyFill="1" applyAlignment="1" applyProtection="1">
      <alignment horizontal="right" vertical="center"/>
      <protection hidden="1"/>
    </xf>
    <xf numFmtId="2" fontId="43" fillId="11" borderId="64" xfId="0" applyNumberFormat="1" applyFont="1" applyFill="1" applyBorder="1" applyAlignment="1" applyProtection="1">
      <alignment horizontal="right" vertical="center"/>
      <protection hidden="1"/>
    </xf>
    <xf numFmtId="2" fontId="43" fillId="11" borderId="60" xfId="0" applyNumberFormat="1" applyFont="1" applyFill="1" applyBorder="1" applyAlignment="1" applyProtection="1">
      <alignment horizontal="left" vertical="center"/>
      <protection hidden="1"/>
    </xf>
    <xf numFmtId="2" fontId="43" fillId="11" borderId="84" xfId="0" applyNumberFormat="1" applyFont="1" applyFill="1" applyBorder="1" applyAlignment="1" applyProtection="1">
      <alignment horizontal="left" vertical="center"/>
      <protection hidden="1"/>
    </xf>
    <xf numFmtId="2" fontId="43" fillId="0" borderId="0" xfId="0" applyNumberFormat="1" applyFont="1" applyAlignment="1" applyProtection="1">
      <alignment horizontal="right" vertical="center"/>
      <protection hidden="1"/>
    </xf>
    <xf numFmtId="164" fontId="35" fillId="11" borderId="57" xfId="0" applyNumberFormat="1" applyFont="1" applyFill="1" applyBorder="1" applyAlignment="1" applyProtection="1">
      <alignment horizontal="center" vertical="center"/>
      <protection locked="0" hidden="1"/>
    </xf>
    <xf numFmtId="164" fontId="35" fillId="11" borderId="65" xfId="0" applyNumberFormat="1" applyFont="1" applyFill="1" applyBorder="1" applyAlignment="1" applyProtection="1">
      <alignment horizontal="center" vertical="center"/>
      <protection locked="0" hidden="1"/>
    </xf>
    <xf numFmtId="0" fontId="82" fillId="0" borderId="0" xfId="1" applyFont="1" applyFill="1" applyAlignment="1" applyProtection="1">
      <alignment horizontal="center" vertical="center" wrapText="1"/>
      <protection locked="0" hidden="1"/>
    </xf>
    <xf numFmtId="2" fontId="43" fillId="0" borderId="0" xfId="0" applyNumberFormat="1" applyFont="1" applyAlignment="1" applyProtection="1">
      <alignment horizontal="left" vertical="center"/>
      <protection hidden="1"/>
    </xf>
    <xf numFmtId="0" fontId="30" fillId="0" borderId="0" xfId="0" applyFont="1" applyAlignment="1" applyProtection="1">
      <alignment horizontal="right" vertical="center"/>
      <protection hidden="1"/>
    </xf>
    <xf numFmtId="0" fontId="0" fillId="0" borderId="0" xfId="0" applyAlignment="1" applyProtection="1">
      <alignment horizontal="center"/>
      <protection hidden="1"/>
    </xf>
    <xf numFmtId="0" fontId="16" fillId="0" borderId="0" xfId="0" applyFont="1" applyAlignment="1" applyProtection="1">
      <alignment horizontal="center" vertical="center" wrapText="1"/>
      <protection hidden="1"/>
    </xf>
    <xf numFmtId="0" fontId="30" fillId="10" borderId="61" xfId="0" applyFont="1" applyFill="1" applyBorder="1" applyAlignment="1" applyProtection="1">
      <alignment horizontal="right" vertical="center" indent="1"/>
      <protection hidden="1"/>
    </xf>
    <xf numFmtId="0" fontId="30" fillId="10" borderId="0" xfId="0" applyFont="1" applyFill="1" applyAlignment="1" applyProtection="1">
      <alignment horizontal="right" vertical="center" indent="1"/>
      <protection hidden="1"/>
    </xf>
    <xf numFmtId="0" fontId="30" fillId="10" borderId="83" xfId="0" applyFont="1" applyFill="1" applyBorder="1" applyAlignment="1" applyProtection="1">
      <alignment horizontal="right" vertical="center" indent="1"/>
      <protection hidden="1"/>
    </xf>
    <xf numFmtId="0" fontId="30" fillId="10" borderId="64" xfId="0" applyFont="1" applyFill="1" applyBorder="1" applyAlignment="1" applyProtection="1">
      <alignment horizontal="right" vertical="center" indent="1"/>
      <protection hidden="1"/>
    </xf>
    <xf numFmtId="0" fontId="0" fillId="5" borderId="64" xfId="0" applyFill="1" applyBorder="1" applyAlignment="1" applyProtection="1">
      <alignment horizontal="center" vertical="center"/>
      <protection hidden="1"/>
    </xf>
    <xf numFmtId="0" fontId="14" fillId="0" borderId="18"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50" fillId="0" borderId="40" xfId="0" applyFont="1" applyBorder="1" applyAlignment="1" applyProtection="1">
      <alignment horizontal="center" vertical="center" textRotation="90"/>
      <protection locked="0"/>
    </xf>
    <xf numFmtId="0" fontId="50" fillId="0" borderId="41" xfId="0" applyFont="1" applyBorder="1" applyAlignment="1" applyProtection="1">
      <alignment horizontal="center" vertical="center" textRotation="90"/>
      <protection locked="0"/>
    </xf>
    <xf numFmtId="0" fontId="50" fillId="0" borderId="42" xfId="0" applyFont="1" applyBorder="1" applyAlignment="1" applyProtection="1">
      <alignment horizontal="center" vertical="center" textRotation="90"/>
      <protection locked="0"/>
    </xf>
    <xf numFmtId="0" fontId="53" fillId="0" borderId="0" xfId="0" applyFont="1" applyAlignment="1" applyProtection="1">
      <alignment horizontal="center" vertical="center" textRotation="90"/>
      <protection locked="0"/>
    </xf>
    <xf numFmtId="0" fontId="42" fillId="0" borderId="9" xfId="0" applyFont="1" applyBorder="1" applyAlignment="1" applyProtection="1">
      <alignment horizontal="center" vertical="center" textRotation="90" wrapText="1"/>
      <protection locked="0"/>
    </xf>
    <xf numFmtId="0" fontId="42" fillId="0" borderId="11" xfId="0" applyFont="1" applyBorder="1" applyAlignment="1" applyProtection="1">
      <alignment horizontal="center" vertical="center" textRotation="90" wrapText="1"/>
      <protection locked="0"/>
    </xf>
    <xf numFmtId="0" fontId="42" fillId="0" borderId="16" xfId="0" applyFont="1" applyBorder="1" applyAlignment="1" applyProtection="1">
      <alignment horizontal="center" vertical="center" textRotation="90" wrapText="1"/>
      <protection locked="0"/>
    </xf>
    <xf numFmtId="0" fontId="14" fillId="0" borderId="0" xfId="0" applyFont="1" applyAlignment="1" applyProtection="1">
      <alignment horizontal="center"/>
      <protection locked="0"/>
    </xf>
    <xf numFmtId="0" fontId="14" fillId="0" borderId="39"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0" fillId="0" borderId="0" xfId="0" applyAlignment="1" applyProtection="1">
      <alignment horizontal="left" wrapText="1"/>
      <protection hidden="1"/>
    </xf>
    <xf numFmtId="0" fontId="0" fillId="8" borderId="12" xfId="0" applyFill="1" applyBorder="1" applyAlignment="1" applyProtection="1">
      <alignment horizontal="center"/>
      <protection hidden="1"/>
    </xf>
    <xf numFmtId="0" fontId="0" fillId="8" borderId="14" xfId="0" applyFill="1" applyBorder="1" applyAlignment="1" applyProtection="1">
      <alignment horizontal="center"/>
      <protection hidden="1"/>
    </xf>
    <xf numFmtId="0" fontId="21" fillId="0" borderId="0" xfId="0" applyFont="1" applyAlignment="1" applyProtection="1">
      <alignment horizontal="left" wrapText="1"/>
      <protection hidden="1"/>
    </xf>
    <xf numFmtId="0" fontId="59" fillId="10" borderId="61" xfId="1" applyFont="1" applyFill="1" applyBorder="1" applyAlignment="1" applyProtection="1">
      <alignment horizontal="center" vertical="center" wrapText="1"/>
      <protection locked="0" hidden="1"/>
    </xf>
    <xf numFmtId="0" fontId="59" fillId="10" borderId="0" xfId="1"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hidden="1"/>
    </xf>
    <xf numFmtId="0" fontId="0" fillId="0" borderId="0" xfId="0" applyAlignment="1" applyProtection="1">
      <alignment horizontal="left" vertical="top" wrapText="1"/>
      <protection hidden="1"/>
    </xf>
    <xf numFmtId="0" fontId="13" fillId="17" borderId="0" xfId="0" applyFont="1" applyFill="1" applyAlignment="1" applyProtection="1">
      <alignment horizontal="center"/>
      <protection locked="0" hidden="1"/>
    </xf>
    <xf numFmtId="0" fontId="9" fillId="17" borderId="0" xfId="0" applyFont="1" applyFill="1" applyAlignment="1" applyProtection="1">
      <alignment horizontal="left" vertical="center" indent="1"/>
      <protection hidden="1"/>
    </xf>
    <xf numFmtId="0" fontId="9" fillId="10" borderId="29" xfId="0" applyFont="1" applyFill="1" applyBorder="1" applyAlignment="1" applyProtection="1">
      <alignment horizontal="center" vertical="center"/>
      <protection hidden="1"/>
    </xf>
    <xf numFmtId="164" fontId="13" fillId="16" borderId="29" xfId="0" applyNumberFormat="1" applyFont="1" applyFill="1" applyBorder="1" applyAlignment="1" applyProtection="1">
      <alignment horizontal="center" vertical="center"/>
      <protection hidden="1"/>
    </xf>
    <xf numFmtId="0" fontId="9" fillId="10" borderId="0" xfId="0" applyFont="1" applyFill="1" applyAlignment="1" applyProtection="1">
      <alignment horizontal="left" vertical="center" indent="1"/>
      <protection hidden="1"/>
    </xf>
    <xf numFmtId="0" fontId="13" fillId="11" borderId="29" xfId="0" applyFont="1" applyFill="1" applyBorder="1" applyAlignment="1" applyProtection="1">
      <alignment horizontal="center"/>
      <protection locked="0" hidden="1"/>
    </xf>
    <xf numFmtId="0" fontId="9" fillId="17" borderId="0" xfId="0" applyFont="1" applyFill="1" applyAlignment="1" applyProtection="1">
      <alignment horizontal="center"/>
      <protection hidden="1"/>
    </xf>
    <xf numFmtId="2" fontId="13" fillId="0" borderId="0" xfId="0" applyNumberFormat="1" applyFont="1" applyAlignment="1" applyProtection="1">
      <alignment horizontal="center"/>
      <protection hidden="1"/>
    </xf>
    <xf numFmtId="0" fontId="0" fillId="0" borderId="0" xfId="0" applyAlignment="1" applyProtection="1">
      <alignment horizontal="center" vertical="center" wrapText="1"/>
      <protection hidden="1"/>
    </xf>
    <xf numFmtId="0" fontId="84" fillId="0" borderId="0" xfId="1" applyFont="1" applyAlignment="1" applyProtection="1">
      <alignment horizontal="center" vertical="center" wrapText="1"/>
      <protection locked="0" hidden="1"/>
    </xf>
    <xf numFmtId="0" fontId="13" fillId="11" borderId="75" xfId="0" applyFont="1" applyFill="1" applyBorder="1" applyAlignment="1" applyProtection="1">
      <alignment horizontal="center"/>
      <protection hidden="1"/>
    </xf>
    <xf numFmtId="0" fontId="13" fillId="11" borderId="76" xfId="0" applyFont="1" applyFill="1" applyBorder="1" applyAlignment="1" applyProtection="1">
      <alignment horizontal="center"/>
      <protection hidden="1"/>
    </xf>
    <xf numFmtId="0" fontId="13" fillId="11" borderId="77" xfId="0" applyFont="1" applyFill="1" applyBorder="1" applyAlignment="1" applyProtection="1">
      <alignment horizontal="center"/>
      <protection hidden="1"/>
    </xf>
    <xf numFmtId="0" fontId="9" fillId="10" borderId="29" xfId="0" applyFont="1" applyFill="1" applyBorder="1" applyAlignment="1" applyProtection="1">
      <alignment horizontal="left" vertical="center" indent="1"/>
      <protection hidden="1"/>
    </xf>
    <xf numFmtId="0" fontId="13" fillId="11" borderId="29" xfId="0" applyFont="1" applyFill="1" applyBorder="1" applyAlignment="1" applyProtection="1">
      <alignment horizontal="center" vertical="center"/>
      <protection hidden="1"/>
    </xf>
    <xf numFmtId="0" fontId="9" fillId="10" borderId="0" xfId="0" applyFont="1" applyFill="1" applyAlignment="1" applyProtection="1">
      <alignment horizontal="left" vertical="center"/>
      <protection hidden="1"/>
    </xf>
    <xf numFmtId="0" fontId="9" fillId="10" borderId="53" xfId="0" applyFont="1" applyFill="1" applyBorder="1" applyAlignment="1" applyProtection="1">
      <alignment horizontal="left" vertical="center"/>
      <protection hidden="1"/>
    </xf>
    <xf numFmtId="0" fontId="9" fillId="10" borderId="29" xfId="0" applyFont="1" applyFill="1" applyBorder="1" applyAlignment="1" applyProtection="1">
      <alignment horizontal="left" vertical="center"/>
      <protection hidden="1"/>
    </xf>
    <xf numFmtId="0" fontId="13" fillId="11" borderId="52" xfId="0" applyFont="1" applyFill="1" applyBorder="1" applyAlignment="1" applyProtection="1">
      <alignment horizontal="center"/>
      <protection locked="0" hidden="1"/>
    </xf>
    <xf numFmtId="0" fontId="13" fillId="11" borderId="53" xfId="0" applyFont="1" applyFill="1" applyBorder="1" applyAlignment="1" applyProtection="1">
      <alignment horizontal="center"/>
      <protection locked="0" hidden="1"/>
    </xf>
    <xf numFmtId="0" fontId="13" fillId="11" borderId="73" xfId="0" applyFont="1" applyFill="1" applyBorder="1" applyAlignment="1" applyProtection="1">
      <alignment horizontal="center"/>
      <protection locked="0" hidden="1"/>
    </xf>
    <xf numFmtId="0" fontId="13" fillId="11" borderId="74" xfId="0" applyFont="1" applyFill="1" applyBorder="1" applyAlignment="1" applyProtection="1">
      <alignment horizontal="center"/>
      <protection locked="0" hidden="1"/>
    </xf>
    <xf numFmtId="0" fontId="13" fillId="0" borderId="0" xfId="0" applyFont="1" applyAlignment="1" applyProtection="1">
      <alignment horizontal="center" vertical="center" wrapText="1"/>
      <protection hidden="1"/>
    </xf>
    <xf numFmtId="0" fontId="13" fillId="11" borderId="52" xfId="0" applyFont="1" applyFill="1" applyBorder="1" applyAlignment="1" applyProtection="1">
      <alignment horizontal="center" vertical="center" wrapText="1"/>
      <protection locked="0" hidden="1"/>
    </xf>
    <xf numFmtId="0" fontId="13" fillId="11" borderId="0" xfId="0" applyFont="1" applyFill="1" applyAlignment="1" applyProtection="1">
      <alignment horizontal="center" vertical="center" wrapText="1"/>
      <protection locked="0" hidden="1"/>
    </xf>
    <xf numFmtId="0" fontId="13" fillId="11" borderId="53" xfId="0" applyFont="1" applyFill="1" applyBorder="1" applyAlignment="1" applyProtection="1">
      <alignment horizontal="center" vertical="center" wrapText="1"/>
      <protection locked="0" hidden="1"/>
    </xf>
    <xf numFmtId="0" fontId="13" fillId="11" borderId="54" xfId="0" applyFont="1" applyFill="1" applyBorder="1" applyAlignment="1" applyProtection="1">
      <alignment horizontal="center" vertical="center" wrapText="1"/>
      <protection locked="0" hidden="1"/>
    </xf>
    <xf numFmtId="0" fontId="13" fillId="11" borderId="55" xfId="0" applyFont="1" applyFill="1" applyBorder="1" applyAlignment="1" applyProtection="1">
      <alignment horizontal="center" vertical="center" wrapText="1"/>
      <protection locked="0" hidden="1"/>
    </xf>
    <xf numFmtId="0" fontId="13" fillId="11" borderId="56" xfId="0" applyFont="1" applyFill="1" applyBorder="1" applyAlignment="1" applyProtection="1">
      <alignment horizontal="center" vertical="center" wrapText="1"/>
      <protection locked="0" hidden="1"/>
    </xf>
    <xf numFmtId="0" fontId="18" fillId="17" borderId="0" xfId="0" applyFont="1" applyFill="1" applyAlignment="1" applyProtection="1">
      <alignment horizontal="center" vertical="center"/>
      <protection hidden="1"/>
    </xf>
    <xf numFmtId="43" fontId="13" fillId="11" borderId="30" xfId="19" applyFont="1" applyFill="1" applyBorder="1" applyAlignment="1" applyProtection="1">
      <alignment horizontal="right"/>
      <protection hidden="1"/>
    </xf>
    <xf numFmtId="43" fontId="13" fillId="11" borderId="8" xfId="19" applyFont="1" applyFill="1" applyBorder="1" applyAlignment="1" applyProtection="1">
      <alignment horizontal="right"/>
      <protection hidden="1"/>
    </xf>
    <xf numFmtId="0" fontId="18" fillId="17" borderId="0" xfId="0" applyFont="1" applyFill="1" applyAlignment="1" applyProtection="1">
      <alignment horizontal="left" vertical="center"/>
      <protection hidden="1"/>
    </xf>
    <xf numFmtId="0" fontId="6" fillId="17" borderId="0" xfId="0" applyFont="1" applyFill="1" applyAlignment="1" applyProtection="1">
      <alignment horizontal="center" vertical="center"/>
      <protection hidden="1"/>
    </xf>
    <xf numFmtId="0" fontId="76" fillId="10" borderId="0" xfId="7" applyFont="1" applyFill="1" applyAlignment="1" applyProtection="1">
      <alignment horizontal="left" vertical="center"/>
      <protection hidden="1"/>
    </xf>
    <xf numFmtId="0" fontId="67" fillId="0" borderId="0" xfId="8" applyFont="1" applyAlignment="1" applyProtection="1">
      <alignment horizontal="left" wrapText="1" indent="1"/>
      <protection hidden="1"/>
    </xf>
    <xf numFmtId="0" fontId="0" fillId="0" borderId="93" xfId="0" applyBorder="1" applyAlignment="1" applyProtection="1">
      <alignment horizontal="center"/>
      <protection hidden="1"/>
    </xf>
    <xf numFmtId="0" fontId="16" fillId="0" borderId="0" xfId="0" applyFont="1" applyAlignment="1" applyProtection="1">
      <alignment horizontal="center" vertical="center" textRotation="90" wrapText="1"/>
      <protection locked="0" hidden="1"/>
    </xf>
    <xf numFmtId="0" fontId="20" fillId="0" borderId="0" xfId="0" applyFont="1" applyAlignment="1" applyProtection="1">
      <alignment horizontal="center" vertical="center" textRotation="90"/>
      <protection hidden="1"/>
    </xf>
    <xf numFmtId="0" fontId="16" fillId="0" borderId="0" xfId="0" applyFont="1" applyAlignment="1" applyProtection="1">
      <alignment horizontal="center" vertical="center" textRotation="90"/>
      <protection hidden="1"/>
    </xf>
    <xf numFmtId="0" fontId="69" fillId="11" borderId="0" xfId="0" applyFont="1" applyFill="1" applyAlignment="1" applyProtection="1">
      <alignment horizontal="left"/>
      <protection hidden="1"/>
    </xf>
    <xf numFmtId="0" fontId="20" fillId="0" borderId="0" xfId="0" applyFont="1" applyAlignment="1" applyProtection="1">
      <alignment horizontal="center" vertical="center"/>
      <protection hidden="1"/>
    </xf>
    <xf numFmtId="0" fontId="69" fillId="11" borderId="0" xfId="0" applyFont="1" applyFill="1" applyAlignment="1" applyProtection="1">
      <alignment horizontal="left" vertical="center"/>
      <protection hidden="1"/>
    </xf>
    <xf numFmtId="0" fontId="65" fillId="35" borderId="61" xfId="1" applyFont="1" applyFill="1" applyBorder="1" applyAlignment="1" applyProtection="1">
      <alignment horizontal="center" vertical="center"/>
      <protection hidden="1"/>
    </xf>
    <xf numFmtId="0" fontId="65" fillId="35" borderId="0" xfId="1" applyFont="1" applyFill="1" applyBorder="1" applyAlignment="1" applyProtection="1">
      <alignment horizontal="center" vertical="center"/>
      <protection hidden="1"/>
    </xf>
    <xf numFmtId="0" fontId="85" fillId="10" borderId="0" xfId="7" applyFont="1" applyFill="1" applyAlignment="1" applyProtection="1">
      <alignment horizontal="center" vertical="center"/>
      <protection hidden="1"/>
    </xf>
    <xf numFmtId="0" fontId="0" fillId="0" borderId="0" xfId="0" applyAlignment="1" applyProtection="1">
      <alignment horizontal="left" vertical="center" indent="2"/>
      <protection hidden="1"/>
    </xf>
    <xf numFmtId="0" fontId="0" fillId="0" borderId="0" xfId="0" applyAlignment="1" applyProtection="1">
      <alignment horizontal="center" vertical="center"/>
      <protection hidden="1"/>
    </xf>
    <xf numFmtId="0" fontId="69" fillId="16" borderId="0" xfId="0" applyFont="1" applyFill="1" applyAlignment="1" applyProtection="1">
      <alignment horizontal="left" vertical="center"/>
      <protection hidden="1"/>
    </xf>
    <xf numFmtId="0" fontId="105" fillId="0" borderId="0" xfId="0" applyFont="1" applyAlignment="1" applyProtection="1">
      <alignment horizontal="left" vertical="center"/>
      <protection hidden="1"/>
    </xf>
    <xf numFmtId="0" fontId="0" fillId="0" borderId="0" xfId="0" applyProtection="1">
      <protection hidden="1"/>
    </xf>
    <xf numFmtId="0" fontId="66" fillId="11" borderId="0" xfId="0" applyFont="1" applyFill="1" applyAlignment="1" applyProtection="1">
      <alignment horizontal="center"/>
      <protection hidden="1"/>
    </xf>
    <xf numFmtId="0" fontId="13" fillId="10" borderId="0" xfId="0" applyFont="1" applyFill="1" applyAlignment="1" applyProtection="1">
      <alignment horizontal="left"/>
      <protection hidden="1"/>
    </xf>
    <xf numFmtId="2" fontId="13" fillId="11" borderId="0" xfId="21" applyNumberFormat="1" applyFont="1" applyFill="1" applyAlignment="1" applyProtection="1">
      <alignment horizontal="center" vertical="center"/>
      <protection hidden="1"/>
    </xf>
    <xf numFmtId="1" fontId="35" fillId="11" borderId="0" xfId="0" applyNumberFormat="1" applyFont="1" applyFill="1" applyAlignment="1" applyProtection="1">
      <alignment horizontal="center" vertical="center"/>
      <protection hidden="1"/>
    </xf>
    <xf numFmtId="14" fontId="0" fillId="0" borderId="0" xfId="0" applyNumberFormat="1" applyAlignment="1" applyProtection="1">
      <alignment horizontal="center"/>
      <protection hidden="1"/>
    </xf>
    <xf numFmtId="0" fontId="66" fillId="11" borderId="0" xfId="0" applyFont="1" applyFill="1" applyAlignment="1" applyProtection="1">
      <alignment horizontal="left"/>
      <protection hidden="1"/>
    </xf>
    <xf numFmtId="0" fontId="13" fillId="10" borderId="0" xfId="0" applyFont="1" applyFill="1" applyAlignment="1" applyProtection="1">
      <alignment horizontal="left" vertical="center" wrapText="1"/>
      <protection hidden="1"/>
    </xf>
    <xf numFmtId="2" fontId="13" fillId="11" borderId="0" xfId="0" applyNumberFormat="1" applyFont="1" applyFill="1" applyAlignment="1" applyProtection="1">
      <alignment horizontal="center" vertical="center"/>
      <protection hidden="1"/>
    </xf>
    <xf numFmtId="0" fontId="7" fillId="0" borderId="0" xfId="1" applyFill="1" applyBorder="1" applyAlignment="1" applyProtection="1">
      <alignment horizontal="center" vertical="center" wrapText="1"/>
      <protection hidden="1"/>
    </xf>
    <xf numFmtId="0" fontId="68" fillId="35" borderId="0" xfId="1" applyFont="1" applyFill="1" applyAlignment="1" applyProtection="1">
      <alignment horizontal="center"/>
      <protection locked="0" hidden="1"/>
    </xf>
    <xf numFmtId="0" fontId="29" fillId="0" borderId="0" xfId="0" applyFont="1" applyAlignment="1" applyProtection="1">
      <alignment horizontal="center" vertical="center"/>
      <protection hidden="1"/>
    </xf>
    <xf numFmtId="0" fontId="0" fillId="0" borderId="0" xfId="0" applyAlignment="1" applyProtection="1">
      <alignment horizontal="right" vertical="center"/>
      <protection hidden="1"/>
    </xf>
    <xf numFmtId="0" fontId="21" fillId="0" borderId="0" xfId="9" applyFont="1" applyAlignment="1" applyProtection="1">
      <alignment horizontal="right" vertical="center"/>
      <protection hidden="1"/>
    </xf>
    <xf numFmtId="0" fontId="36" fillId="0" borderId="0" xfId="8" applyFont="1" applyAlignment="1" applyProtection="1">
      <alignment horizontal="left" wrapText="1" indent="1"/>
      <protection hidden="1"/>
    </xf>
    <xf numFmtId="0" fontId="29" fillId="0" borderId="0" xfId="0" applyFont="1" applyAlignment="1" applyProtection="1">
      <alignment horizontal="center"/>
      <protection hidden="1"/>
    </xf>
    <xf numFmtId="0" fontId="30" fillId="11" borderId="0" xfId="9" applyFont="1" applyFill="1" applyAlignment="1" applyProtection="1">
      <alignment horizontal="center" vertical="center"/>
      <protection hidden="1"/>
    </xf>
    <xf numFmtId="0" fontId="33" fillId="35" borderId="0" xfId="1" applyFont="1" applyFill="1" applyAlignment="1" applyProtection="1">
      <alignment horizontal="center" vertical="center"/>
      <protection hidden="1"/>
    </xf>
    <xf numFmtId="1" fontId="13" fillId="0" borderId="0" xfId="0" applyNumberFormat="1" applyFont="1" applyAlignment="1" applyProtection="1">
      <alignment horizontal="left" vertical="top"/>
      <protection hidden="1"/>
    </xf>
    <xf numFmtId="0" fontId="100" fillId="0" borderId="0" xfId="0" applyFont="1" applyAlignment="1" applyProtection="1">
      <alignment horizontal="center" vertical="center" textRotation="90"/>
      <protection hidden="1"/>
    </xf>
    <xf numFmtId="0" fontId="9" fillId="17" borderId="0" xfId="0" applyFont="1" applyFill="1" applyAlignment="1" applyProtection="1">
      <alignment horizontal="left"/>
      <protection hidden="1"/>
    </xf>
    <xf numFmtId="0" fontId="0" fillId="0" borderId="31" xfId="0" applyBorder="1" applyAlignment="1" applyProtection="1">
      <alignment horizontal="center"/>
      <protection hidden="1"/>
    </xf>
    <xf numFmtId="0" fontId="0" fillId="17" borderId="31" xfId="0" applyFill="1" applyBorder="1" applyAlignment="1" applyProtection="1">
      <alignment horizontal="center"/>
      <protection hidden="1"/>
    </xf>
    <xf numFmtId="0" fontId="6" fillId="20" borderId="31" xfId="0" applyFont="1" applyFill="1" applyBorder="1" applyAlignment="1" applyProtection="1">
      <alignment horizontal="left"/>
      <protection hidden="1"/>
    </xf>
    <xf numFmtId="0" fontId="102" fillId="0" borderId="30" xfId="0" applyFont="1" applyBorder="1" applyAlignment="1" applyProtection="1">
      <alignment horizontal="center" vertical="center"/>
      <protection hidden="1"/>
    </xf>
    <xf numFmtId="0" fontId="102" fillId="0" borderId="8" xfId="0" applyFont="1" applyBorder="1" applyAlignment="1" applyProtection="1">
      <alignment horizontal="center" vertical="center"/>
      <protection hidden="1"/>
    </xf>
    <xf numFmtId="0" fontId="102" fillId="0" borderId="50" xfId="0" applyFont="1" applyBorder="1" applyAlignment="1" applyProtection="1">
      <alignment horizontal="center" vertical="center"/>
      <protection hidden="1"/>
    </xf>
    <xf numFmtId="0" fontId="19" fillId="20" borderId="31" xfId="0" applyFont="1" applyFill="1" applyBorder="1" applyAlignment="1" applyProtection="1">
      <alignment horizontal="center" vertical="center"/>
      <protection hidden="1"/>
    </xf>
    <xf numFmtId="0" fontId="9" fillId="0" borderId="31" xfId="0" applyFont="1" applyBorder="1" applyAlignment="1" applyProtection="1">
      <alignment horizontal="left"/>
      <protection hidden="1"/>
    </xf>
    <xf numFmtId="0" fontId="6" fillId="20" borderId="0" xfId="0" applyFont="1" applyFill="1" applyAlignment="1" applyProtection="1">
      <alignment horizontal="left"/>
      <protection hidden="1"/>
    </xf>
    <xf numFmtId="0" fontId="33" fillId="10" borderId="61" xfId="1" applyFont="1" applyFill="1" applyBorder="1" applyAlignment="1" applyProtection="1">
      <alignment horizontal="center" vertical="center"/>
      <protection locked="0" hidden="1"/>
    </xf>
    <xf numFmtId="0" fontId="33" fillId="10" borderId="0" xfId="1" applyFont="1" applyFill="1" applyBorder="1" applyAlignment="1" applyProtection="1">
      <alignment horizontal="center" vertical="center"/>
      <protection locked="0" hidden="1"/>
    </xf>
    <xf numFmtId="0" fontId="6" fillId="20" borderId="30" xfId="0" applyFont="1" applyFill="1" applyBorder="1" applyAlignment="1" applyProtection="1">
      <alignment horizontal="center" vertical="center"/>
      <protection hidden="1"/>
    </xf>
    <xf numFmtId="0" fontId="6" fillId="20" borderId="8" xfId="0" applyFont="1" applyFill="1" applyBorder="1" applyAlignment="1" applyProtection="1">
      <alignment horizontal="center" vertical="center"/>
      <protection hidden="1"/>
    </xf>
    <xf numFmtId="164" fontId="18" fillId="17" borderId="8" xfId="0" applyNumberFormat="1" applyFont="1" applyFill="1" applyBorder="1" applyAlignment="1" applyProtection="1">
      <alignment horizontal="center" vertical="center"/>
      <protection locked="0" hidden="1"/>
    </xf>
    <xf numFmtId="164" fontId="18" fillId="17" borderId="50" xfId="0" applyNumberFormat="1" applyFont="1" applyFill="1" applyBorder="1" applyAlignment="1" applyProtection="1">
      <alignment horizontal="center" vertical="center"/>
      <protection locked="0" hidden="1"/>
    </xf>
    <xf numFmtId="164" fontId="18" fillId="17" borderId="12" xfId="0" applyNumberFormat="1" applyFont="1" applyFill="1" applyBorder="1" applyAlignment="1" applyProtection="1">
      <alignment horizontal="center" vertical="center" textRotation="90"/>
      <protection locked="0" hidden="1"/>
    </xf>
    <xf numFmtId="164" fontId="18" fillId="17" borderId="6" xfId="0" applyNumberFormat="1" applyFont="1" applyFill="1" applyBorder="1" applyAlignment="1" applyProtection="1">
      <alignment horizontal="center" vertical="center" textRotation="90"/>
      <protection locked="0" hidden="1"/>
    </xf>
    <xf numFmtId="0" fontId="6" fillId="20" borderId="6" xfId="0" applyFont="1" applyFill="1" applyBorder="1" applyAlignment="1" applyProtection="1">
      <alignment horizontal="center" vertical="center" textRotation="90"/>
      <protection hidden="1"/>
    </xf>
    <xf numFmtId="0" fontId="6" fillId="20" borderId="14" xfId="0" applyFont="1" applyFill="1" applyBorder="1" applyAlignment="1" applyProtection="1">
      <alignment horizontal="center" vertical="center" textRotation="90"/>
      <protection hidden="1"/>
    </xf>
    <xf numFmtId="0" fontId="0" fillId="17" borderId="29" xfId="0" applyFill="1" applyBorder="1" applyAlignment="1" applyProtection="1">
      <alignment horizontal="center"/>
      <protection hidden="1"/>
    </xf>
    <xf numFmtId="0" fontId="70" fillId="20" borderId="0" xfId="0" applyFont="1" applyFill="1" applyAlignment="1" applyProtection="1">
      <alignment horizontal="center" vertical="center" textRotation="180"/>
      <protection hidden="1"/>
    </xf>
    <xf numFmtId="0" fontId="0" fillId="17" borderId="31" xfId="0" applyFill="1" applyBorder="1" applyAlignment="1" applyProtection="1">
      <alignment horizontal="center" vertical="center"/>
      <protection hidden="1"/>
    </xf>
    <xf numFmtId="49" fontId="12" fillId="0" borderId="43" xfId="0" applyNumberFormat="1" applyFont="1" applyBorder="1" applyAlignment="1" applyProtection="1">
      <alignment horizontal="center" vertical="center" wrapText="1"/>
      <protection hidden="1"/>
    </xf>
    <xf numFmtId="49" fontId="12" fillId="0" borderId="44" xfId="0" applyNumberFormat="1" applyFont="1" applyBorder="1" applyAlignment="1" applyProtection="1">
      <alignment horizontal="center" vertical="center" wrapText="1"/>
      <protection hidden="1"/>
    </xf>
    <xf numFmtId="49" fontId="12" fillId="0" borderId="45" xfId="0" applyNumberFormat="1" applyFont="1" applyBorder="1" applyAlignment="1" applyProtection="1">
      <alignment horizontal="center" vertical="center" wrapText="1"/>
      <protection hidden="1"/>
    </xf>
    <xf numFmtId="49" fontId="12" fillId="0" borderId="46" xfId="0" applyNumberFormat="1" applyFont="1" applyBorder="1" applyAlignment="1" applyProtection="1">
      <alignment horizontal="center" vertical="center" wrapText="1"/>
      <protection hidden="1"/>
    </xf>
    <xf numFmtId="49" fontId="12" fillId="0" borderId="0" xfId="0" applyNumberFormat="1" applyFont="1" applyAlignment="1" applyProtection="1">
      <alignment horizontal="center" vertical="center" wrapText="1"/>
      <protection hidden="1"/>
    </xf>
    <xf numFmtId="49" fontId="12" fillId="0" borderId="38" xfId="0" applyNumberFormat="1" applyFont="1" applyBorder="1" applyAlignment="1" applyProtection="1">
      <alignment horizontal="center" vertical="center" wrapText="1"/>
      <protection hidden="1"/>
    </xf>
    <xf numFmtId="49" fontId="12" fillId="0" borderId="47" xfId="0" applyNumberFormat="1" applyFont="1" applyBorder="1" applyAlignment="1" applyProtection="1">
      <alignment horizontal="center" vertical="center" wrapText="1"/>
      <protection hidden="1"/>
    </xf>
    <xf numFmtId="49" fontId="12" fillId="0" borderId="29" xfId="0" applyNumberFormat="1" applyFont="1" applyBorder="1" applyAlignment="1" applyProtection="1">
      <alignment horizontal="center" vertical="center" wrapText="1"/>
      <protection hidden="1"/>
    </xf>
    <xf numFmtId="49" fontId="12" fillId="0" borderId="48" xfId="0" applyNumberFormat="1" applyFont="1" applyBorder="1" applyAlignment="1" applyProtection="1">
      <alignment horizontal="center" vertical="center" wrapText="1"/>
      <protection hidden="1"/>
    </xf>
    <xf numFmtId="0" fontId="0" fillId="17" borderId="31" xfId="0" applyFill="1" applyBorder="1" applyAlignment="1" applyProtection="1">
      <alignment horizontal="left"/>
      <protection hidden="1"/>
    </xf>
    <xf numFmtId="0" fontId="6" fillId="20" borderId="31" xfId="0" applyFont="1" applyFill="1" applyBorder="1" applyAlignment="1" applyProtection="1">
      <alignment horizontal="center"/>
      <protection hidden="1"/>
    </xf>
    <xf numFmtId="0" fontId="0" fillId="0" borderId="31" xfId="0" applyBorder="1" applyAlignment="1">
      <alignment horizontal="left"/>
    </xf>
    <xf numFmtId="0" fontId="27" fillId="17" borderId="0" xfId="0" applyFont="1" applyFill="1" applyAlignment="1" applyProtection="1">
      <alignment horizontal="center"/>
      <protection hidden="1"/>
    </xf>
    <xf numFmtId="0" fontId="78" fillId="0" borderId="0" xfId="0" applyFont="1" applyAlignment="1" applyProtection="1">
      <alignment horizontal="center" vertical="center"/>
      <protection hidden="1"/>
    </xf>
    <xf numFmtId="0" fontId="13" fillId="0" borderId="0" xfId="0" applyFont="1" applyAlignment="1" applyProtection="1">
      <alignment horizontal="left" vertical="top" wrapText="1"/>
      <protection hidden="1"/>
    </xf>
    <xf numFmtId="0" fontId="9" fillId="0" borderId="0" xfId="0" applyFont="1" applyAlignment="1" applyProtection="1">
      <alignment horizontal="left"/>
      <protection hidden="1"/>
    </xf>
    <xf numFmtId="2" fontId="99" fillId="0" borderId="0" xfId="0" applyNumberFormat="1" applyFont="1" applyAlignment="1" applyProtection="1">
      <alignment horizontal="right" vertical="center"/>
      <protection hidden="1"/>
    </xf>
    <xf numFmtId="0" fontId="99" fillId="0" borderId="0" xfId="0" applyFont="1" applyAlignment="1" applyProtection="1">
      <alignment horizontal="right" vertical="center"/>
      <protection hidden="1"/>
    </xf>
    <xf numFmtId="0" fontId="0" fillId="0" borderId="80" xfId="0"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13" fillId="33" borderId="57" xfId="0" applyFont="1" applyFill="1" applyBorder="1" applyAlignment="1" applyProtection="1">
      <alignment horizontal="center"/>
      <protection hidden="1"/>
    </xf>
    <xf numFmtId="0" fontId="21" fillId="0" borderId="0" xfId="0" applyFont="1" applyAlignment="1" applyProtection="1">
      <alignment horizontal="center"/>
      <protection hidden="1"/>
    </xf>
    <xf numFmtId="0" fontId="21" fillId="0" borderId="0" xfId="0" applyFont="1" applyAlignment="1" applyProtection="1">
      <alignment horizontal="center" wrapText="1"/>
      <protection hidden="1"/>
    </xf>
    <xf numFmtId="164" fontId="58" fillId="17" borderId="0" xfId="0" applyNumberFormat="1" applyFont="1" applyFill="1" applyAlignment="1" applyProtection="1">
      <alignment vertical="center" textRotation="180"/>
      <protection locked="0" hidden="1"/>
    </xf>
    <xf numFmtId="0" fontId="13" fillId="0" borderId="0" xfId="0" applyFont="1" applyAlignment="1" applyProtection="1">
      <alignment vertical="center" textRotation="180" wrapText="1"/>
      <protection hidden="1"/>
    </xf>
    <xf numFmtId="0" fontId="13" fillId="0" borderId="0" xfId="0" applyFont="1" applyAlignment="1" applyProtection="1">
      <alignment horizontal="center" vertical="center" textRotation="180" wrapText="1"/>
      <protection hidden="1"/>
    </xf>
  </cellXfs>
  <cellStyles count="22">
    <cellStyle name="Čárka" xfId="19" builtinId="3"/>
    <cellStyle name="Excel Built-in Normal" xfId="18" xr:uid="{23FA0CDA-DD58-4FC5-B696-068C3BF5CA8A}"/>
    <cellStyle name="Hypertextový odkaz" xfId="1" builtinId="8"/>
    <cellStyle name="Hypertextový odkaz 2" xfId="2" xr:uid="{72689374-BDE2-4D04-94B1-D83F1A41717D}"/>
    <cellStyle name="Měna" xfId="21" builtinId="4"/>
    <cellStyle name="Měna 2" xfId="3" xr:uid="{04803869-CABA-4954-9274-C3D63C26FE12}"/>
    <cellStyle name="Normální" xfId="0" builtinId="0"/>
    <cellStyle name="normální 10" xfId="4" xr:uid="{C12F5525-FCF1-418B-9419-1D98ADF09A4A}"/>
    <cellStyle name="normální 11" xfId="5" xr:uid="{62BD2A5E-E1E1-4B71-B837-5427E95C9E42}"/>
    <cellStyle name="normální 12" xfId="6" xr:uid="{4FD246D4-A57E-44F1-9864-45F09B3D2832}"/>
    <cellStyle name="Normální 13" xfId="7" xr:uid="{0FADEEB3-DF91-48ED-A187-B247A8023018}"/>
    <cellStyle name="Normální 13 2" xfId="8" xr:uid="{B34BA3FE-C4A4-459C-A812-9CFB55A0FE65}"/>
    <cellStyle name="normální 2" xfId="9" xr:uid="{4C107E5F-6539-4689-9C21-517655002373}"/>
    <cellStyle name="Normální 2 2" xfId="20" xr:uid="{D0DDCCA8-94A2-48FD-9418-11571545F30B}"/>
    <cellStyle name="normální 3" xfId="10" xr:uid="{07730DC6-8CBB-49C2-AC1A-72DDF8BD9409}"/>
    <cellStyle name="normální 4" xfId="11" xr:uid="{AE5DD1EE-93C0-42FB-A31E-353037E2FA64}"/>
    <cellStyle name="normální 5" xfId="12" xr:uid="{FD57E485-35D0-4D95-9BAF-1256DA48D81D}"/>
    <cellStyle name="normální 6" xfId="13" xr:uid="{31500C07-3F01-442E-B71B-1891A8D0E56B}"/>
    <cellStyle name="normální 7" xfId="14" xr:uid="{D74732A5-E202-4D2C-ACC5-D8F1F84AB2F4}"/>
    <cellStyle name="normální 8" xfId="15" xr:uid="{22B792F4-B021-4D30-B165-85A2302DABD4}"/>
    <cellStyle name="normální 9" xfId="16" xr:uid="{2DEB91A9-DF2D-40B1-B872-BB1B03059AAE}"/>
    <cellStyle name="Procenta" xfId="17" builtinId="5"/>
  </cellStyles>
  <dxfs count="502">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ill>
        <patternFill>
          <bgColor rgb="FFFFFFCC"/>
        </patternFill>
      </fill>
    </dxf>
    <dxf>
      <fill>
        <patternFill>
          <bgColor rgb="FF92D050"/>
        </patternFill>
      </fill>
      <border>
        <vertical/>
        <horizontal/>
      </border>
    </dxf>
    <dxf>
      <fill>
        <patternFill patternType="none">
          <bgColor auto="1"/>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34998626667073579"/>
      </font>
      <fill>
        <patternFill patternType="none">
          <bgColor auto="1"/>
        </patternFill>
      </fill>
    </dxf>
    <dxf>
      <font>
        <color rgb="FF9C0006"/>
      </font>
      <fill>
        <patternFill>
          <bgColor rgb="FFFFC7CE"/>
        </patternFill>
      </fill>
    </dxf>
    <dxf>
      <fill>
        <patternFill>
          <bgColor theme="6" tint="0.59996337778862885"/>
        </patternFill>
      </fill>
    </dxf>
    <dxf>
      <font>
        <b/>
        <i val="0"/>
        <color rgb="FFFFFF00"/>
      </font>
      <fill>
        <patternFill>
          <bgColor rgb="FFFF0000"/>
        </patternFill>
      </fill>
    </dxf>
    <dxf>
      <font>
        <color theme="0" tint="-0.499984740745262"/>
      </font>
    </dxf>
    <dxf>
      <font>
        <b/>
        <i val="0"/>
        <color rgb="FFFFFF00"/>
      </font>
      <fill>
        <patternFill>
          <bgColor rgb="FFFF0000"/>
        </patternFill>
      </fill>
    </dxf>
    <dxf>
      <font>
        <color theme="0" tint="-0.24994659260841701"/>
      </font>
    </dxf>
    <dxf>
      <fill>
        <patternFill>
          <bgColor theme="3" tint="0.39994506668294322"/>
        </patternFill>
      </fill>
    </dxf>
    <dxf>
      <font>
        <color theme="0" tint="-0.14996795556505021"/>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0000"/>
      </font>
      <fill>
        <patternFill>
          <bgColor rgb="FFFFFF00"/>
        </patternFill>
      </fill>
    </dxf>
    <dxf>
      <font>
        <b/>
        <i val="0"/>
        <color rgb="FFFF0000"/>
      </font>
      <fill>
        <patternFill>
          <bgColor rgb="FFFFFF00"/>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FF00"/>
      </font>
      <fill>
        <patternFill>
          <bgColor rgb="FFFF0000"/>
        </patternFill>
      </fill>
    </dxf>
    <dxf>
      <fill>
        <patternFill>
          <bgColor rgb="FFFFFFCC"/>
        </patternFill>
      </fill>
    </dxf>
    <dxf>
      <fill>
        <patternFill>
          <bgColor rgb="FFFFFFCC"/>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dxf>
    <dxf>
      <font>
        <color theme="0"/>
      </font>
    </dxf>
    <dxf>
      <font>
        <color theme="0"/>
      </font>
    </dxf>
    <dxf>
      <font>
        <color theme="0"/>
      </font>
    </dxf>
    <dxf>
      <font>
        <color theme="0"/>
      </font>
    </dxf>
    <dxf>
      <font>
        <color theme="0"/>
      </font>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color theme="0"/>
      </font>
      <fill>
        <patternFill>
          <bgColor theme="0"/>
        </patternFill>
      </fill>
      <border>
        <left/>
        <right/>
        <top style="dotted">
          <color indexed="64"/>
        </top>
        <bottom style="dotted">
          <color indexed="64"/>
        </bottom>
      </border>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b/>
        <i val="0"/>
        <color theme="1"/>
      </font>
      <fill>
        <patternFill>
          <bgColor rgb="FFB7DEE8"/>
        </patternFill>
      </fill>
    </dxf>
    <dxf>
      <font>
        <color theme="1"/>
      </font>
      <fill>
        <patternFill>
          <bgColor rgb="FFFFFF00"/>
        </patternFill>
      </fill>
    </dxf>
    <dxf>
      <font>
        <color theme="0"/>
      </font>
    </dxf>
    <dxf>
      <font>
        <color theme="0"/>
      </font>
    </dxf>
    <dxf>
      <font>
        <color theme="0"/>
      </font>
    </dxf>
    <dxf>
      <font>
        <color theme="0"/>
      </font>
    </dxf>
    <dxf>
      <font>
        <color theme="0"/>
      </font>
    </dxf>
    <dxf>
      <font>
        <color theme="0"/>
      </font>
    </dxf>
    <dxf>
      <font>
        <color theme="1"/>
      </font>
      <fill>
        <patternFill>
          <bgColor rgb="FFFFFF00"/>
        </patternFill>
      </fill>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auto="1"/>
      </font>
      <fill>
        <patternFill>
          <bgColor rgb="FF92D050"/>
        </patternFill>
      </fill>
    </dxf>
    <dxf>
      <font>
        <color auto="1"/>
      </font>
      <fill>
        <patternFill>
          <bgColor rgb="FF92D050"/>
        </patternFill>
      </fill>
    </dxf>
    <dxf>
      <font>
        <color rgb="FF009EE0"/>
      </font>
    </dxf>
    <dxf>
      <font>
        <color rgb="FF009EE0"/>
      </font>
    </dxf>
    <dxf>
      <font>
        <color rgb="FF009EE0"/>
      </font>
    </dxf>
    <dxf>
      <font>
        <color rgb="FF009EE0"/>
      </font>
    </dxf>
    <dxf>
      <font>
        <color rgb="FF009EE0"/>
      </font>
    </dxf>
    <dxf>
      <font>
        <color rgb="FF009EE0"/>
      </font>
    </dxf>
    <dxf>
      <font>
        <color rgb="FF009EE0"/>
      </font>
    </dxf>
    <dxf>
      <font>
        <color rgb="FF009EE0"/>
      </font>
    </dxf>
    <dxf>
      <font>
        <b/>
        <i val="0"/>
        <strike val="0"/>
        <color rgb="FFFF0000"/>
      </font>
    </dxf>
    <dxf>
      <font>
        <color rgb="FF009EE0"/>
      </font>
    </dxf>
    <dxf>
      <fill>
        <patternFill>
          <bgColor rgb="FF00B0F0"/>
        </patternFill>
      </fill>
    </dxf>
    <dxf>
      <fill>
        <patternFill>
          <bgColor rgb="FF00B0F0"/>
        </patternFill>
      </fill>
    </dxf>
    <dxf>
      <fill>
        <patternFill>
          <bgColor theme="0" tint="-0.14996795556505021"/>
        </patternFill>
      </fill>
      <border>
        <bottom style="dashed">
          <color auto="1"/>
        </bottom>
      </border>
    </dxf>
    <dxf>
      <font>
        <color theme="1"/>
      </font>
      <fill>
        <patternFill>
          <bgColor rgb="FFFFFF00"/>
        </patternFill>
      </fill>
    </dxf>
    <dxf>
      <fill>
        <patternFill>
          <bgColor theme="3"/>
        </patternFill>
      </fill>
    </dxf>
    <dxf>
      <fill>
        <patternFill>
          <bgColor rgb="FF00B0F0"/>
        </patternFill>
      </fill>
    </dxf>
    <dxf>
      <fill>
        <patternFill>
          <bgColor rgb="FF00B0F0"/>
        </patternFill>
      </fill>
    </dxf>
    <dxf>
      <fill>
        <patternFill>
          <bgColor rgb="FF00B0F0"/>
        </patternFill>
      </fill>
    </dxf>
    <dxf>
      <fill>
        <patternFill>
          <bgColor rgb="FF009EE0"/>
        </patternFill>
      </fill>
    </dxf>
    <dxf>
      <fill>
        <patternFill>
          <bgColor theme="2"/>
        </patternFill>
      </fill>
    </dxf>
    <dxf>
      <fill>
        <patternFill>
          <bgColor theme="2"/>
        </patternFill>
      </fill>
    </dxf>
    <dxf>
      <fill>
        <patternFill>
          <bgColor theme="3"/>
        </patternFill>
      </fill>
    </dxf>
    <dxf>
      <fill>
        <patternFill>
          <bgColor rgb="FF004984"/>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ill>
        <patternFill patternType="darkDown"/>
      </fill>
    </dxf>
    <dxf>
      <fill>
        <patternFill patternType="darkDown"/>
      </fill>
    </dxf>
    <dxf>
      <font>
        <b val="0"/>
        <i val="0"/>
        <strike val="0"/>
      </font>
      <fill>
        <patternFill>
          <bgColor rgb="FFFF0000"/>
        </patternFill>
      </fill>
    </dxf>
    <dxf>
      <font>
        <b val="0"/>
        <i val="0"/>
        <strike val="0"/>
      </font>
      <fill>
        <patternFill>
          <bgColor rgb="FFFF0000"/>
        </patternFill>
      </fill>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rgb="FFFF0000"/>
        </patternFill>
      </fill>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b val="0"/>
        <i val="0"/>
        <strike val="0"/>
        <color theme="1"/>
      </font>
    </dxf>
    <dxf>
      <font>
        <strike val="0"/>
        <color theme="0"/>
      </font>
      <fill>
        <patternFill>
          <bgColor theme="1" tint="0.499984740745262"/>
        </patternFill>
      </fill>
      <border>
        <left style="hair">
          <color indexed="64"/>
        </left>
        <right style="hair">
          <color indexed="64"/>
        </right>
        <top style="hair">
          <color indexed="64"/>
        </top>
        <bottom style="hair">
          <color indexed="64"/>
        </bottom>
      </border>
    </dxf>
    <dxf>
      <font>
        <strike val="0"/>
        <color theme="1"/>
      </font>
      <fill>
        <patternFill>
          <bgColor rgb="FF92D050"/>
        </patternFill>
      </fill>
      <border>
        <left style="hair">
          <color indexed="64"/>
        </left>
        <right style="hair">
          <color indexed="64"/>
        </right>
        <top style="hair">
          <color indexed="64"/>
        </top>
        <bottom style="hair">
          <color indexed="64"/>
        </bottom>
      </border>
    </dxf>
    <dxf>
      <font>
        <b val="0"/>
        <i val="0"/>
        <strike val="0"/>
        <color theme="1"/>
      </font>
    </dxf>
    <dxf>
      <font>
        <b val="0"/>
        <i val="0"/>
        <strike val="0"/>
        <color theme="1"/>
      </font>
    </dxf>
    <dxf>
      <fill>
        <patternFill>
          <bgColor rgb="FFFF0000"/>
        </patternFill>
      </fill>
    </dxf>
    <dxf>
      <font>
        <strike val="0"/>
        <color theme="1"/>
      </font>
      <fill>
        <patternFill>
          <bgColor rgb="FF92D050"/>
        </patternFill>
      </fill>
      <border>
        <left style="hair">
          <color indexed="64"/>
        </left>
        <right style="hair">
          <color indexed="64"/>
        </right>
        <top style="hair">
          <color indexed="64"/>
        </top>
        <bottom style="hair">
          <color indexed="64"/>
        </bottom>
      </border>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patternType="gray125"/>
      </fill>
    </dxf>
    <dxf>
      <font>
        <color theme="1"/>
      </font>
      <fill>
        <patternFill>
          <bgColor theme="5" tint="0.79998168889431442"/>
        </patternFill>
      </fill>
    </dxf>
    <dxf>
      <font>
        <color theme="0"/>
      </font>
      <fill>
        <patternFill>
          <bgColor theme="0"/>
        </patternFill>
      </fill>
      <border>
        <bottom/>
      </border>
    </dxf>
    <dxf>
      <font>
        <color theme="0"/>
      </font>
      <fill>
        <patternFill>
          <bgColor theme="0"/>
        </patternFill>
      </fill>
    </dxf>
    <dxf>
      <font>
        <color theme="1"/>
      </font>
      <fill>
        <patternFill>
          <bgColor theme="5" tint="0.39994506668294322"/>
        </patternFill>
      </fill>
    </dxf>
    <dxf>
      <font>
        <color theme="0" tint="-0.499984740745262"/>
      </font>
      <fill>
        <patternFill>
          <bgColor theme="0" tint="-0.499984740745262"/>
        </patternFill>
      </fill>
    </dxf>
    <dxf>
      <font>
        <strike val="0"/>
        <color theme="0"/>
      </font>
      <fill>
        <patternFill>
          <bgColor theme="0"/>
        </patternFill>
      </fill>
      <border>
        <bottom/>
      </border>
    </dxf>
    <dxf>
      <font>
        <strike val="0"/>
        <color theme="0"/>
      </font>
      <fill>
        <patternFill>
          <bgColor theme="0"/>
        </patternFill>
      </fill>
      <border>
        <bottom/>
      </border>
    </dxf>
    <dxf>
      <font>
        <b/>
        <i val="0"/>
        <color theme="1"/>
      </font>
      <fill>
        <patternFill>
          <bgColor rgb="FF92D05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dxf>
    <dxf>
      <font>
        <color theme="0"/>
      </font>
      <fill>
        <patternFill>
          <bgColor theme="0"/>
        </patternFill>
      </fill>
    </dxf>
    <dxf>
      <font>
        <color theme="0"/>
      </font>
      <fill>
        <patternFill>
          <bgColor theme="0"/>
        </patternFill>
      </fill>
      <border>
        <bottom/>
      </border>
    </dxf>
    <dxf>
      <font>
        <color theme="0"/>
      </font>
      <fill>
        <patternFill>
          <bgColor theme="0"/>
        </patternFill>
      </fill>
      <border>
        <bottom/>
      </border>
    </dxf>
    <dxf>
      <font>
        <strike val="0"/>
        <color theme="0"/>
      </font>
      <fill>
        <patternFill>
          <bgColor theme="0"/>
        </patternFill>
      </fill>
      <border>
        <bottom/>
      </border>
    </dxf>
    <dxf>
      <font>
        <strike val="0"/>
        <color theme="0"/>
      </font>
      <fill>
        <patternFill>
          <bgColor theme="0"/>
        </patternFill>
      </fill>
      <border>
        <bottom/>
      </border>
    </dxf>
    <dxf>
      <font>
        <color theme="0"/>
      </font>
      <fill>
        <patternFill>
          <bgColor theme="0"/>
        </patternFill>
      </fill>
    </dxf>
    <dxf>
      <font>
        <color theme="0"/>
      </font>
      <fill>
        <patternFill>
          <bgColor theme="3"/>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indexed="20"/>
      </font>
      <fill>
        <patternFill>
          <bgColor indexed="45"/>
        </patternFill>
      </fill>
    </dxf>
    <dxf>
      <font>
        <color indexed="17"/>
      </font>
      <fill>
        <patternFill>
          <bgColor indexed="42"/>
        </patternFill>
      </fill>
    </dxf>
    <dxf>
      <font>
        <color indexed="17"/>
      </font>
      <fill>
        <patternFill>
          <bgColor indexed="42"/>
        </patternFill>
      </fill>
    </dxf>
    <dxf>
      <fill>
        <patternFill>
          <fgColor theme="0"/>
          <bgColor theme="0"/>
        </patternFill>
      </fill>
    </dxf>
    <dxf>
      <fill>
        <patternFill>
          <bgColor rgb="FFFFFF00"/>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ill>
        <patternFill>
          <bgColor rgb="FF009EE0"/>
        </patternFill>
      </fill>
    </dxf>
    <dxf>
      <fill>
        <patternFill>
          <bgColor theme="0" tint="-0.14996795556505021"/>
        </patternFill>
      </fill>
    </dxf>
    <dxf>
      <fill>
        <patternFill>
          <bgColor rgb="FF00B0F0"/>
        </patternFill>
      </fill>
    </dxf>
    <dxf>
      <fill>
        <patternFill>
          <bgColor rgb="FF00B0F0"/>
        </patternFill>
      </fill>
    </dxf>
    <dxf>
      <font>
        <color theme="0"/>
      </font>
      <fill>
        <patternFill>
          <bgColor rgb="FF009EE0"/>
        </patternFill>
      </fill>
    </dxf>
    <dxf>
      <fill>
        <patternFill>
          <bgColor theme="2"/>
        </patternFill>
      </fill>
    </dxf>
    <dxf>
      <fill>
        <patternFill>
          <bgColor theme="2"/>
        </patternFill>
      </fill>
    </dxf>
    <dxf>
      <font>
        <color theme="0"/>
      </font>
      <fill>
        <patternFill>
          <bgColor theme="0"/>
        </patternFill>
      </fill>
      <border>
        <bottom/>
      </border>
    </dxf>
    <dxf>
      <fill>
        <patternFill>
          <bgColor theme="3"/>
        </patternFill>
      </fill>
    </dxf>
    <dxf>
      <fill>
        <patternFill>
          <bgColor theme="3"/>
        </patternFill>
      </fill>
    </dxf>
    <dxf>
      <fill>
        <patternFill>
          <bgColor rgb="FF004984"/>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ont>
        <color theme="1"/>
      </font>
      <fill>
        <patternFill>
          <bgColor rgb="FFFFFF00"/>
        </patternFill>
      </fill>
    </dxf>
    <dxf>
      <font>
        <color theme="1"/>
      </font>
      <fill>
        <patternFill patternType="none">
          <bgColor auto="1"/>
        </patternFill>
      </fill>
    </dxf>
    <dxf>
      <fill>
        <patternFill>
          <fgColor auto="1"/>
          <bgColor rgb="FF00B0F0"/>
        </patternFill>
      </fill>
    </dxf>
    <dxf>
      <fill>
        <patternFill>
          <fgColor auto="1"/>
          <bgColor rgb="FF00B0F0"/>
        </patternFill>
      </fill>
    </dxf>
    <dxf>
      <fill>
        <patternFill>
          <fgColor auto="1"/>
          <bgColor rgb="FF00B0F0"/>
        </patternFill>
      </fill>
    </dxf>
    <dxf>
      <font>
        <strike val="0"/>
        <u val="none"/>
        <color theme="0"/>
      </font>
      <fill>
        <patternFill patternType="solid">
          <fgColor auto="1"/>
          <bgColor rgb="FF00B050"/>
        </patternFill>
      </fill>
      <border>
        <left/>
        <right/>
        <top/>
        <bottom/>
      </border>
    </dxf>
    <dxf>
      <font>
        <color theme="1"/>
      </font>
      <fill>
        <patternFill>
          <bgColor rgb="FFFFFF00"/>
        </patternFill>
      </fill>
    </dxf>
    <dxf>
      <fill>
        <patternFill>
          <fgColor auto="1"/>
          <bgColor rgb="FF00B0F0"/>
        </patternFill>
      </fill>
    </dxf>
    <dxf>
      <font>
        <strike val="0"/>
        <u val="none"/>
        <color theme="0"/>
      </font>
      <fill>
        <patternFill patternType="solid">
          <fgColor auto="1"/>
          <bgColor rgb="FF004984"/>
        </patternFill>
      </fill>
      <border>
        <left/>
        <right/>
        <top/>
        <bottom/>
      </border>
    </dxf>
    <dxf>
      <fill>
        <patternFill>
          <fgColor auto="1"/>
          <bgColor rgb="FF004984"/>
        </patternFill>
      </fill>
    </dxf>
  </dxfs>
  <tableStyles count="0" defaultTableStyle="TableStyleMedium9" defaultPivotStyle="PivotStyleLight16"/>
  <colors>
    <mruColors>
      <color rgb="FFB7DEE8"/>
      <color rgb="FF009EE0"/>
      <color rgb="FF004984"/>
      <color rgb="FF4F81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REF!"/>
</file>

<file path=xl/ctrlProps/ctrlProp2.xml><?xml version="1.0" encoding="utf-8"?>
<formControlPr xmlns="http://schemas.microsoft.com/office/spreadsheetml/2009/9/main" objectType="CheckBox" fmlaLink="#REF!"/>
</file>

<file path=xl/ctrlProps/ctrlProp3.xml><?xml version="1.0" encoding="utf-8"?>
<formControlPr xmlns="http://schemas.microsoft.com/office/spreadsheetml/2009/9/main" objectType="CheckBox" fmlaLink="Potvrzení!$W$2" lockText="1"/>
</file>

<file path=xl/ctrlProps/ctrlProp4.xml><?xml version="1.0" encoding="utf-8"?>
<formControlPr xmlns="http://schemas.microsoft.com/office/spreadsheetml/2009/9/main" objectType="CheckBox" fmlaLink="kombinace_1!$H$1" lockText="1"/>
</file>

<file path=xl/ctrlProps/ctrlProp5.xml><?xml version="1.0" encoding="utf-8"?>
<formControlPr xmlns="http://schemas.microsoft.com/office/spreadsheetml/2009/9/main" objectType="CheckBox" fmlaLink="kombinace_1!$FC$2" lockText="1"/>
</file>

<file path=xl/ctrlProps/ctrlProp6.xml><?xml version="1.0" encoding="utf-8"?>
<formControlPr xmlns="http://schemas.microsoft.com/office/spreadsheetml/2009/9/main" objectType="CheckBox" fmlaLink="kombinace_2!$H$1" lockText="1"/>
</file>

<file path=xl/ctrlProps/ctrlProp7.xml><?xml version="1.0" encoding="utf-8"?>
<formControlPr xmlns="http://schemas.microsoft.com/office/spreadsheetml/2009/9/main" objectType="CheckBox" fmlaLink="kombinace_2!$FC$2" lockText="1"/>
</file>

<file path=xl/ctrlProps/ctrlProp8.xml><?xml version="1.0" encoding="utf-8"?>
<formControlPr xmlns="http://schemas.microsoft.com/office/spreadsheetml/2009/9/main" objectType="CheckBox" fmlaLink="kombinace_3!$FC$2" lockText="1"/>
</file>

<file path=xl/ctrlProps/ctrlProp9.xml><?xml version="1.0" encoding="utf-8"?>
<formControlPr xmlns="http://schemas.microsoft.com/office/spreadsheetml/2009/9/main" objectType="CheckBox" fmlaLink="kombinace_3!$H$1" lockText="1"/>
</file>

<file path=xl/ctrlProps/ctrlProp10.xml><?xml version="1.0" encoding="utf-8"?>
<formControlPr xmlns="http://schemas.microsoft.com/office/spreadsheetml/2009/9/main" objectType="CheckBox" fmlaLink="kombinace_4!$H$1" lockText="1"/>
</file>

<file path=xl/ctrlProps/ctrlProp11.xml><?xml version="1.0" encoding="utf-8"?>
<formControlPr xmlns="http://schemas.microsoft.com/office/spreadsheetml/2009/9/main" objectType="CheckBox" fmlaLink="kombinace_4!$FC$2" lockText="1"/>
</file>

<file path=xl/ctrlProps/ctrlProp12.xml><?xml version="1.0" encoding="utf-8"?>
<formControlPr xmlns="http://schemas.microsoft.com/office/spreadsheetml/2009/9/main" objectType="CheckBox" fmlaLink="kombinace_5!$H$1" lockText="1"/>
</file>

<file path=xl/ctrlProps/ctrlProp13.xml><?xml version="1.0" encoding="utf-8"?>
<formControlPr xmlns="http://schemas.microsoft.com/office/spreadsheetml/2009/9/main" objectType="CheckBox" fmlaLink="kombinace_5!$FC$2" lockText="1"/>
</file>

<file path=xl/ctrlProps/ctrlProp14.xml><?xml version="1.0" encoding="utf-8"?>
<formControlPr xmlns="http://schemas.microsoft.com/office/spreadsheetml/2009/9/main" objectType="CheckBox" fmlaLink="kombinace_6!$H$1" lockText="1"/>
</file>

<file path=xl/ctrlProps/ctrlProp15.xml><?xml version="1.0" encoding="utf-8"?>
<formControlPr xmlns="http://schemas.microsoft.com/office/spreadsheetml/2009/9/main" objectType="CheckBox" fmlaLink="kombinace_6!$FC$2" lockText="1"/>
</file>

<file path=xl/ctrlProps/ctrlProp16.xml><?xml version="1.0" encoding="utf-8"?>
<formControlPr xmlns="http://schemas.microsoft.com/office/spreadsheetml/2009/9/main" objectType="CheckBox" fmlaLink="$AQ$13" lockText="1"/>
</file>

<file path=xl/ctrlProps/ctrlProp17.xml><?xml version="1.0" encoding="utf-8"?>
<formControlPr xmlns="http://schemas.microsoft.com/office/spreadsheetml/2009/9/main" objectType="CheckBox" fmlaLink="#REF!" lockText="1"/>
</file>

<file path=xl/ctrlProps/ctrlProp18.xml><?xml version="1.0" encoding="utf-8"?>
<formControlPr xmlns="http://schemas.microsoft.com/office/spreadsheetml/2009/9/main" objectType="CheckBox" fmlaLink="#REF!"/>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Posuv!A1"/><Relationship Id="rId7" Type="http://schemas.openxmlformats.org/officeDocument/2006/relationships/hyperlink" Target="#Sklo!A1"/><Relationship Id="rId2" Type="http://schemas.openxmlformats.org/officeDocument/2006/relationships/image" Target="../media/image1.png"/><Relationship Id="rId1" Type="http://schemas.openxmlformats.org/officeDocument/2006/relationships/hyperlink" Target="#Barevnice!A1"/><Relationship Id="rId6" Type="http://schemas.openxmlformats.org/officeDocument/2006/relationships/hyperlink" Target="#Zakaznik!A1"/><Relationship Id="rId5" Type="http://schemas.openxmlformats.org/officeDocument/2006/relationships/hyperlink" Target="#'Typy profil&#367;'!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6.jpeg"/><Relationship Id="rId13" Type="http://schemas.openxmlformats.org/officeDocument/2006/relationships/image" Target="../media/image21.png"/><Relationship Id="rId18" Type="http://schemas.openxmlformats.org/officeDocument/2006/relationships/image" Target="../media/image25.png"/><Relationship Id="rId3" Type="http://schemas.openxmlformats.org/officeDocument/2006/relationships/image" Target="../media/image11.jpeg"/><Relationship Id="rId21" Type="http://schemas.openxmlformats.org/officeDocument/2006/relationships/image" Target="../media/image28.jpeg"/><Relationship Id="rId7" Type="http://schemas.openxmlformats.org/officeDocument/2006/relationships/image" Target="../media/image15.jpeg"/><Relationship Id="rId12" Type="http://schemas.openxmlformats.org/officeDocument/2006/relationships/image" Target="../media/image20.png"/><Relationship Id="rId17" Type="http://schemas.openxmlformats.org/officeDocument/2006/relationships/image" Target="../media/image24.jpg"/><Relationship Id="rId2" Type="http://schemas.openxmlformats.org/officeDocument/2006/relationships/image" Target="../media/image10.png"/><Relationship Id="rId16" Type="http://schemas.openxmlformats.org/officeDocument/2006/relationships/image" Target="../media/image23.png"/><Relationship Id="rId20" Type="http://schemas.openxmlformats.org/officeDocument/2006/relationships/image" Target="../media/image27.png"/><Relationship Id="rId1" Type="http://schemas.openxmlformats.org/officeDocument/2006/relationships/image" Target="../media/image9.jpeg"/><Relationship Id="rId6" Type="http://schemas.openxmlformats.org/officeDocument/2006/relationships/image" Target="../media/image14.jpeg"/><Relationship Id="rId11" Type="http://schemas.openxmlformats.org/officeDocument/2006/relationships/image" Target="../media/image19.png"/><Relationship Id="rId5" Type="http://schemas.openxmlformats.org/officeDocument/2006/relationships/image" Target="../media/image13.jpeg"/><Relationship Id="rId15" Type="http://schemas.openxmlformats.org/officeDocument/2006/relationships/image" Target="../media/image22.png"/><Relationship Id="rId10" Type="http://schemas.openxmlformats.org/officeDocument/2006/relationships/image" Target="../media/image18.jpeg"/><Relationship Id="rId19" Type="http://schemas.openxmlformats.org/officeDocument/2006/relationships/image" Target="../media/image26.png"/><Relationship Id="rId4" Type="http://schemas.openxmlformats.org/officeDocument/2006/relationships/image" Target="../media/image12.jpeg"/><Relationship Id="rId9" Type="http://schemas.openxmlformats.org/officeDocument/2006/relationships/image" Target="../media/image17.jpeg"/><Relationship Id="rId14" Type="http://schemas.openxmlformats.org/officeDocument/2006/relationships/image" Target="../media/image3.png"/><Relationship Id="rId22" Type="http://schemas.openxmlformats.org/officeDocument/2006/relationships/image" Target="../media/image29.png"/></Relationships>
</file>

<file path=xl/drawings/_rels/drawing15.xml.rels><?xml version="1.0" encoding="UTF-8" standalone="yes"?>
<Relationships xmlns="http://schemas.openxmlformats.org/package/2006/relationships"><Relationship Id="rId8" Type="http://schemas.openxmlformats.org/officeDocument/2006/relationships/image" Target="../media/image37.emf"/><Relationship Id="rId13" Type="http://schemas.openxmlformats.org/officeDocument/2006/relationships/image" Target="../media/image42.emf"/><Relationship Id="rId18" Type="http://schemas.openxmlformats.org/officeDocument/2006/relationships/image" Target="../media/image47.emf"/><Relationship Id="rId26" Type="http://schemas.openxmlformats.org/officeDocument/2006/relationships/image" Target="../media/image54.emf"/><Relationship Id="rId3" Type="http://schemas.openxmlformats.org/officeDocument/2006/relationships/image" Target="../media/image32.emf"/><Relationship Id="rId21" Type="http://schemas.openxmlformats.org/officeDocument/2006/relationships/image" Target="../media/image49.emf"/><Relationship Id="rId7" Type="http://schemas.openxmlformats.org/officeDocument/2006/relationships/image" Target="../media/image36.emf"/><Relationship Id="rId12" Type="http://schemas.openxmlformats.org/officeDocument/2006/relationships/image" Target="../media/image41.emf"/><Relationship Id="rId17" Type="http://schemas.openxmlformats.org/officeDocument/2006/relationships/image" Target="../media/image46.emf"/><Relationship Id="rId25" Type="http://schemas.openxmlformats.org/officeDocument/2006/relationships/image" Target="../media/image53.emf"/><Relationship Id="rId2" Type="http://schemas.openxmlformats.org/officeDocument/2006/relationships/image" Target="../media/image31.emf"/><Relationship Id="rId16" Type="http://schemas.openxmlformats.org/officeDocument/2006/relationships/image" Target="../media/image45.emf"/><Relationship Id="rId20" Type="http://schemas.openxmlformats.org/officeDocument/2006/relationships/image" Target="../media/image48.emf"/><Relationship Id="rId29" Type="http://schemas.openxmlformats.org/officeDocument/2006/relationships/image" Target="../media/image57.emf"/><Relationship Id="rId1" Type="http://schemas.openxmlformats.org/officeDocument/2006/relationships/image" Target="../media/image30.emf"/><Relationship Id="rId6" Type="http://schemas.openxmlformats.org/officeDocument/2006/relationships/image" Target="../media/image35.emf"/><Relationship Id="rId11" Type="http://schemas.openxmlformats.org/officeDocument/2006/relationships/image" Target="../media/image40.emf"/><Relationship Id="rId24" Type="http://schemas.openxmlformats.org/officeDocument/2006/relationships/image" Target="../media/image52.emf"/><Relationship Id="rId5" Type="http://schemas.openxmlformats.org/officeDocument/2006/relationships/image" Target="../media/image34.emf"/><Relationship Id="rId15" Type="http://schemas.openxmlformats.org/officeDocument/2006/relationships/image" Target="../media/image44.emf"/><Relationship Id="rId23" Type="http://schemas.openxmlformats.org/officeDocument/2006/relationships/image" Target="../media/image51.emf"/><Relationship Id="rId28" Type="http://schemas.openxmlformats.org/officeDocument/2006/relationships/image" Target="../media/image56.emf"/><Relationship Id="rId10" Type="http://schemas.openxmlformats.org/officeDocument/2006/relationships/image" Target="../media/image39.emf"/><Relationship Id="rId19" Type="http://schemas.openxmlformats.org/officeDocument/2006/relationships/image" Target="../media/image3.png"/><Relationship Id="rId4" Type="http://schemas.openxmlformats.org/officeDocument/2006/relationships/image" Target="../media/image33.emf"/><Relationship Id="rId9" Type="http://schemas.openxmlformats.org/officeDocument/2006/relationships/image" Target="../media/image38.emf"/><Relationship Id="rId14" Type="http://schemas.openxmlformats.org/officeDocument/2006/relationships/image" Target="../media/image43.emf"/><Relationship Id="rId22" Type="http://schemas.openxmlformats.org/officeDocument/2006/relationships/image" Target="../media/image50.emf"/><Relationship Id="rId27" Type="http://schemas.openxmlformats.org/officeDocument/2006/relationships/image" Target="../media/image55.emf"/></Relationships>
</file>

<file path=xl/drawings/_rels/drawing16.xml.rels><?xml version="1.0" encoding="UTF-8" standalone="yes"?>
<Relationships xmlns="http://schemas.openxmlformats.org/package/2006/relationships"><Relationship Id="rId13" Type="http://schemas.openxmlformats.org/officeDocument/2006/relationships/image" Target="../media/image98.jpeg"/><Relationship Id="rId18" Type="http://schemas.openxmlformats.org/officeDocument/2006/relationships/image" Target="../media/image103.jpeg"/><Relationship Id="rId26" Type="http://schemas.openxmlformats.org/officeDocument/2006/relationships/image" Target="../media/image111.jpeg"/><Relationship Id="rId21" Type="http://schemas.openxmlformats.org/officeDocument/2006/relationships/image" Target="../media/image106.jpeg"/><Relationship Id="rId34" Type="http://schemas.openxmlformats.org/officeDocument/2006/relationships/image" Target="../media/image5.png"/><Relationship Id="rId7" Type="http://schemas.openxmlformats.org/officeDocument/2006/relationships/image" Target="../media/image92.jpeg"/><Relationship Id="rId12" Type="http://schemas.openxmlformats.org/officeDocument/2006/relationships/image" Target="../media/image97.jpeg"/><Relationship Id="rId17" Type="http://schemas.openxmlformats.org/officeDocument/2006/relationships/image" Target="../media/image102.jpeg"/><Relationship Id="rId25" Type="http://schemas.openxmlformats.org/officeDocument/2006/relationships/image" Target="../media/image110.jpeg"/><Relationship Id="rId33" Type="http://schemas.openxmlformats.org/officeDocument/2006/relationships/image" Target="../media/image118.jpeg"/><Relationship Id="rId38" Type="http://schemas.openxmlformats.org/officeDocument/2006/relationships/image" Target="../media/image122.png"/><Relationship Id="rId2" Type="http://schemas.openxmlformats.org/officeDocument/2006/relationships/image" Target="../media/image87.jpeg"/><Relationship Id="rId16" Type="http://schemas.openxmlformats.org/officeDocument/2006/relationships/image" Target="../media/image101.jpeg"/><Relationship Id="rId20" Type="http://schemas.openxmlformats.org/officeDocument/2006/relationships/image" Target="../media/image105.jpeg"/><Relationship Id="rId29" Type="http://schemas.openxmlformats.org/officeDocument/2006/relationships/image" Target="../media/image114.jpeg"/><Relationship Id="rId1" Type="http://schemas.openxmlformats.org/officeDocument/2006/relationships/image" Target="../media/image86.jpeg"/><Relationship Id="rId6" Type="http://schemas.openxmlformats.org/officeDocument/2006/relationships/image" Target="../media/image91.jpeg"/><Relationship Id="rId11" Type="http://schemas.openxmlformats.org/officeDocument/2006/relationships/image" Target="../media/image96.jpeg"/><Relationship Id="rId24" Type="http://schemas.openxmlformats.org/officeDocument/2006/relationships/image" Target="../media/image109.jpeg"/><Relationship Id="rId32" Type="http://schemas.openxmlformats.org/officeDocument/2006/relationships/image" Target="../media/image117.jpeg"/><Relationship Id="rId37" Type="http://schemas.openxmlformats.org/officeDocument/2006/relationships/image" Target="../media/image121.jpeg"/><Relationship Id="rId5" Type="http://schemas.openxmlformats.org/officeDocument/2006/relationships/image" Target="../media/image90.jpeg"/><Relationship Id="rId15" Type="http://schemas.openxmlformats.org/officeDocument/2006/relationships/image" Target="../media/image100.jpeg"/><Relationship Id="rId23" Type="http://schemas.openxmlformats.org/officeDocument/2006/relationships/image" Target="../media/image108.jpeg"/><Relationship Id="rId28" Type="http://schemas.openxmlformats.org/officeDocument/2006/relationships/image" Target="../media/image113.jpeg"/><Relationship Id="rId36" Type="http://schemas.openxmlformats.org/officeDocument/2006/relationships/image" Target="../media/image120.jpeg"/><Relationship Id="rId10" Type="http://schemas.openxmlformats.org/officeDocument/2006/relationships/image" Target="../media/image95.jpeg"/><Relationship Id="rId19" Type="http://schemas.openxmlformats.org/officeDocument/2006/relationships/image" Target="../media/image104.jpeg"/><Relationship Id="rId31" Type="http://schemas.openxmlformats.org/officeDocument/2006/relationships/image" Target="../media/image116.jpeg"/><Relationship Id="rId4" Type="http://schemas.openxmlformats.org/officeDocument/2006/relationships/image" Target="../media/image89.jpeg"/><Relationship Id="rId9" Type="http://schemas.openxmlformats.org/officeDocument/2006/relationships/image" Target="../media/image94.jpeg"/><Relationship Id="rId14" Type="http://schemas.openxmlformats.org/officeDocument/2006/relationships/image" Target="../media/image99.jpeg"/><Relationship Id="rId22" Type="http://schemas.openxmlformats.org/officeDocument/2006/relationships/image" Target="../media/image107.jpeg"/><Relationship Id="rId27" Type="http://schemas.openxmlformats.org/officeDocument/2006/relationships/image" Target="../media/image112.jpeg"/><Relationship Id="rId30" Type="http://schemas.openxmlformats.org/officeDocument/2006/relationships/image" Target="../media/image115.jpeg"/><Relationship Id="rId35" Type="http://schemas.openxmlformats.org/officeDocument/2006/relationships/image" Target="../media/image119.jpeg"/><Relationship Id="rId8" Type="http://schemas.openxmlformats.org/officeDocument/2006/relationships/image" Target="../media/image93.jpeg"/><Relationship Id="rId3" Type="http://schemas.openxmlformats.org/officeDocument/2006/relationships/image" Target="../media/image88.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130.emf"/><Relationship Id="rId13" Type="http://schemas.openxmlformats.org/officeDocument/2006/relationships/image" Target="../media/image135.emf"/><Relationship Id="rId3" Type="http://schemas.openxmlformats.org/officeDocument/2006/relationships/image" Target="../media/image125.emf"/><Relationship Id="rId7" Type="http://schemas.openxmlformats.org/officeDocument/2006/relationships/image" Target="../media/image129.emf"/><Relationship Id="rId12" Type="http://schemas.openxmlformats.org/officeDocument/2006/relationships/image" Target="../media/image134.emf"/><Relationship Id="rId2" Type="http://schemas.openxmlformats.org/officeDocument/2006/relationships/image" Target="../media/image124.emf"/><Relationship Id="rId1" Type="http://schemas.openxmlformats.org/officeDocument/2006/relationships/image" Target="../media/image123.emf"/><Relationship Id="rId6" Type="http://schemas.openxmlformats.org/officeDocument/2006/relationships/image" Target="../media/image128.emf"/><Relationship Id="rId11" Type="http://schemas.openxmlformats.org/officeDocument/2006/relationships/image" Target="../media/image133.emf"/><Relationship Id="rId5" Type="http://schemas.openxmlformats.org/officeDocument/2006/relationships/image" Target="../media/image127.emf"/><Relationship Id="rId10" Type="http://schemas.openxmlformats.org/officeDocument/2006/relationships/image" Target="../media/image132.emf"/><Relationship Id="rId4" Type="http://schemas.openxmlformats.org/officeDocument/2006/relationships/image" Target="../media/image126.emf"/><Relationship Id="rId9" Type="http://schemas.openxmlformats.org/officeDocument/2006/relationships/image" Target="../media/image13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13.vml.rels><?xml version="1.0" encoding="UTF-8" standalone="yes"?>
<Relationships xmlns="http://schemas.openxmlformats.org/package/2006/relationships"><Relationship Id="rId8" Type="http://schemas.openxmlformats.org/officeDocument/2006/relationships/image" Target="../media/image65.emf"/><Relationship Id="rId13" Type="http://schemas.openxmlformats.org/officeDocument/2006/relationships/image" Target="../media/image70.emf"/><Relationship Id="rId18" Type="http://schemas.openxmlformats.org/officeDocument/2006/relationships/image" Target="../media/image75.emf"/><Relationship Id="rId26" Type="http://schemas.openxmlformats.org/officeDocument/2006/relationships/image" Target="../media/image83.emf"/><Relationship Id="rId3" Type="http://schemas.openxmlformats.org/officeDocument/2006/relationships/image" Target="../media/image60.emf"/><Relationship Id="rId21" Type="http://schemas.openxmlformats.org/officeDocument/2006/relationships/image" Target="../media/image78.emf"/><Relationship Id="rId7" Type="http://schemas.openxmlformats.org/officeDocument/2006/relationships/image" Target="../media/image64.emf"/><Relationship Id="rId12" Type="http://schemas.openxmlformats.org/officeDocument/2006/relationships/image" Target="../media/image69.emf"/><Relationship Id="rId17" Type="http://schemas.openxmlformats.org/officeDocument/2006/relationships/image" Target="../media/image74.emf"/><Relationship Id="rId25" Type="http://schemas.openxmlformats.org/officeDocument/2006/relationships/image" Target="../media/image82.emf"/><Relationship Id="rId2" Type="http://schemas.openxmlformats.org/officeDocument/2006/relationships/image" Target="../media/image59.emf"/><Relationship Id="rId16" Type="http://schemas.openxmlformats.org/officeDocument/2006/relationships/image" Target="../media/image73.emf"/><Relationship Id="rId20" Type="http://schemas.openxmlformats.org/officeDocument/2006/relationships/image" Target="../media/image77.emf"/><Relationship Id="rId1" Type="http://schemas.openxmlformats.org/officeDocument/2006/relationships/image" Target="../media/image58.emf"/><Relationship Id="rId6" Type="http://schemas.openxmlformats.org/officeDocument/2006/relationships/image" Target="../media/image63.emf"/><Relationship Id="rId11" Type="http://schemas.openxmlformats.org/officeDocument/2006/relationships/image" Target="../media/image68.emf"/><Relationship Id="rId24" Type="http://schemas.openxmlformats.org/officeDocument/2006/relationships/image" Target="../media/image81.emf"/><Relationship Id="rId5" Type="http://schemas.openxmlformats.org/officeDocument/2006/relationships/image" Target="../media/image62.emf"/><Relationship Id="rId15" Type="http://schemas.openxmlformats.org/officeDocument/2006/relationships/image" Target="../media/image72.emf"/><Relationship Id="rId23" Type="http://schemas.openxmlformats.org/officeDocument/2006/relationships/image" Target="../media/image80.emf"/><Relationship Id="rId28" Type="http://schemas.openxmlformats.org/officeDocument/2006/relationships/image" Target="../media/image85.emf"/><Relationship Id="rId10" Type="http://schemas.openxmlformats.org/officeDocument/2006/relationships/image" Target="../media/image67.emf"/><Relationship Id="rId19" Type="http://schemas.openxmlformats.org/officeDocument/2006/relationships/image" Target="../media/image76.emf"/><Relationship Id="rId4" Type="http://schemas.openxmlformats.org/officeDocument/2006/relationships/image" Target="../media/image61.emf"/><Relationship Id="rId9" Type="http://schemas.openxmlformats.org/officeDocument/2006/relationships/image" Target="../media/image66.emf"/><Relationship Id="rId14" Type="http://schemas.openxmlformats.org/officeDocument/2006/relationships/image" Target="../media/image71.emf"/><Relationship Id="rId22" Type="http://schemas.openxmlformats.org/officeDocument/2006/relationships/image" Target="../media/image79.emf"/><Relationship Id="rId27" Type="http://schemas.openxmlformats.org/officeDocument/2006/relationships/image" Target="../media/image84.emf"/></Relationships>
</file>

<file path=xl/drawings/_rels/vmlDrawing14.vml.rels><?xml version="1.0" encoding="UTF-8" standalone="yes"?>
<Relationships xmlns="http://schemas.openxmlformats.org/package/2006/relationships"><Relationship Id="rId8" Type="http://schemas.openxmlformats.org/officeDocument/2006/relationships/image" Target="../media/image143.emf"/><Relationship Id="rId13" Type="http://schemas.openxmlformats.org/officeDocument/2006/relationships/image" Target="../media/image148.emf"/><Relationship Id="rId3" Type="http://schemas.openxmlformats.org/officeDocument/2006/relationships/image" Target="../media/image138.emf"/><Relationship Id="rId7" Type="http://schemas.openxmlformats.org/officeDocument/2006/relationships/image" Target="../media/image142.emf"/><Relationship Id="rId12" Type="http://schemas.openxmlformats.org/officeDocument/2006/relationships/image" Target="../media/image147.emf"/><Relationship Id="rId2" Type="http://schemas.openxmlformats.org/officeDocument/2006/relationships/image" Target="../media/image137.emf"/><Relationship Id="rId1" Type="http://schemas.openxmlformats.org/officeDocument/2006/relationships/image" Target="../media/image136.emf"/><Relationship Id="rId6" Type="http://schemas.openxmlformats.org/officeDocument/2006/relationships/image" Target="../media/image141.emf"/><Relationship Id="rId11" Type="http://schemas.openxmlformats.org/officeDocument/2006/relationships/image" Target="../media/image146.emf"/><Relationship Id="rId5" Type="http://schemas.openxmlformats.org/officeDocument/2006/relationships/image" Target="../media/image140.emf"/><Relationship Id="rId10" Type="http://schemas.openxmlformats.org/officeDocument/2006/relationships/image" Target="../media/image145.emf"/><Relationship Id="rId4" Type="http://schemas.openxmlformats.org/officeDocument/2006/relationships/image" Target="../media/image139.emf"/><Relationship Id="rId9" Type="http://schemas.openxmlformats.org/officeDocument/2006/relationships/image" Target="../media/image144.emf"/></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23</xdr:row>
      <xdr:rowOff>28575</xdr:rowOff>
    </xdr:from>
    <xdr:to>
      <xdr:col>7</xdr:col>
      <xdr:colOff>15240</xdr:colOff>
      <xdr:row>36</xdr:row>
      <xdr:rowOff>15240</xdr:rowOff>
    </xdr:to>
    <xdr:pic>
      <xdr:nvPicPr>
        <xdr:cNvPr id="942180" name="Obrázek 2">
          <a:hlinkClick xmlns:r="http://schemas.openxmlformats.org/officeDocument/2006/relationships" r:id="rId1"/>
          <a:extLst>
            <a:ext uri="{FF2B5EF4-FFF2-40B4-BE49-F238E27FC236}">
              <a16:creationId xmlns:a16="http://schemas.microsoft.com/office/drawing/2014/main" id="{9CF29745-35DE-495A-E6E8-CADACF2D16B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37719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371474</xdr:colOff>
      <xdr:row>10</xdr:row>
      <xdr:rowOff>125730</xdr:rowOff>
    </xdr:from>
    <xdr:to>
      <xdr:col>21</xdr:col>
      <xdr:colOff>51434</xdr:colOff>
      <xdr:row>22</xdr:row>
      <xdr:rowOff>53340</xdr:rowOff>
    </xdr:to>
    <xdr:pic>
      <xdr:nvPicPr>
        <xdr:cNvPr id="942181" name="Obrázek 3">
          <a:hlinkClick xmlns:r="http://schemas.openxmlformats.org/officeDocument/2006/relationships" r:id="rId3"/>
          <a:extLst>
            <a:ext uri="{FF2B5EF4-FFF2-40B4-BE49-F238E27FC236}">
              <a16:creationId xmlns:a16="http://schemas.microsoft.com/office/drawing/2014/main" id="{217E391E-F649-1F8F-A94F-BC5FC2237889}"/>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10224" y="1716405"/>
          <a:ext cx="23336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369570</xdr:colOff>
      <xdr:row>23</xdr:row>
      <xdr:rowOff>26670</xdr:rowOff>
    </xdr:from>
    <xdr:to>
      <xdr:col>21</xdr:col>
      <xdr:colOff>53450</xdr:colOff>
      <xdr:row>36</xdr:row>
      <xdr:rowOff>19050</xdr:rowOff>
    </xdr:to>
    <xdr:pic>
      <xdr:nvPicPr>
        <xdr:cNvPr id="942182" name="Obrázek 14">
          <a:hlinkClick xmlns:r="http://schemas.openxmlformats.org/officeDocument/2006/relationships" r:id="rId5"/>
          <a:extLst>
            <a:ext uri="{FF2B5EF4-FFF2-40B4-BE49-F238E27FC236}">
              <a16:creationId xmlns:a16="http://schemas.microsoft.com/office/drawing/2014/main" id="{79C612B0-3B89-9CD8-8F2A-908E7A49973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608320" y="3779520"/>
          <a:ext cx="2335640" cy="1979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590550</xdr:colOff>
      <xdr:row>10</xdr:row>
      <xdr:rowOff>161925</xdr:rowOff>
    </xdr:from>
    <xdr:to>
      <xdr:col>7</xdr:col>
      <xdr:colOff>15240</xdr:colOff>
      <xdr:row>23</xdr:row>
      <xdr:rowOff>0</xdr:rowOff>
    </xdr:to>
    <xdr:pic>
      <xdr:nvPicPr>
        <xdr:cNvPr id="942183" name="Obrázek 15">
          <a:hlinkClick xmlns:r="http://schemas.openxmlformats.org/officeDocument/2006/relationships" r:id="rId6"/>
          <a:extLst>
            <a:ext uri="{FF2B5EF4-FFF2-40B4-BE49-F238E27FC236}">
              <a16:creationId xmlns:a16="http://schemas.microsoft.com/office/drawing/2014/main" id="{16B3250C-5767-3149-51CD-8272AC3C9534}"/>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33400" y="1752600"/>
          <a:ext cx="2219325"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457200</xdr:colOff>
      <xdr:row>15</xdr:row>
      <xdr:rowOff>123825</xdr:rowOff>
    </xdr:from>
    <xdr:to>
      <xdr:col>15</xdr:col>
      <xdr:colOff>76200</xdr:colOff>
      <xdr:row>29</xdr:row>
      <xdr:rowOff>0</xdr:rowOff>
    </xdr:to>
    <xdr:pic>
      <xdr:nvPicPr>
        <xdr:cNvPr id="942184" name="Obrázek 16">
          <a:hlinkClick xmlns:r="http://schemas.openxmlformats.org/officeDocument/2006/relationships" r:id="rId7"/>
          <a:extLst>
            <a:ext uri="{FF2B5EF4-FFF2-40B4-BE49-F238E27FC236}">
              <a16:creationId xmlns:a16="http://schemas.microsoft.com/office/drawing/2014/main" id="{27C1AFF2-4E0E-61BE-8EE0-7A90301FE253}"/>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00375" y="2724150"/>
          <a:ext cx="217170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0</xdr:row>
      <xdr:rowOff>83820</xdr:rowOff>
    </xdr:from>
    <xdr:to>
      <xdr:col>6</xdr:col>
      <xdr:colOff>177354</xdr:colOff>
      <xdr:row>3</xdr:row>
      <xdr:rowOff>101005</xdr:rowOff>
    </xdr:to>
    <xdr:pic>
      <xdr:nvPicPr>
        <xdr:cNvPr id="5" name="Obrázek 4">
          <a:extLst>
            <a:ext uri="{FF2B5EF4-FFF2-40B4-BE49-F238E27FC236}">
              <a16:creationId xmlns:a16="http://schemas.microsoft.com/office/drawing/2014/main" id="{79A60297-E063-2446-4224-9B09AA50FD40}"/>
            </a:ext>
          </a:extLst>
        </xdr:cNvPr>
        <xdr:cNvPicPr>
          <a:picLocks noChangeAspect="1"/>
        </xdr:cNvPicPr>
      </xdr:nvPicPr>
      <xdr:blipFill>
        <a:blip xmlns:r="http://schemas.openxmlformats.org/officeDocument/2006/relationships" r:embed="rId8"/>
        <a:stretch>
          <a:fillRect/>
        </a:stretch>
      </xdr:blipFill>
      <xdr:spPr>
        <a:xfrm>
          <a:off x="266700" y="83820"/>
          <a:ext cx="2179509" cy="457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0</xdr:row>
          <xdr:rowOff>209550</xdr:rowOff>
        </xdr:to>
        <xdr:sp macro="" textlink="">
          <xdr:nvSpPr>
            <xdr:cNvPr id="216065" name="Check Box 1967" hidden="1">
              <a:extLst>
                <a:ext uri="{63B3BB69-23CF-44E3-9099-C40C66FF867C}">
                  <a14:compatExt spid="_x0000_s216065"/>
                </a:ext>
                <a:ext uri="{FF2B5EF4-FFF2-40B4-BE49-F238E27FC236}">
                  <a16:creationId xmlns:a16="http://schemas.microsoft.com/office/drawing/2014/main" id="{00000000-0008-0000-0100-0000014C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4</xdr:col>
      <xdr:colOff>0</xdr:colOff>
      <xdr:row>6</xdr:row>
      <xdr:rowOff>38100</xdr:rowOff>
    </xdr:from>
    <xdr:to>
      <xdr:col>5</xdr:col>
      <xdr:colOff>22860</xdr:colOff>
      <xdr:row>8</xdr:row>
      <xdr:rowOff>38100</xdr:rowOff>
    </xdr:to>
    <xdr:pic>
      <xdr:nvPicPr>
        <xdr:cNvPr id="918191" name="Obrázek 7">
          <a:extLst>
            <a:ext uri="{FF2B5EF4-FFF2-40B4-BE49-F238E27FC236}">
              <a16:creationId xmlns:a16="http://schemas.microsoft.com/office/drawing/2014/main" id="{57A54470-9CCE-FBB8-6F40-975BDDCB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181100"/>
          <a:ext cx="5810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0</xdr:row>
      <xdr:rowOff>152400</xdr:rowOff>
    </xdr:from>
    <xdr:to>
      <xdr:col>4</xdr:col>
      <xdr:colOff>289749</xdr:colOff>
      <xdr:row>3</xdr:row>
      <xdr:rowOff>61000</xdr:rowOff>
    </xdr:to>
    <xdr:pic>
      <xdr:nvPicPr>
        <xdr:cNvPr id="3" name="Obrázek 2">
          <a:extLst>
            <a:ext uri="{FF2B5EF4-FFF2-40B4-BE49-F238E27FC236}">
              <a16:creationId xmlns:a16="http://schemas.microsoft.com/office/drawing/2014/main" id="{1F0919A8-4F80-D124-A872-BC2A2FC8C64A}"/>
            </a:ext>
          </a:extLst>
        </xdr:cNvPr>
        <xdr:cNvPicPr>
          <a:picLocks noChangeAspect="1"/>
        </xdr:cNvPicPr>
      </xdr:nvPicPr>
      <xdr:blipFill>
        <a:blip xmlns:r="http://schemas.openxmlformats.org/officeDocument/2006/relationships" r:embed="rId2"/>
        <a:stretch>
          <a:fillRect/>
        </a:stretch>
      </xdr:blipFill>
      <xdr:spPr>
        <a:xfrm>
          <a:off x="312420" y="152400"/>
          <a:ext cx="2179509" cy="457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xdr:colOff>
      <xdr:row>0</xdr:row>
      <xdr:rowOff>165735</xdr:rowOff>
    </xdr:from>
    <xdr:to>
      <xdr:col>1</xdr:col>
      <xdr:colOff>1192530</xdr:colOff>
      <xdr:row>3</xdr:row>
      <xdr:rowOff>68580</xdr:rowOff>
    </xdr:to>
    <xdr:pic>
      <xdr:nvPicPr>
        <xdr:cNvPr id="2" name="Obrázek 7">
          <a:extLst>
            <a:ext uri="{FF2B5EF4-FFF2-40B4-BE49-F238E27FC236}">
              <a16:creationId xmlns:a16="http://schemas.microsoft.com/office/drawing/2014/main" id="{619CECB6-65C3-472A-98E1-35B47B061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 y="165735"/>
          <a:ext cx="111061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102393</xdr:colOff>
      <xdr:row>16</xdr:row>
      <xdr:rowOff>121443</xdr:rowOff>
    </xdr:from>
    <xdr:to>
      <xdr:col>5</xdr:col>
      <xdr:colOff>1525651</xdr:colOff>
      <xdr:row>19</xdr:row>
      <xdr:rowOff>180582</xdr:rowOff>
    </xdr:to>
    <xdr:pic>
      <xdr:nvPicPr>
        <xdr:cNvPr id="3" name="Obrázek 2">
          <a:extLst>
            <a:ext uri="{FF2B5EF4-FFF2-40B4-BE49-F238E27FC236}">
              <a16:creationId xmlns:a16="http://schemas.microsoft.com/office/drawing/2014/main" id="{2F2ED358-AB23-45C9-8B8C-70F012D4A42E}"/>
            </a:ext>
          </a:extLst>
        </xdr:cNvPr>
        <xdr:cNvPicPr>
          <a:picLocks noChangeAspect="1"/>
        </xdr:cNvPicPr>
      </xdr:nvPicPr>
      <xdr:blipFill>
        <a:blip xmlns:r="http://schemas.openxmlformats.org/officeDocument/2006/relationships" r:embed="rId2"/>
        <a:stretch>
          <a:fillRect/>
        </a:stretch>
      </xdr:blipFill>
      <xdr:spPr>
        <a:xfrm>
          <a:off x="5398293" y="2817018"/>
          <a:ext cx="3042508" cy="10306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0</xdr:row>
          <xdr:rowOff>0</xdr:rowOff>
        </xdr:from>
        <xdr:to>
          <xdr:col>15</xdr:col>
          <xdr:colOff>0</xdr:colOff>
          <xdr:row>1</xdr:row>
          <xdr:rowOff>0</xdr:rowOff>
        </xdr:to>
        <xdr:sp macro="" textlink="">
          <xdr:nvSpPr>
            <xdr:cNvPr id="357377" name="Check Box 1967" hidden="1">
              <a:extLst>
                <a:ext uri="{63B3BB69-23CF-44E3-9099-C40C66FF867C}">
                  <a14:compatExt spid="_x0000_s357377"/>
                </a:ext>
                <a:ext uri="{FF2B5EF4-FFF2-40B4-BE49-F238E27FC236}">
                  <a16:creationId xmlns:a16="http://schemas.microsoft.com/office/drawing/2014/main" id="{00000000-0008-0000-0300-0000017405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0</xdr:col>
      <xdr:colOff>131445</xdr:colOff>
      <xdr:row>0</xdr:row>
      <xdr:rowOff>144780</xdr:rowOff>
    </xdr:from>
    <xdr:to>
      <xdr:col>4</xdr:col>
      <xdr:colOff>101154</xdr:colOff>
      <xdr:row>3</xdr:row>
      <xdr:rowOff>53380</xdr:rowOff>
    </xdr:to>
    <xdr:pic>
      <xdr:nvPicPr>
        <xdr:cNvPr id="3" name="Obrázek 2">
          <a:extLst>
            <a:ext uri="{FF2B5EF4-FFF2-40B4-BE49-F238E27FC236}">
              <a16:creationId xmlns:a16="http://schemas.microsoft.com/office/drawing/2014/main" id="{6D4050A9-0678-E190-527F-6935A77824B2}"/>
            </a:ext>
          </a:extLst>
        </xdr:cNvPr>
        <xdr:cNvPicPr>
          <a:picLocks noChangeAspect="1"/>
        </xdr:cNvPicPr>
      </xdr:nvPicPr>
      <xdr:blipFill>
        <a:blip xmlns:r="http://schemas.openxmlformats.org/officeDocument/2006/relationships" r:embed="rId1"/>
        <a:stretch>
          <a:fillRect/>
        </a:stretch>
      </xdr:blipFill>
      <xdr:spPr>
        <a:xfrm>
          <a:off x="131445" y="144780"/>
          <a:ext cx="2122359" cy="480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26</xdr:row>
          <xdr:rowOff>628650</xdr:rowOff>
        </xdr:from>
        <xdr:to>
          <xdr:col>12</xdr:col>
          <xdr:colOff>428625</xdr:colOff>
          <xdr:row>28</xdr:row>
          <xdr:rowOff>171450</xdr:rowOff>
        </xdr:to>
        <xdr:sp macro="" textlink="">
          <xdr:nvSpPr>
            <xdr:cNvPr id="1007620" name="Check Box 4" hidden="1">
              <a:extLst>
                <a:ext uri="{63B3BB69-23CF-44E3-9099-C40C66FF867C}">
                  <a14:compatExt spid="_x0000_s1007620"/>
                </a:ext>
                <a:ext uri="{FF2B5EF4-FFF2-40B4-BE49-F238E27FC236}">
                  <a16:creationId xmlns:a16="http://schemas.microsoft.com/office/drawing/2014/main" id="{00000000-0008-0000-0600-000004600F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327660</xdr:colOff>
      <xdr:row>0</xdr:row>
      <xdr:rowOff>144780</xdr:rowOff>
    </xdr:from>
    <xdr:to>
      <xdr:col>4</xdr:col>
      <xdr:colOff>287844</xdr:colOff>
      <xdr:row>3</xdr:row>
      <xdr:rowOff>38140</xdr:rowOff>
    </xdr:to>
    <xdr:pic>
      <xdr:nvPicPr>
        <xdr:cNvPr id="2" name="Obrázek 1">
          <a:extLst>
            <a:ext uri="{FF2B5EF4-FFF2-40B4-BE49-F238E27FC236}">
              <a16:creationId xmlns:a16="http://schemas.microsoft.com/office/drawing/2014/main" id="{07076B4C-5BAB-AD5A-4E8F-D59B2D59B993}"/>
            </a:ext>
          </a:extLst>
        </xdr:cNvPr>
        <xdr:cNvPicPr>
          <a:picLocks noChangeAspect="1"/>
        </xdr:cNvPicPr>
      </xdr:nvPicPr>
      <xdr:blipFill>
        <a:blip xmlns:r="http://schemas.openxmlformats.org/officeDocument/2006/relationships" r:embed="rId1"/>
        <a:stretch>
          <a:fillRect/>
        </a:stretch>
      </xdr:blipFill>
      <xdr:spPr>
        <a:xfrm>
          <a:off x="327660" y="144780"/>
          <a:ext cx="2179509" cy="4572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614" name="Check Box 22" hidden="1">
              <a:extLst>
                <a:ext uri="{63B3BB69-23CF-44E3-9099-C40C66FF867C}">
                  <a14:compatExt spid="_x0000_s110614"/>
                </a:ext>
                <a:ext uri="{FF2B5EF4-FFF2-40B4-BE49-F238E27FC236}">
                  <a16:creationId xmlns:a16="http://schemas.microsoft.com/office/drawing/2014/main" id="{00000000-0008-0000-0800-000016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453390</xdr:colOff>
      <xdr:row>4</xdr:row>
      <xdr:rowOff>0</xdr:rowOff>
    </xdr:to>
    <xdr:pic>
      <xdr:nvPicPr>
        <xdr:cNvPr id="943146" name="Obrázek 7">
          <a:extLst>
            <a:ext uri="{FF2B5EF4-FFF2-40B4-BE49-F238E27FC236}">
              <a16:creationId xmlns:a16="http://schemas.microsoft.com/office/drawing/2014/main" id="{34533245-0585-C807-248F-306679B0B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760905" name="Check Box 1097" hidden="1">
              <a:extLst>
                <a:ext uri="{63B3BB69-23CF-44E3-9099-C40C66FF867C}">
                  <a14:compatExt spid="_x0000_s760905"/>
                </a:ext>
                <a:ext uri="{FF2B5EF4-FFF2-40B4-BE49-F238E27FC236}">
                  <a16:creationId xmlns:a16="http://schemas.microsoft.com/office/drawing/2014/main" id="{00000000-0008-0000-0800-0000499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15</xdr:row>
          <xdr:rowOff>137160</xdr:rowOff>
        </xdr:from>
        <xdr:to>
          <xdr:col>40</xdr:col>
          <xdr:colOff>91440</xdr:colOff>
          <xdr:row>16</xdr:row>
          <xdr:rowOff>148590</xdr:rowOff>
        </xdr:to>
        <mc:AlternateContent>
          <mc:Choice Requires="a14">
            <xdr:pic>
              <xdr:nvPicPr>
                <xdr:cNvPr id="3" name="Obrázek 2">
                  <a:extLst>
                    <a:ext uri="{FF2B5EF4-FFF2-40B4-BE49-F238E27FC236}">
                      <a16:creationId xmlns:a16="http://schemas.microsoft.com/office/drawing/2014/main" id="{DE3C7A6A-7116-CD41-4099-360EC19DA688}"/>
                    </a:ext>
                  </a:extLst>
                </xdr:cNvPr>
                <xdr:cNvPicPr>
                  <a:picLocks noChangeAspect="1" noChangeArrowheads="1"/>
                  <a:extLst>
                    <a:ext uri="{84589F7E-364E-4C9E-8A38-B11213B215E9}">
                      <a14:cameraTool cellRange="kombinace_1!$CH$13" spid="_x0000_s761052"/>
                    </a:ext>
                  </a:extLst>
                </xdr:cNvPicPr>
              </xdr:nvPicPr>
              <xdr:blipFill>
                <a:blip xmlns:r="http://schemas.openxmlformats.org/officeDocument/2006/relationships" r:embed="rId2"/>
                <a:srcRect/>
                <a:stretch>
                  <a:fillRect/>
                </a:stretch>
              </xdr:blipFill>
              <xdr:spPr bwMode="auto">
                <a:xfrm>
                  <a:off x="10797540" y="3596640"/>
                  <a:ext cx="5135880" cy="228600"/>
                </a:xfrm>
                <a:prstGeom prst="rect">
                  <a:avLst/>
                </a:prstGeom>
                <a:noFill/>
                <a:extLst>
                  <a:ext uri="{909E8E84-426E-40DD-AFC4-6F175D3DCCD1}">
                    <a14:hiddenFill>
                      <a:solidFill>
                        <a:srgbClr val="FFFFFF"/>
                      </a:solidFill>
                    </a14:hiddenFill>
                  </a:ext>
                </a:extLst>
              </xdr:spPr>
            </xdr:pic>
          </mc:Choice>
          <mc:Fallback xmlns=""/>
        </mc:AlternateContent>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15240</xdr:rowOff>
        </xdr:from>
        <xdr:to>
          <xdr:col>33</xdr:col>
          <xdr:colOff>72390</xdr:colOff>
          <xdr:row>26</xdr:row>
          <xdr:rowOff>135255</xdr:rowOff>
        </xdr:to>
        <xdr:pic>
          <xdr:nvPicPr>
            <xdr:cNvPr id="4" name="Obrázek 3">
              <a:extLst>
                <a:ext uri="{FF2B5EF4-FFF2-40B4-BE49-F238E27FC236}">
                  <a16:creationId xmlns:a16="http://schemas.microsoft.com/office/drawing/2014/main" id="{5A50A738-1BC8-2514-C7B5-7B906C795CCD}"/>
                </a:ext>
              </a:extLst>
            </xdr:cNvPr>
            <xdr:cNvPicPr>
              <a:picLocks noChangeAspect="1" noChangeArrowheads="1"/>
              <a:extLst>
                <a:ext uri="{84589F7E-364E-4C9E-8A38-B11213B215E9}">
                  <a14:cameraTool cellRange="kombinace_1!$CH$14" spid="_x0000_s761053"/>
                </a:ext>
              </a:extLst>
            </xdr:cNvPicPr>
          </xdr:nvPicPr>
          <xdr:blipFill>
            <a:blip xmlns:r="http://schemas.openxmlformats.org/officeDocument/2006/relationships" r:embed="rId2"/>
            <a:srcRect/>
            <a:stretch>
              <a:fillRect/>
            </a:stretch>
          </xdr:blipFill>
          <xdr:spPr bwMode="auto">
            <a:xfrm>
              <a:off x="13319759" y="1143000"/>
              <a:ext cx="274321" cy="5013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15</xdr:row>
          <xdr:rowOff>133350</xdr:rowOff>
        </xdr:from>
        <xdr:to>
          <xdr:col>40</xdr:col>
          <xdr:colOff>91440</xdr:colOff>
          <xdr:row>16</xdr:row>
          <xdr:rowOff>152400</xdr:rowOff>
        </xdr:to>
        <xdr:pic>
          <xdr:nvPicPr>
            <xdr:cNvPr id="2699394" name="Obrázek 2">
              <a:extLst>
                <a:ext uri="{FF2B5EF4-FFF2-40B4-BE49-F238E27FC236}">
                  <a16:creationId xmlns:a16="http://schemas.microsoft.com/office/drawing/2014/main" id="{F733870A-796E-89CE-C72E-8AC202679605}"/>
                </a:ext>
              </a:extLst>
            </xdr:cNvPr>
            <xdr:cNvPicPr>
              <a:picLocks noChangeAspect="1" noChangeArrowheads="1"/>
              <a:extLst>
                <a:ext uri="{84589F7E-364E-4C9E-8A38-B11213B215E9}">
                  <a14:cameraTool cellRange="kombinace_1!$CH$13" spid="_x0000_s761054"/>
                </a:ext>
              </a:extLst>
            </xdr:cNvPicPr>
          </xdr:nvPicPr>
          <xdr:blipFill>
            <a:blip xmlns:r="http://schemas.openxmlformats.org/officeDocument/2006/relationships" r:embed="rId2"/>
            <a:srcRect/>
            <a:stretch>
              <a:fillRect/>
            </a:stretch>
          </xdr:blipFill>
          <xdr:spPr bwMode="auto">
            <a:xfrm>
              <a:off x="11610975" y="3609975"/>
              <a:ext cx="5006340" cy="247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19050</xdr:rowOff>
        </xdr:from>
        <xdr:to>
          <xdr:col>33</xdr:col>
          <xdr:colOff>76200</xdr:colOff>
          <xdr:row>26</xdr:row>
          <xdr:rowOff>135255</xdr:rowOff>
        </xdr:to>
        <xdr:pic>
          <xdr:nvPicPr>
            <xdr:cNvPr id="2699395" name="Obrázek 3">
              <a:extLst>
                <a:ext uri="{FF2B5EF4-FFF2-40B4-BE49-F238E27FC236}">
                  <a16:creationId xmlns:a16="http://schemas.microsoft.com/office/drawing/2014/main" id="{1E89FA81-C3C2-102A-87C9-2DDCE830721E}"/>
                </a:ext>
              </a:extLst>
            </xdr:cNvPr>
            <xdr:cNvPicPr>
              <a:picLocks noChangeAspect="1" noChangeArrowheads="1"/>
              <a:extLst>
                <a:ext uri="{84589F7E-364E-4C9E-8A38-B11213B215E9}">
                  <a14:cameraTool cellRange="kombinace_1!$CH$14" spid="_x0000_s761055"/>
                </a:ext>
              </a:extLst>
            </xdr:cNvPicPr>
          </xdr:nvPicPr>
          <xdr:blipFill>
            <a:blip xmlns:r="http://schemas.openxmlformats.org/officeDocument/2006/relationships" r:embed="rId2"/>
            <a:srcRect/>
            <a:stretch>
              <a:fillRect/>
            </a:stretch>
          </xdr:blipFill>
          <xdr:spPr bwMode="auto">
            <a:xfrm>
              <a:off x="13458825" y="1133475"/>
              <a:ext cx="285750" cy="5000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43815</xdr:colOff>
          <xdr:row>15</xdr:row>
          <xdr:rowOff>123825</xdr:rowOff>
        </xdr:from>
        <xdr:to>
          <xdr:col>41</xdr:col>
          <xdr:colOff>2963</xdr:colOff>
          <xdr:row>16</xdr:row>
          <xdr:rowOff>98849</xdr:rowOff>
        </xdr:to>
        <xdr:pic>
          <xdr:nvPicPr>
            <xdr:cNvPr id="3" name="Obrázek 2">
              <a:extLst>
                <a:ext uri="{FF2B5EF4-FFF2-40B4-BE49-F238E27FC236}">
                  <a16:creationId xmlns:a16="http://schemas.microsoft.com/office/drawing/2014/main" id="{29822EBA-4C4C-4E3C-BF8D-2CFD77031D38}"/>
                </a:ext>
              </a:extLst>
            </xdr:cNvPr>
            <xdr:cNvPicPr>
              <a:picLocks noChangeAspect="1" noChangeArrowheads="1"/>
              <a:extLst>
                <a:ext uri="{84589F7E-364E-4C9E-8A38-B11213B215E9}">
                  <a14:cameraTool cellRange="kombinace_2!$CH$13" spid="_x0000_s1109839"/>
                </a:ext>
              </a:extLst>
            </xdr:cNvPicPr>
          </xdr:nvPicPr>
          <xdr:blipFill>
            <a:blip xmlns:r="http://schemas.openxmlformats.org/officeDocument/2006/relationships" r:embed="rId1"/>
            <a:srcRect/>
            <a:stretch>
              <a:fillRect/>
            </a:stretch>
          </xdr:blipFill>
          <xdr:spPr bwMode="auto">
            <a:xfrm>
              <a:off x="10810875" y="3583305"/>
              <a:ext cx="5140748" cy="1921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152399</xdr:colOff>
          <xdr:row>6</xdr:row>
          <xdr:rowOff>15239</xdr:rowOff>
        </xdr:from>
        <xdr:to>
          <xdr:col>33</xdr:col>
          <xdr:colOff>21378</xdr:colOff>
          <xdr:row>26</xdr:row>
          <xdr:rowOff>193675</xdr:rowOff>
        </xdr:to>
        <xdr:pic>
          <xdr:nvPicPr>
            <xdr:cNvPr id="4" name="Obrázek 3">
              <a:extLst>
                <a:ext uri="{FF2B5EF4-FFF2-40B4-BE49-F238E27FC236}">
                  <a16:creationId xmlns:a16="http://schemas.microsoft.com/office/drawing/2014/main" id="{7542DBC3-2282-4FB0-B8FA-615B7A6BB5DD}"/>
                </a:ext>
              </a:extLst>
            </xdr:cNvPr>
            <xdr:cNvPicPr>
              <a:picLocks noChangeAspect="1" noChangeArrowheads="1"/>
              <a:extLst>
                <a:ext uri="{84589F7E-364E-4C9E-8A38-B11213B215E9}">
                  <a14:cameraTool cellRange="kombinace_2!$CH$14" spid="_x0000_s1109840"/>
                </a:ext>
              </a:extLst>
            </xdr:cNvPicPr>
          </xdr:nvPicPr>
          <xdr:blipFill>
            <a:blip xmlns:r="http://schemas.openxmlformats.org/officeDocument/2006/relationships" r:embed="rId1"/>
            <a:srcRect/>
            <a:stretch>
              <a:fillRect/>
            </a:stretch>
          </xdr:blipFill>
          <xdr:spPr bwMode="auto">
            <a:xfrm>
              <a:off x="13318066" y="1141306"/>
              <a:ext cx="211667" cy="50308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295275</xdr:colOff>
          <xdr:row>7</xdr:row>
          <xdr:rowOff>0</xdr:rowOff>
        </xdr:to>
        <xdr:sp macro="" textlink="">
          <xdr:nvSpPr>
            <xdr:cNvPr id="1109763" name="Check Box 3843" hidden="1">
              <a:extLst>
                <a:ext uri="{63B3BB69-23CF-44E3-9099-C40C66FF867C}">
                  <a14:compatExt spid="_x0000_s1109763"/>
                </a:ext>
                <a:ext uri="{FF2B5EF4-FFF2-40B4-BE49-F238E27FC236}">
                  <a16:creationId xmlns:a16="http://schemas.microsoft.com/office/drawing/2014/main" id="{00000000-0008-0000-0A00-000003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440055</xdr:colOff>
      <xdr:row>4</xdr:row>
      <xdr:rowOff>0</xdr:rowOff>
    </xdr:to>
    <xdr:pic>
      <xdr:nvPicPr>
        <xdr:cNvPr id="2" name="Obrázek 7">
          <a:extLst>
            <a:ext uri="{FF2B5EF4-FFF2-40B4-BE49-F238E27FC236}">
              <a16:creationId xmlns:a16="http://schemas.microsoft.com/office/drawing/2014/main" id="{5993EBD5-21F2-47CD-8EB7-6B0B40EED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0995" y="28575"/>
          <a:ext cx="108775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228600</xdr:rowOff>
        </xdr:to>
        <xdr:sp macro="" textlink="">
          <xdr:nvSpPr>
            <xdr:cNvPr id="1109764" name="Check Box 3844" hidden="1">
              <a:extLst>
                <a:ext uri="{63B3BB69-23CF-44E3-9099-C40C66FF867C}">
                  <a14:compatExt spid="_x0000_s1109764"/>
                </a:ext>
                <a:ext uri="{FF2B5EF4-FFF2-40B4-BE49-F238E27FC236}">
                  <a16:creationId xmlns:a16="http://schemas.microsoft.com/office/drawing/2014/main" id="{00000000-0008-0000-0A00-000004EF1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314325</xdr:colOff>
          <xdr:row>7</xdr:row>
          <xdr:rowOff>238125</xdr:rowOff>
        </xdr:to>
        <xdr:sp macro="" textlink="">
          <xdr:nvSpPr>
            <xdr:cNvPr id="782426" name="Check Box 1114" hidden="1">
              <a:extLst>
                <a:ext uri="{63B3BB69-23CF-44E3-9099-C40C66FF867C}">
                  <a14:compatExt spid="_x0000_s782426"/>
                </a:ext>
                <a:ext uri="{FF2B5EF4-FFF2-40B4-BE49-F238E27FC236}">
                  <a16:creationId xmlns:a16="http://schemas.microsoft.com/office/drawing/2014/main" id="{00000000-0008-0000-0C00-00005AF0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285750</xdr:colOff>
          <xdr:row>7</xdr:row>
          <xdr:rowOff>0</xdr:rowOff>
        </xdr:to>
        <xdr:sp macro="" textlink="">
          <xdr:nvSpPr>
            <xdr:cNvPr id="783316" name="Check Box 2004" hidden="1">
              <a:extLst>
                <a:ext uri="{63B3BB69-23CF-44E3-9099-C40C66FF867C}">
                  <a14:compatExt spid="_x0000_s783316"/>
                </a:ext>
                <a:ext uri="{FF2B5EF4-FFF2-40B4-BE49-F238E27FC236}">
                  <a16:creationId xmlns:a16="http://schemas.microsoft.com/office/drawing/2014/main" id="{00000000-0008-0000-0C00-0000D4F3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438150</xdr:colOff>
      <xdr:row>4</xdr:row>
      <xdr:rowOff>0</xdr:rowOff>
    </xdr:to>
    <xdr:pic>
      <xdr:nvPicPr>
        <xdr:cNvPr id="10" name="Obrázek 7">
          <a:extLst>
            <a:ext uri="{FF2B5EF4-FFF2-40B4-BE49-F238E27FC236}">
              <a16:creationId xmlns:a16="http://schemas.microsoft.com/office/drawing/2014/main" id="{E0467556-4876-42E8-BB4B-76D47D3F6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13335</xdr:colOff>
          <xdr:row>15</xdr:row>
          <xdr:rowOff>127635</xdr:rowOff>
        </xdr:from>
        <xdr:to>
          <xdr:col>41</xdr:col>
          <xdr:colOff>0</xdr:colOff>
          <xdr:row>16</xdr:row>
          <xdr:rowOff>97707</xdr:rowOff>
        </xdr:to>
        <xdr:pic>
          <xdr:nvPicPr>
            <xdr:cNvPr id="11" name="Obrázek 10">
              <a:extLst>
                <a:ext uri="{FF2B5EF4-FFF2-40B4-BE49-F238E27FC236}">
                  <a16:creationId xmlns:a16="http://schemas.microsoft.com/office/drawing/2014/main" id="{8B1700DC-4276-4D23-8427-B5451891AD10}"/>
                </a:ext>
              </a:extLst>
            </xdr:cNvPr>
            <xdr:cNvPicPr>
              <a:picLocks noChangeAspect="1" noChangeArrowheads="1"/>
              <a:extLst>
                <a:ext uri="{84589F7E-364E-4C9E-8A38-B11213B215E9}">
                  <a14:cameraTool cellRange="kombinace_3!$CH$13" spid="_x0000_s2694173"/>
                </a:ext>
              </a:extLst>
            </xdr:cNvPicPr>
          </xdr:nvPicPr>
          <xdr:blipFill>
            <a:blip xmlns:r="http://schemas.openxmlformats.org/officeDocument/2006/relationships" r:embed="rId2"/>
            <a:srcRect/>
            <a:stretch>
              <a:fillRect/>
            </a:stretch>
          </xdr:blipFill>
          <xdr:spPr bwMode="auto">
            <a:xfrm>
              <a:off x="10795635" y="3556635"/>
              <a:ext cx="5025390" cy="20629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257175</xdr:colOff>
          <xdr:row>6</xdr:row>
          <xdr:rowOff>28575</xdr:rowOff>
        </xdr:from>
        <xdr:to>
          <xdr:col>33</xdr:col>
          <xdr:colOff>133350</xdr:colOff>
          <xdr:row>27</xdr:row>
          <xdr:rowOff>0</xdr:rowOff>
        </xdr:to>
        <xdr:pic>
          <xdr:nvPicPr>
            <xdr:cNvPr id="1564329" name="Obrázek 3">
              <a:extLst>
                <a:ext uri="{FF2B5EF4-FFF2-40B4-BE49-F238E27FC236}">
                  <a16:creationId xmlns:a16="http://schemas.microsoft.com/office/drawing/2014/main" id="{0A5115E3-19B8-7024-A331-6BCAB6877E00}"/>
                </a:ext>
              </a:extLst>
            </xdr:cNvPr>
            <xdr:cNvPicPr>
              <a:picLocks noChangeAspect="1" noChangeArrowheads="1"/>
              <a:extLst>
                <a:ext uri="{84589F7E-364E-4C9E-8A38-B11213B215E9}">
                  <a14:cameraTool cellRange="kombinace_3!$CH$14" spid="_x0000_s2694174"/>
                </a:ext>
              </a:extLst>
            </xdr:cNvPicPr>
          </xdr:nvPicPr>
          <xdr:blipFill>
            <a:blip xmlns:r="http://schemas.openxmlformats.org/officeDocument/2006/relationships" r:embed="rId2"/>
            <a:srcRect/>
            <a:stretch>
              <a:fillRect/>
            </a:stretch>
          </xdr:blipFill>
          <xdr:spPr bwMode="auto">
            <a:xfrm>
              <a:off x="13363575" y="1143000"/>
              <a:ext cx="228600" cy="5029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371475</xdr:colOff>
          <xdr:row>7</xdr:row>
          <xdr:rowOff>0</xdr:rowOff>
        </xdr:to>
        <xdr:sp macro="" textlink="">
          <xdr:nvSpPr>
            <xdr:cNvPr id="332805" name="Check Box 5" hidden="1">
              <a:extLst>
                <a:ext uri="{63B3BB69-23CF-44E3-9099-C40C66FF867C}">
                  <a14:compatExt spid="_x0000_s332805"/>
                </a:ext>
                <a:ext uri="{FF2B5EF4-FFF2-40B4-BE49-F238E27FC236}">
                  <a16:creationId xmlns:a16="http://schemas.microsoft.com/office/drawing/2014/main" id="{00000000-0008-0000-0E00-0000051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276225</xdr:colOff>
          <xdr:row>7</xdr:row>
          <xdr:rowOff>200025</xdr:rowOff>
        </xdr:to>
        <xdr:sp macro="" textlink="">
          <xdr:nvSpPr>
            <xdr:cNvPr id="783450" name="Check Box 1114" hidden="1">
              <a:extLst>
                <a:ext uri="{63B3BB69-23CF-44E3-9099-C40C66FF867C}">
                  <a14:compatExt spid="_x0000_s783450"/>
                </a:ext>
                <a:ext uri="{FF2B5EF4-FFF2-40B4-BE49-F238E27FC236}">
                  <a16:creationId xmlns:a16="http://schemas.microsoft.com/office/drawing/2014/main" id="{00000000-0008-0000-0E00-00005AF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435399</xdr:colOff>
      <xdr:row>4</xdr:row>
      <xdr:rowOff>0</xdr:rowOff>
    </xdr:to>
    <xdr:pic>
      <xdr:nvPicPr>
        <xdr:cNvPr id="2" name="Obrázek 7">
          <a:extLst>
            <a:ext uri="{FF2B5EF4-FFF2-40B4-BE49-F238E27FC236}">
              <a16:creationId xmlns:a16="http://schemas.microsoft.com/office/drawing/2014/main" id="{8CCC0B42-B7FA-456B-A500-66506817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 y="28575"/>
          <a:ext cx="1091565"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12276</xdr:colOff>
          <xdr:row>15</xdr:row>
          <xdr:rowOff>147742</xdr:rowOff>
        </xdr:from>
        <xdr:to>
          <xdr:col>41</xdr:col>
          <xdr:colOff>16152</xdr:colOff>
          <xdr:row>16</xdr:row>
          <xdr:rowOff>168698</xdr:rowOff>
        </xdr:to>
        <xdr:pic>
          <xdr:nvPicPr>
            <xdr:cNvPr id="3" name="Obrázek 2">
              <a:extLst>
                <a:ext uri="{FF2B5EF4-FFF2-40B4-BE49-F238E27FC236}">
                  <a16:creationId xmlns:a16="http://schemas.microsoft.com/office/drawing/2014/main" id="{35AEE622-9260-44CC-909B-EFD1A6C46B4F}"/>
                </a:ext>
              </a:extLst>
            </xdr:cNvPr>
            <xdr:cNvPicPr>
              <a:picLocks noChangeAspect="1" noChangeArrowheads="1"/>
              <a:extLst>
                <a:ext uri="{84589F7E-364E-4C9E-8A38-B11213B215E9}">
                  <a14:cameraTool cellRange="kombinace_4!$CH$13" spid="_x0000_s784357"/>
                </a:ext>
              </a:extLst>
            </xdr:cNvPicPr>
          </xdr:nvPicPr>
          <xdr:blipFill>
            <a:blip xmlns:r="http://schemas.openxmlformats.org/officeDocument/2006/relationships" r:embed="rId2"/>
            <a:srcRect/>
            <a:stretch>
              <a:fillRect/>
            </a:stretch>
          </xdr:blipFill>
          <xdr:spPr bwMode="auto">
            <a:xfrm>
              <a:off x="9950026" y="3608492"/>
              <a:ext cx="5032018" cy="2480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16299</xdr:colOff>
          <xdr:row>26</xdr:row>
          <xdr:rowOff>211667</xdr:rowOff>
        </xdr:to>
        <xdr:pic>
          <xdr:nvPicPr>
            <xdr:cNvPr id="4" name="Obrázek 3">
              <a:extLst>
                <a:ext uri="{FF2B5EF4-FFF2-40B4-BE49-F238E27FC236}">
                  <a16:creationId xmlns:a16="http://schemas.microsoft.com/office/drawing/2014/main" id="{9C696408-EB0E-4D21-8118-3BFAE262EF3E}"/>
                </a:ext>
              </a:extLst>
            </xdr:cNvPr>
            <xdr:cNvPicPr>
              <a:picLocks noChangeAspect="1" noChangeArrowheads="1"/>
              <a:extLst>
                <a:ext uri="{84589F7E-364E-4C9E-8A38-B11213B215E9}">
                  <a14:cameraTool cellRange="kombinace_4!$CH$14" spid="_x0000_s784358"/>
                </a:ext>
              </a:extLst>
            </xdr:cNvPicPr>
          </xdr:nvPicPr>
          <xdr:blipFill>
            <a:blip xmlns:r="http://schemas.openxmlformats.org/officeDocument/2006/relationships" r:embed="rId2"/>
            <a:srcRect/>
            <a:stretch>
              <a:fillRect/>
            </a:stretch>
          </xdr:blipFill>
          <xdr:spPr bwMode="auto">
            <a:xfrm>
              <a:off x="12418483" y="1137073"/>
              <a:ext cx="218018" cy="509651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3829" name="Check Box 5" hidden="1">
              <a:extLst>
                <a:ext uri="{63B3BB69-23CF-44E3-9099-C40C66FF867C}">
                  <a14:compatExt spid="_x0000_s333829"/>
                </a:ext>
                <a:ext uri="{FF2B5EF4-FFF2-40B4-BE49-F238E27FC236}">
                  <a16:creationId xmlns:a16="http://schemas.microsoft.com/office/drawing/2014/main" id="{00000000-0008-0000-1000-0000051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xdr:row>
          <xdr:rowOff>161925</xdr:rowOff>
        </xdr:from>
        <xdr:to>
          <xdr:col>5</xdr:col>
          <xdr:colOff>285750</xdr:colOff>
          <xdr:row>7</xdr:row>
          <xdr:rowOff>228600</xdr:rowOff>
        </xdr:to>
        <xdr:sp macro="" textlink="">
          <xdr:nvSpPr>
            <xdr:cNvPr id="784473" name="Check Box 1113" hidden="1">
              <a:extLst>
                <a:ext uri="{63B3BB69-23CF-44E3-9099-C40C66FF867C}">
                  <a14:compatExt spid="_x0000_s784473"/>
                </a:ext>
                <a:ext uri="{FF2B5EF4-FFF2-40B4-BE49-F238E27FC236}">
                  <a16:creationId xmlns:a16="http://schemas.microsoft.com/office/drawing/2014/main" id="{00000000-0008-0000-1000-000059F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104775</xdr:colOff>
      <xdr:row>0</xdr:row>
      <xdr:rowOff>28575</xdr:rowOff>
    </xdr:from>
    <xdr:to>
      <xdr:col>3</xdr:col>
      <xdr:colOff>439209</xdr:colOff>
      <xdr:row>4</xdr:row>
      <xdr:rowOff>0</xdr:rowOff>
    </xdr:to>
    <xdr:pic>
      <xdr:nvPicPr>
        <xdr:cNvPr id="2" name="Obrázek 7">
          <a:extLst>
            <a:ext uri="{FF2B5EF4-FFF2-40B4-BE49-F238E27FC236}">
              <a16:creationId xmlns:a16="http://schemas.microsoft.com/office/drawing/2014/main" id="{54FCDCE8-E4D6-474D-B205-1C39ACB40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0668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27</xdr:col>
          <xdr:colOff>12277</xdr:colOff>
          <xdr:row>15</xdr:row>
          <xdr:rowOff>115994</xdr:rowOff>
        </xdr:from>
        <xdr:to>
          <xdr:col>40</xdr:col>
          <xdr:colOff>136737</xdr:colOff>
          <xdr:row>16</xdr:row>
          <xdr:rowOff>92289</xdr:rowOff>
        </xdr:to>
        <xdr:pic>
          <xdr:nvPicPr>
            <xdr:cNvPr id="3" name="Obrázek 2">
              <a:extLst>
                <a:ext uri="{FF2B5EF4-FFF2-40B4-BE49-F238E27FC236}">
                  <a16:creationId xmlns:a16="http://schemas.microsoft.com/office/drawing/2014/main" id="{AB599E3E-F779-451E-938D-2FCD9E7C5DBE}"/>
                </a:ext>
              </a:extLst>
            </xdr:cNvPr>
            <xdr:cNvPicPr>
              <a:picLocks noChangeAspect="1" noChangeArrowheads="1"/>
              <a:extLst>
                <a:ext uri="{84589F7E-364E-4C9E-8A38-B11213B215E9}">
                  <a14:cameraTool cellRange="kombinace_5!$CH$13" spid="_x0000_s785349"/>
                </a:ext>
              </a:extLst>
            </xdr:cNvPicPr>
          </xdr:nvPicPr>
          <xdr:blipFill>
            <a:blip xmlns:r="http://schemas.openxmlformats.org/officeDocument/2006/relationships" r:embed="rId2"/>
            <a:srcRect/>
            <a:stretch>
              <a:fillRect/>
            </a:stretch>
          </xdr:blipFill>
          <xdr:spPr bwMode="auto">
            <a:xfrm>
              <a:off x="9950027" y="3576744"/>
              <a:ext cx="5004223" cy="20150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32</xdr:col>
          <xdr:colOff>324273</xdr:colOff>
          <xdr:row>26</xdr:row>
          <xdr:rowOff>208915</xdr:rowOff>
        </xdr:to>
        <xdr:pic>
          <xdr:nvPicPr>
            <xdr:cNvPr id="4" name="Obrázek 3">
              <a:extLst>
                <a:ext uri="{FF2B5EF4-FFF2-40B4-BE49-F238E27FC236}">
                  <a16:creationId xmlns:a16="http://schemas.microsoft.com/office/drawing/2014/main" id="{E7E26128-AFFA-497E-BEDD-F8852F3B185E}"/>
                </a:ext>
              </a:extLst>
            </xdr:cNvPr>
            <xdr:cNvPicPr>
              <a:picLocks noChangeAspect="1" noChangeArrowheads="1"/>
              <a:extLst>
                <a:ext uri="{84589F7E-364E-4C9E-8A38-B11213B215E9}">
                  <a14:cameraTool cellRange="kombinace_5!$CH$14" spid="_x0000_s785350"/>
                </a:ext>
              </a:extLst>
            </xdr:cNvPicPr>
          </xdr:nvPicPr>
          <xdr:blipFill>
            <a:blip xmlns:r="http://schemas.openxmlformats.org/officeDocument/2006/relationships" r:embed="rId2"/>
            <a:srcRect/>
            <a:stretch>
              <a:fillRect/>
            </a:stretch>
          </xdr:blipFill>
          <xdr:spPr bwMode="auto">
            <a:xfrm>
              <a:off x="12947650" y="1137073"/>
              <a:ext cx="17568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6</xdr:row>
          <xdr:rowOff>0</xdr:rowOff>
        </xdr:from>
        <xdr:to>
          <xdr:col>5</xdr:col>
          <xdr:colOff>361950</xdr:colOff>
          <xdr:row>7</xdr:row>
          <xdr:rowOff>0</xdr:rowOff>
        </xdr:to>
        <xdr:sp macro="" textlink="">
          <xdr:nvSpPr>
            <xdr:cNvPr id="334853" name="Check Box 5" hidden="1">
              <a:extLst>
                <a:ext uri="{63B3BB69-23CF-44E3-9099-C40C66FF867C}">
                  <a14:compatExt spid="_x0000_s334853"/>
                </a:ext>
                <a:ext uri="{FF2B5EF4-FFF2-40B4-BE49-F238E27FC236}">
                  <a16:creationId xmlns:a16="http://schemas.microsoft.com/office/drawing/2014/main" id="{00000000-0008-0000-1200-0000051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xdr:colOff>
          <xdr:row>15</xdr:row>
          <xdr:rowOff>175259</xdr:rowOff>
        </xdr:from>
        <xdr:to>
          <xdr:col>40</xdr:col>
          <xdr:colOff>117817</xdr:colOff>
          <xdr:row>16</xdr:row>
          <xdr:rowOff>136313</xdr:rowOff>
        </xdr:to>
        <xdr:pic>
          <xdr:nvPicPr>
            <xdr:cNvPr id="3" name="Obrázek 2">
              <a:extLst>
                <a:ext uri="{FF2B5EF4-FFF2-40B4-BE49-F238E27FC236}">
                  <a16:creationId xmlns:a16="http://schemas.microsoft.com/office/drawing/2014/main" id="{41C9E079-78BE-4497-81F6-A1C778800EF7}"/>
                </a:ext>
              </a:extLst>
            </xdr:cNvPr>
            <xdr:cNvPicPr>
              <a:picLocks noChangeAspect="1" noChangeArrowheads="1"/>
              <a:extLst>
                <a:ext uri="{84589F7E-364E-4C9E-8A38-B11213B215E9}">
                  <a14:cameraTool cellRange="kombinace_6!$CH$13" spid="_x0000_s954259"/>
                </a:ext>
              </a:extLst>
            </xdr:cNvPicPr>
          </xdr:nvPicPr>
          <xdr:blipFill>
            <a:blip xmlns:r="http://schemas.openxmlformats.org/officeDocument/2006/relationships" r:embed="rId1"/>
            <a:srcRect/>
            <a:stretch>
              <a:fillRect/>
            </a:stretch>
          </xdr:blipFill>
          <xdr:spPr bwMode="auto">
            <a:xfrm>
              <a:off x="9938385" y="3604259"/>
              <a:ext cx="4979377" cy="19727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6</xdr:row>
          <xdr:rowOff>15240</xdr:rowOff>
        </xdr:from>
        <xdr:to>
          <xdr:col>33</xdr:col>
          <xdr:colOff>0</xdr:colOff>
          <xdr:row>26</xdr:row>
          <xdr:rowOff>212725</xdr:rowOff>
        </xdr:to>
        <xdr:pic>
          <xdr:nvPicPr>
            <xdr:cNvPr id="4" name="Obrázek 3">
              <a:extLst>
                <a:ext uri="{FF2B5EF4-FFF2-40B4-BE49-F238E27FC236}">
                  <a16:creationId xmlns:a16="http://schemas.microsoft.com/office/drawing/2014/main" id="{0C5730BE-D1AF-400E-B21F-3847991642AC}"/>
                </a:ext>
              </a:extLst>
            </xdr:cNvPr>
            <xdr:cNvPicPr>
              <a:picLocks noChangeAspect="1" noChangeArrowheads="1"/>
              <a:extLst>
                <a:ext uri="{84589F7E-364E-4C9E-8A38-B11213B215E9}">
                  <a14:cameraTool cellRange="kombinace_6!$CH$14" spid="_x0000_s954260"/>
                </a:ext>
              </a:extLst>
            </xdr:cNvPicPr>
          </xdr:nvPicPr>
          <xdr:blipFill>
            <a:blip xmlns:r="http://schemas.openxmlformats.org/officeDocument/2006/relationships" r:embed="rId1"/>
            <a:srcRect/>
            <a:stretch>
              <a:fillRect/>
            </a:stretch>
          </xdr:blipFill>
          <xdr:spPr bwMode="auto">
            <a:xfrm>
              <a:off x="12947650" y="1137073"/>
              <a:ext cx="207433" cy="5107094"/>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104775</xdr:colOff>
      <xdr:row>0</xdr:row>
      <xdr:rowOff>28575</xdr:rowOff>
    </xdr:from>
    <xdr:to>
      <xdr:col>3</xdr:col>
      <xdr:colOff>434340</xdr:colOff>
      <xdr:row>4</xdr:row>
      <xdr:rowOff>0</xdr:rowOff>
    </xdr:to>
    <xdr:pic>
      <xdr:nvPicPr>
        <xdr:cNvPr id="9" name="Obrázek 7">
          <a:extLst>
            <a:ext uri="{FF2B5EF4-FFF2-40B4-BE49-F238E27FC236}">
              <a16:creationId xmlns:a16="http://schemas.microsoft.com/office/drawing/2014/main" id="{FA727637-369B-4B23-95F0-97DCD2CF76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28575"/>
          <a:ext cx="106108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57150</xdr:colOff>
          <xdr:row>6</xdr:row>
          <xdr:rowOff>171450</xdr:rowOff>
        </xdr:from>
        <xdr:to>
          <xdr:col>5</xdr:col>
          <xdr:colOff>266700</xdr:colOff>
          <xdr:row>7</xdr:row>
          <xdr:rowOff>228600</xdr:rowOff>
        </xdr:to>
        <xdr:sp macro="" textlink="">
          <xdr:nvSpPr>
            <xdr:cNvPr id="954189" name="Check Box 2893" hidden="1">
              <a:extLst>
                <a:ext uri="{63B3BB69-23CF-44E3-9099-C40C66FF867C}">
                  <a14:compatExt spid="_x0000_s954189"/>
                </a:ext>
                <a:ext uri="{FF2B5EF4-FFF2-40B4-BE49-F238E27FC236}">
                  <a16:creationId xmlns:a16="http://schemas.microsoft.com/office/drawing/2014/main" id="{00000000-0008-0000-1200-00004D8F0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20</xdr:row>
          <xdr:rowOff>180975</xdr:rowOff>
        </xdr:from>
        <xdr:to>
          <xdr:col>19</xdr:col>
          <xdr:colOff>0</xdr:colOff>
          <xdr:row>22</xdr:row>
          <xdr:rowOff>38100</xdr:rowOff>
        </xdr:to>
        <xdr:sp macro="" textlink="">
          <xdr:nvSpPr>
            <xdr:cNvPr id="187402" name="Check Box 10" hidden="1">
              <a:extLst>
                <a:ext uri="{63B3BB69-23CF-44E3-9099-C40C66FF867C}">
                  <a14:compatExt spid="_x0000_s187402"/>
                </a:ext>
                <a:ext uri="{FF2B5EF4-FFF2-40B4-BE49-F238E27FC236}">
                  <a16:creationId xmlns:a16="http://schemas.microsoft.com/office/drawing/2014/main" id="{00000000-0008-0000-1400-00000AD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76200</xdr:colOff>
      <xdr:row>0</xdr:row>
      <xdr:rowOff>0</xdr:rowOff>
    </xdr:from>
    <xdr:to>
      <xdr:col>3</xdr:col>
      <xdr:colOff>58750</xdr:colOff>
      <xdr:row>6</xdr:row>
      <xdr:rowOff>38100</xdr:rowOff>
    </xdr:to>
    <xdr:pic>
      <xdr:nvPicPr>
        <xdr:cNvPr id="867160" name="Obrázek 5">
          <a:extLst>
            <a:ext uri="{FF2B5EF4-FFF2-40B4-BE49-F238E27FC236}">
              <a16:creationId xmlns:a16="http://schemas.microsoft.com/office/drawing/2014/main" id="{128A6E6D-CC42-CA85-08B2-0927F0952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0"/>
          <a:ext cx="15240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20</xdr:row>
          <xdr:rowOff>180975</xdr:rowOff>
        </xdr:from>
        <xdr:to>
          <xdr:col>0</xdr:col>
          <xdr:colOff>361950</xdr:colOff>
          <xdr:row>22</xdr:row>
          <xdr:rowOff>38100</xdr:rowOff>
        </xdr:to>
        <xdr:sp macro="" textlink="">
          <xdr:nvSpPr>
            <xdr:cNvPr id="2677761" name="Check Box 1" hidden="1">
              <a:extLst>
                <a:ext uri="{63B3BB69-23CF-44E3-9099-C40C66FF867C}">
                  <a14:compatExt spid="_x0000_s2677761"/>
                </a:ext>
                <a:ext uri="{FF2B5EF4-FFF2-40B4-BE49-F238E27FC236}">
                  <a16:creationId xmlns:a16="http://schemas.microsoft.com/office/drawing/2014/main" id="{00000000-0008-0000-1500-000001DC2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0</xdr:row>
          <xdr:rowOff>0</xdr:rowOff>
        </xdr:from>
        <xdr:to>
          <xdr:col>22</xdr:col>
          <xdr:colOff>0</xdr:colOff>
          <xdr:row>1</xdr:row>
          <xdr:rowOff>0</xdr:rowOff>
        </xdr:to>
        <xdr:sp macro="" textlink="">
          <xdr:nvSpPr>
            <xdr:cNvPr id="190465" name="Check Box 1967" hidden="1">
              <a:extLst>
                <a:ext uri="{63B3BB69-23CF-44E3-9099-C40C66FF867C}">
                  <a14:compatExt spid="_x0000_s190465"/>
                </a:ext>
                <a:ext uri="{FF2B5EF4-FFF2-40B4-BE49-F238E27FC236}">
                  <a16:creationId xmlns:a16="http://schemas.microsoft.com/office/drawing/2014/main" id="{00000000-0008-0000-1600-000001E802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twoCellAnchor editAs="oneCell">
    <xdr:from>
      <xdr:col>1</xdr:col>
      <xdr:colOff>9525</xdr:colOff>
      <xdr:row>92</xdr:row>
      <xdr:rowOff>209550</xdr:rowOff>
    </xdr:from>
    <xdr:to>
      <xdr:col>6</xdr:col>
      <xdr:colOff>0</xdr:colOff>
      <xdr:row>104</xdr:row>
      <xdr:rowOff>53340</xdr:rowOff>
    </xdr:to>
    <xdr:pic>
      <xdr:nvPicPr>
        <xdr:cNvPr id="947217" name="Obrázek 3">
          <a:extLst>
            <a:ext uri="{FF2B5EF4-FFF2-40B4-BE49-F238E27FC236}">
              <a16:creationId xmlns:a16="http://schemas.microsoft.com/office/drawing/2014/main" id="{B735A8A5-5985-650D-38FC-89453FF0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18935700"/>
          <a:ext cx="284797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666750</xdr:colOff>
      <xdr:row>93</xdr:row>
      <xdr:rowOff>0</xdr:rowOff>
    </xdr:from>
    <xdr:to>
      <xdr:col>10</xdr:col>
      <xdr:colOff>76200</xdr:colOff>
      <xdr:row>104</xdr:row>
      <xdr:rowOff>19050</xdr:rowOff>
    </xdr:to>
    <xdr:pic>
      <xdr:nvPicPr>
        <xdr:cNvPr id="947218" name="Obrázek 4">
          <a:extLst>
            <a:ext uri="{FF2B5EF4-FFF2-40B4-BE49-F238E27FC236}">
              <a16:creationId xmlns:a16="http://schemas.microsoft.com/office/drawing/2014/main" id="{1977AF1F-3ADD-980F-E051-C7FAF4925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29000" y="18935700"/>
          <a:ext cx="23622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xdr:row>
      <xdr:rowOff>19050</xdr:rowOff>
    </xdr:from>
    <xdr:to>
      <xdr:col>4</xdr:col>
      <xdr:colOff>19050</xdr:colOff>
      <xdr:row>21</xdr:row>
      <xdr:rowOff>0</xdr:rowOff>
    </xdr:to>
    <xdr:pic>
      <xdr:nvPicPr>
        <xdr:cNvPr id="947220" name="Obrázek 10">
          <a:extLst>
            <a:ext uri="{FF2B5EF4-FFF2-40B4-BE49-F238E27FC236}">
              <a16:creationId xmlns:a16="http://schemas.microsoft.com/office/drawing/2014/main" id="{D74AC05C-AA50-029A-2820-FDABFA41A9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6401" r="21066"/>
        <a:stretch>
          <a:fillRect/>
        </a:stretch>
      </xdr:blipFill>
      <xdr:spPr bwMode="auto">
        <a:xfrm>
          <a:off x="590550" y="1905000"/>
          <a:ext cx="171450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38100</xdr:colOff>
      <xdr:row>9</xdr:row>
      <xdr:rowOff>28575</xdr:rowOff>
    </xdr:from>
    <xdr:to>
      <xdr:col>8</xdr:col>
      <xdr:colOff>0</xdr:colOff>
      <xdr:row>21</xdr:row>
      <xdr:rowOff>0</xdr:rowOff>
    </xdr:to>
    <xdr:pic>
      <xdr:nvPicPr>
        <xdr:cNvPr id="947221" name="Obrázek 11">
          <a:extLst>
            <a:ext uri="{FF2B5EF4-FFF2-40B4-BE49-F238E27FC236}">
              <a16:creationId xmlns:a16="http://schemas.microsoft.com/office/drawing/2014/main" id="{8FF632BA-4270-DC90-1AEC-A10DCEFD3A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9066" r="20667"/>
        <a:stretch>
          <a:fillRect/>
        </a:stretch>
      </xdr:blipFill>
      <xdr:spPr bwMode="auto">
        <a:xfrm>
          <a:off x="2895600" y="1914525"/>
          <a:ext cx="1676400" cy="2314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38100</xdr:colOff>
      <xdr:row>9</xdr:row>
      <xdr:rowOff>47625</xdr:rowOff>
    </xdr:from>
    <xdr:to>
      <xdr:col>12</xdr:col>
      <xdr:colOff>0</xdr:colOff>
      <xdr:row>21</xdr:row>
      <xdr:rowOff>0</xdr:rowOff>
    </xdr:to>
    <xdr:pic>
      <xdr:nvPicPr>
        <xdr:cNvPr id="947222" name="Obrázek 12">
          <a:extLst>
            <a:ext uri="{FF2B5EF4-FFF2-40B4-BE49-F238E27FC236}">
              <a16:creationId xmlns:a16="http://schemas.microsoft.com/office/drawing/2014/main" id="{36405552-1F68-A047-8980-5A65EC1260B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8667" r="21333"/>
        <a:stretch>
          <a:fillRect/>
        </a:stretch>
      </xdr:blipFill>
      <xdr:spPr bwMode="auto">
        <a:xfrm>
          <a:off x="5181600" y="1933575"/>
          <a:ext cx="1676400" cy="229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402431</xdr:colOff>
      <xdr:row>53</xdr:row>
      <xdr:rowOff>140017</xdr:rowOff>
    </xdr:from>
    <xdr:to>
      <xdr:col>8</xdr:col>
      <xdr:colOff>284321</xdr:colOff>
      <xdr:row>65</xdr:row>
      <xdr:rowOff>132397</xdr:rowOff>
    </xdr:to>
    <xdr:pic>
      <xdr:nvPicPr>
        <xdr:cNvPr id="947224" name="Obrázek 21">
          <a:extLst>
            <a:ext uri="{FF2B5EF4-FFF2-40B4-BE49-F238E27FC236}">
              <a16:creationId xmlns:a16="http://schemas.microsoft.com/office/drawing/2014/main" id="{95D2B5ED-1C3D-B4D9-0998-22FC9DB6155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29951" r="10143"/>
        <a:stretch>
          <a:fillRect/>
        </a:stretch>
      </xdr:blipFill>
      <xdr:spPr bwMode="auto">
        <a:xfrm>
          <a:off x="2783681" y="10950892"/>
          <a:ext cx="2276475" cy="214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437197</xdr:colOff>
      <xdr:row>37</xdr:row>
      <xdr:rowOff>130036</xdr:rowOff>
    </xdr:from>
    <xdr:to>
      <xdr:col>11</xdr:col>
      <xdr:colOff>432434</xdr:colOff>
      <xdr:row>50</xdr:row>
      <xdr:rowOff>35718</xdr:rowOff>
    </xdr:to>
    <xdr:pic>
      <xdr:nvPicPr>
        <xdr:cNvPr id="947226" name="Obrázek 23">
          <a:extLst>
            <a:ext uri="{FF2B5EF4-FFF2-40B4-BE49-F238E27FC236}">
              <a16:creationId xmlns:a16="http://schemas.microsoft.com/office/drawing/2014/main" id="{80CBC96F-F6BC-6A74-A093-89D957C062C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500" r="16701"/>
        <a:stretch>
          <a:fillRect/>
        </a:stretch>
      </xdr:blipFill>
      <xdr:spPr bwMode="auto">
        <a:xfrm>
          <a:off x="5199697" y="8035786"/>
          <a:ext cx="1777365" cy="2227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53</xdr:row>
      <xdr:rowOff>133350</xdr:rowOff>
    </xdr:from>
    <xdr:to>
      <xdr:col>4</xdr:col>
      <xdr:colOff>57150</xdr:colOff>
      <xdr:row>65</xdr:row>
      <xdr:rowOff>133350</xdr:rowOff>
    </xdr:to>
    <xdr:pic>
      <xdr:nvPicPr>
        <xdr:cNvPr id="947228" name="Obrázek 28">
          <a:extLst>
            <a:ext uri="{FF2B5EF4-FFF2-40B4-BE49-F238E27FC236}">
              <a16:creationId xmlns:a16="http://schemas.microsoft.com/office/drawing/2014/main" id="{C897CE0E-B1D6-E674-6D19-34AA02EF334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0800" r="14101"/>
        <a:stretch>
          <a:fillRect/>
        </a:stretch>
      </xdr:blipFill>
      <xdr:spPr bwMode="auto">
        <a:xfrm>
          <a:off x="571500" y="11353800"/>
          <a:ext cx="1771650"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38</xdr:row>
      <xdr:rowOff>38100</xdr:rowOff>
    </xdr:from>
    <xdr:to>
      <xdr:col>3</xdr:col>
      <xdr:colOff>555307</xdr:colOff>
      <xdr:row>50</xdr:row>
      <xdr:rowOff>35719</xdr:rowOff>
    </xdr:to>
    <xdr:pic>
      <xdr:nvPicPr>
        <xdr:cNvPr id="947229" name="Obrázek 29">
          <a:extLst>
            <a:ext uri="{FF2B5EF4-FFF2-40B4-BE49-F238E27FC236}">
              <a16:creationId xmlns:a16="http://schemas.microsoft.com/office/drawing/2014/main" id="{26582693-C551-6FE8-2350-4E57DFACAE3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29100" r="22099"/>
        <a:stretch>
          <a:fillRect/>
        </a:stretch>
      </xdr:blipFill>
      <xdr:spPr bwMode="auto">
        <a:xfrm>
          <a:off x="623888" y="8122444"/>
          <a:ext cx="1709737"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376237</xdr:colOff>
      <xdr:row>38</xdr:row>
      <xdr:rowOff>30479</xdr:rowOff>
    </xdr:from>
    <xdr:to>
      <xdr:col>7</xdr:col>
      <xdr:colOff>438149</xdr:colOff>
      <xdr:row>50</xdr:row>
      <xdr:rowOff>22383</xdr:rowOff>
    </xdr:to>
    <xdr:pic>
      <xdr:nvPicPr>
        <xdr:cNvPr id="947230" name="Obrázek 30">
          <a:extLst>
            <a:ext uri="{FF2B5EF4-FFF2-40B4-BE49-F238E27FC236}">
              <a16:creationId xmlns:a16="http://schemas.microsoft.com/office/drawing/2014/main" id="{17FC1C4B-526E-D495-4CCF-FD0C7D9FCF0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l="25800" r="17500"/>
        <a:stretch>
          <a:fillRect/>
        </a:stretch>
      </xdr:blipFill>
      <xdr:spPr bwMode="auto">
        <a:xfrm>
          <a:off x="2757487" y="8114823"/>
          <a:ext cx="1855470" cy="2140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40698</xdr:colOff>
      <xdr:row>9</xdr:row>
      <xdr:rowOff>83127</xdr:rowOff>
    </xdr:from>
    <xdr:to>
      <xdr:col>15</xdr:col>
      <xdr:colOff>126423</xdr:colOff>
      <xdr:row>20</xdr:row>
      <xdr:rowOff>64077</xdr:rowOff>
    </xdr:to>
    <xdr:pic>
      <xdr:nvPicPr>
        <xdr:cNvPr id="947235" name="Obrázek 8">
          <a:extLst>
            <a:ext uri="{FF2B5EF4-FFF2-40B4-BE49-F238E27FC236}">
              <a16:creationId xmlns:a16="http://schemas.microsoft.com/office/drawing/2014/main" id="{33E97A8C-9209-0025-0943-24D2857F0CC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05280" y="1925782"/>
          <a:ext cx="1249507" cy="2045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26</xdr:row>
      <xdr:rowOff>19050</xdr:rowOff>
    </xdr:from>
    <xdr:to>
      <xdr:col>4</xdr:col>
      <xdr:colOff>38100</xdr:colOff>
      <xdr:row>31</xdr:row>
      <xdr:rowOff>15240</xdr:rowOff>
    </xdr:to>
    <xdr:pic>
      <xdr:nvPicPr>
        <xdr:cNvPr id="947236" name="Obrázek 1">
          <a:extLst>
            <a:ext uri="{FF2B5EF4-FFF2-40B4-BE49-F238E27FC236}">
              <a16:creationId xmlns:a16="http://schemas.microsoft.com/office/drawing/2014/main" id="{C14C22CD-2C22-8E67-3BF8-D88B800B433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81025" y="5495925"/>
          <a:ext cx="17430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26</xdr:row>
      <xdr:rowOff>28575</xdr:rowOff>
    </xdr:from>
    <xdr:to>
      <xdr:col>8</xdr:col>
      <xdr:colOff>57150</xdr:colOff>
      <xdr:row>30</xdr:row>
      <xdr:rowOff>17145</xdr:rowOff>
    </xdr:to>
    <xdr:pic>
      <xdr:nvPicPr>
        <xdr:cNvPr id="947241" name="Obrázek 10">
          <a:extLst>
            <a:ext uri="{FF2B5EF4-FFF2-40B4-BE49-F238E27FC236}">
              <a16:creationId xmlns:a16="http://schemas.microsoft.com/office/drawing/2014/main" id="{8021F515-6F62-1AB0-AAB0-8AB1A151580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86075" y="5505450"/>
          <a:ext cx="17430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388620</xdr:colOff>
      <xdr:row>0</xdr:row>
      <xdr:rowOff>175260</xdr:rowOff>
    </xdr:from>
    <xdr:to>
      <xdr:col>5</xdr:col>
      <xdr:colOff>18540</xdr:colOff>
      <xdr:row>3</xdr:row>
      <xdr:rowOff>15240</xdr:rowOff>
    </xdr:to>
    <xdr:pic>
      <xdr:nvPicPr>
        <xdr:cNvPr id="3" name="Obrázek 2">
          <a:extLst>
            <a:ext uri="{FF2B5EF4-FFF2-40B4-BE49-F238E27FC236}">
              <a16:creationId xmlns:a16="http://schemas.microsoft.com/office/drawing/2014/main" id="{6B84E7FF-531C-4C4C-B991-CF6149ECD1F1}"/>
            </a:ext>
          </a:extLst>
        </xdr:cNvPr>
        <xdr:cNvPicPr>
          <a:picLocks noChangeAspect="1"/>
        </xdr:cNvPicPr>
      </xdr:nvPicPr>
      <xdr:blipFill>
        <a:blip xmlns:r="http://schemas.openxmlformats.org/officeDocument/2006/relationships" r:embed="rId14"/>
        <a:stretch>
          <a:fillRect/>
        </a:stretch>
      </xdr:blipFill>
      <xdr:spPr>
        <a:xfrm>
          <a:off x="388620" y="175260"/>
          <a:ext cx="2578860" cy="541020"/>
        </a:xfrm>
        <a:prstGeom prst="rect">
          <a:avLst/>
        </a:prstGeom>
      </xdr:spPr>
    </xdr:pic>
    <xdr:clientData/>
  </xdr:twoCellAnchor>
  <xdr:twoCellAnchor editAs="oneCell">
    <xdr:from>
      <xdr:col>0</xdr:col>
      <xdr:colOff>486252</xdr:colOff>
      <xdr:row>72</xdr:row>
      <xdr:rowOff>69533</xdr:rowOff>
    </xdr:from>
    <xdr:to>
      <xdr:col>4</xdr:col>
      <xdr:colOff>513260</xdr:colOff>
      <xdr:row>89</xdr:row>
      <xdr:rowOff>133307</xdr:rowOff>
    </xdr:to>
    <xdr:pic>
      <xdr:nvPicPr>
        <xdr:cNvPr id="7" name="Obrázek 6">
          <a:extLst>
            <a:ext uri="{FF2B5EF4-FFF2-40B4-BE49-F238E27FC236}">
              <a16:creationId xmlns:a16="http://schemas.microsoft.com/office/drawing/2014/main" id="{DC48F3B7-833B-EF58-CFF6-9A09C075B368}"/>
            </a:ext>
          </a:extLst>
        </xdr:cNvPr>
        <xdr:cNvPicPr>
          <a:picLocks noChangeAspect="1"/>
        </xdr:cNvPicPr>
      </xdr:nvPicPr>
      <xdr:blipFill>
        <a:blip xmlns:r="http://schemas.openxmlformats.org/officeDocument/2006/relationships" r:embed="rId15"/>
        <a:stretch>
          <a:fillRect/>
        </a:stretch>
      </xdr:blipFill>
      <xdr:spPr>
        <a:xfrm>
          <a:off x="486252" y="14321314"/>
          <a:ext cx="2419688" cy="3099868"/>
        </a:xfrm>
        <a:prstGeom prst="rect">
          <a:avLst/>
        </a:prstGeom>
      </xdr:spPr>
    </xdr:pic>
    <xdr:clientData/>
  </xdr:twoCellAnchor>
  <xdr:twoCellAnchor editAs="oneCell">
    <xdr:from>
      <xdr:col>20</xdr:col>
      <xdr:colOff>408731</xdr:colOff>
      <xdr:row>71</xdr:row>
      <xdr:rowOff>24290</xdr:rowOff>
    </xdr:from>
    <xdr:to>
      <xdr:col>31</xdr:col>
      <xdr:colOff>512618</xdr:colOff>
      <xdr:row>101</xdr:row>
      <xdr:rowOff>142790</xdr:rowOff>
    </xdr:to>
    <xdr:pic>
      <xdr:nvPicPr>
        <xdr:cNvPr id="2" name="Obrázek 1">
          <a:extLst>
            <a:ext uri="{FF2B5EF4-FFF2-40B4-BE49-F238E27FC236}">
              <a16:creationId xmlns:a16="http://schemas.microsoft.com/office/drawing/2014/main" id="{45FD4570-6E4A-435C-9E01-4C8DE85DE503}"/>
            </a:ext>
          </a:extLst>
        </xdr:cNvPr>
        <xdr:cNvPicPr>
          <a:picLocks noChangeAspect="1"/>
        </xdr:cNvPicPr>
      </xdr:nvPicPr>
      <xdr:blipFill>
        <a:blip xmlns:r="http://schemas.openxmlformats.org/officeDocument/2006/relationships" r:embed="rId16"/>
        <a:stretch>
          <a:fillRect/>
        </a:stretch>
      </xdr:blipFill>
      <xdr:spPr>
        <a:xfrm>
          <a:off x="12046549" y="14155926"/>
          <a:ext cx="6629378" cy="5632609"/>
        </a:xfrm>
        <a:prstGeom prst="rect">
          <a:avLst/>
        </a:prstGeom>
      </xdr:spPr>
    </xdr:pic>
    <xdr:clientData/>
  </xdr:twoCellAnchor>
  <xdr:twoCellAnchor editAs="oneCell">
    <xdr:from>
      <xdr:col>20</xdr:col>
      <xdr:colOff>341538</xdr:colOff>
      <xdr:row>8</xdr:row>
      <xdr:rowOff>140835</xdr:rowOff>
    </xdr:from>
    <xdr:to>
      <xdr:col>32</xdr:col>
      <xdr:colOff>0</xdr:colOff>
      <xdr:row>50</xdr:row>
      <xdr:rowOff>145287</xdr:rowOff>
    </xdr:to>
    <xdr:pic>
      <xdr:nvPicPr>
        <xdr:cNvPr id="8" name="Obrázek 7">
          <a:extLst>
            <a:ext uri="{FF2B5EF4-FFF2-40B4-BE49-F238E27FC236}">
              <a16:creationId xmlns:a16="http://schemas.microsoft.com/office/drawing/2014/main" id="{1C8B0EFB-C268-440B-DA00-12D95C974F8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1771538" y="1855335"/>
          <a:ext cx="6706962" cy="8910327"/>
        </a:xfrm>
        <a:prstGeom prst="rect">
          <a:avLst/>
        </a:prstGeom>
      </xdr:spPr>
    </xdr:pic>
    <xdr:clientData/>
  </xdr:twoCellAnchor>
  <xdr:twoCellAnchor editAs="oneCell">
    <xdr:from>
      <xdr:col>9</xdr:col>
      <xdr:colOff>88901</xdr:colOff>
      <xdr:row>25</xdr:row>
      <xdr:rowOff>173578</xdr:rowOff>
    </xdr:from>
    <xdr:to>
      <xdr:col>11</xdr:col>
      <xdr:colOff>457200</xdr:colOff>
      <xdr:row>30</xdr:row>
      <xdr:rowOff>238072</xdr:rowOff>
    </xdr:to>
    <xdr:pic>
      <xdr:nvPicPr>
        <xdr:cNvPr id="5" name="Obrázek 4">
          <a:extLst>
            <a:ext uri="{FF2B5EF4-FFF2-40B4-BE49-F238E27FC236}">
              <a16:creationId xmlns:a16="http://schemas.microsoft.com/office/drawing/2014/main" id="{DE406354-2FB2-D063-03E2-BAB12A7ECD2B}"/>
            </a:ext>
          </a:extLst>
        </xdr:cNvPr>
        <xdr:cNvPicPr>
          <a:picLocks noChangeAspect="1"/>
        </xdr:cNvPicPr>
      </xdr:nvPicPr>
      <xdr:blipFill>
        <a:blip xmlns:r="http://schemas.openxmlformats.org/officeDocument/2006/relationships" r:embed="rId18"/>
        <a:stretch>
          <a:fillRect/>
        </a:stretch>
      </xdr:blipFill>
      <xdr:spPr>
        <a:xfrm>
          <a:off x="5346701" y="5190078"/>
          <a:ext cx="1536699" cy="1397994"/>
        </a:xfrm>
        <a:prstGeom prst="rect">
          <a:avLst/>
        </a:prstGeom>
      </xdr:spPr>
    </xdr:pic>
    <xdr:clientData/>
  </xdr:twoCellAnchor>
  <xdr:twoCellAnchor editAs="oneCell">
    <xdr:from>
      <xdr:col>28</xdr:col>
      <xdr:colOff>468538</xdr:colOff>
      <xdr:row>43</xdr:row>
      <xdr:rowOff>39701</xdr:rowOff>
    </xdr:from>
    <xdr:to>
      <xdr:col>30</xdr:col>
      <xdr:colOff>482600</xdr:colOff>
      <xdr:row>50</xdr:row>
      <xdr:rowOff>122074</xdr:rowOff>
    </xdr:to>
    <xdr:pic>
      <xdr:nvPicPr>
        <xdr:cNvPr id="9" name="Obrázek 8">
          <a:extLst>
            <a:ext uri="{FF2B5EF4-FFF2-40B4-BE49-F238E27FC236}">
              <a16:creationId xmlns:a16="http://schemas.microsoft.com/office/drawing/2014/main" id="{405F3BB1-A8E9-30DA-C127-AA5D9A93F05A}"/>
            </a:ext>
          </a:extLst>
        </xdr:cNvPr>
        <xdr:cNvPicPr>
          <a:picLocks noChangeAspect="1"/>
        </xdr:cNvPicPr>
      </xdr:nvPicPr>
      <xdr:blipFill>
        <a:blip xmlns:r="http://schemas.openxmlformats.org/officeDocument/2006/relationships" r:embed="rId19"/>
        <a:stretch>
          <a:fillRect/>
        </a:stretch>
      </xdr:blipFill>
      <xdr:spPr>
        <a:xfrm>
          <a:off x="16826138" y="9044001"/>
          <a:ext cx="1258662" cy="1326973"/>
        </a:xfrm>
        <a:prstGeom prst="rect">
          <a:avLst/>
        </a:prstGeom>
      </xdr:spPr>
    </xdr:pic>
    <xdr:clientData/>
  </xdr:twoCellAnchor>
  <xdr:twoCellAnchor editAs="oneCell">
    <xdr:from>
      <xdr:col>28</xdr:col>
      <xdr:colOff>252638</xdr:colOff>
      <xdr:row>40</xdr:row>
      <xdr:rowOff>77336</xdr:rowOff>
    </xdr:from>
    <xdr:to>
      <xdr:col>30</xdr:col>
      <xdr:colOff>482600</xdr:colOff>
      <xdr:row>42</xdr:row>
      <xdr:rowOff>51490</xdr:rowOff>
    </xdr:to>
    <xdr:pic>
      <xdr:nvPicPr>
        <xdr:cNvPr id="10" name="Obrázek 9">
          <a:extLst>
            <a:ext uri="{FF2B5EF4-FFF2-40B4-BE49-F238E27FC236}">
              <a16:creationId xmlns:a16="http://schemas.microsoft.com/office/drawing/2014/main" id="{03518319-C39B-FA32-DE9E-F2AC104333D1}"/>
            </a:ext>
          </a:extLst>
        </xdr:cNvPr>
        <xdr:cNvPicPr>
          <a:picLocks noChangeAspect="1"/>
        </xdr:cNvPicPr>
      </xdr:nvPicPr>
      <xdr:blipFill>
        <a:blip xmlns:r="http://schemas.openxmlformats.org/officeDocument/2006/relationships" r:embed="rId20"/>
        <a:stretch>
          <a:fillRect/>
        </a:stretch>
      </xdr:blipFill>
      <xdr:spPr>
        <a:xfrm>
          <a:off x="16610238" y="8548236"/>
          <a:ext cx="1474562" cy="329754"/>
        </a:xfrm>
        <a:prstGeom prst="rect">
          <a:avLst/>
        </a:prstGeom>
      </xdr:spPr>
    </xdr:pic>
    <xdr:clientData/>
  </xdr:twoCellAnchor>
  <xdr:twoCellAnchor editAs="oneCell">
    <xdr:from>
      <xdr:col>12</xdr:col>
      <xdr:colOff>512618</xdr:colOff>
      <xdr:row>26</xdr:row>
      <xdr:rowOff>96982</xdr:rowOff>
    </xdr:from>
    <xdr:to>
      <xdr:col>15</xdr:col>
      <xdr:colOff>134945</xdr:colOff>
      <xdr:row>31</xdr:row>
      <xdr:rowOff>148800</xdr:rowOff>
    </xdr:to>
    <xdr:pic>
      <xdr:nvPicPr>
        <xdr:cNvPr id="4" name="Obrázek 3">
          <a:extLst>
            <a:ext uri="{FF2B5EF4-FFF2-40B4-BE49-F238E27FC236}">
              <a16:creationId xmlns:a16="http://schemas.microsoft.com/office/drawing/2014/main" id="{19781C54-2323-15A9-4745-1933C931100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495309" y="5417127"/>
          <a:ext cx="1368000" cy="136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568038</xdr:colOff>
      <xdr:row>54</xdr:row>
      <xdr:rowOff>13855</xdr:rowOff>
    </xdr:from>
    <xdr:to>
      <xdr:col>24</xdr:col>
      <xdr:colOff>8467</xdr:colOff>
      <xdr:row>62</xdr:row>
      <xdr:rowOff>20907</xdr:rowOff>
    </xdr:to>
    <xdr:pic>
      <xdr:nvPicPr>
        <xdr:cNvPr id="6" name="Obrázek 5">
          <a:extLst>
            <a:ext uri="{FF2B5EF4-FFF2-40B4-BE49-F238E27FC236}">
              <a16:creationId xmlns:a16="http://schemas.microsoft.com/office/drawing/2014/main" id="{52F73AF3-57EA-177D-1DE3-282999B9B4A9}"/>
            </a:ext>
          </a:extLst>
        </xdr:cNvPr>
        <xdr:cNvPicPr>
          <a:picLocks noChangeAspect="1"/>
        </xdr:cNvPicPr>
      </xdr:nvPicPr>
      <xdr:blipFill>
        <a:blip xmlns:r="http://schemas.openxmlformats.org/officeDocument/2006/relationships" r:embed="rId22"/>
        <a:stretch>
          <a:fillRect/>
        </a:stretch>
      </xdr:blipFill>
      <xdr:spPr>
        <a:xfrm>
          <a:off x="12205856" y="11083637"/>
          <a:ext cx="1767993" cy="14479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937906" name="Obrázek 41">
              <a:extLst>
                <a:ext uri="{FF2B5EF4-FFF2-40B4-BE49-F238E27FC236}">
                  <a16:creationId xmlns:a16="http://schemas.microsoft.com/office/drawing/2014/main" id="{C879BDF9-A3F1-ED29-0669-492976D94079}"/>
                </a:ext>
              </a:extLst>
            </xdr:cNvPr>
            <xdr:cNvPicPr>
              <a:picLocks noChangeAspect="1" noChangeArrowheads="1"/>
              <a:extLst>
                <a:ext uri="{84589F7E-364E-4C9E-8A38-B11213B215E9}">
                  <a14:cameraTool cellRange="Ram_1!$B$7:$Q$33" spid="_x0000_s2728339"/>
                </a:ext>
              </a:extLst>
            </xdr:cNvPicPr>
          </xdr:nvPicPr>
          <xdr:blipFill>
            <a:blip xmlns:r="http://schemas.openxmlformats.org/officeDocument/2006/relationships" r:embed="rId1"/>
            <a:srcRect/>
            <a:stretch>
              <a:fillRect/>
            </a:stretch>
          </xdr:blipFill>
          <xdr:spPr bwMode="auto">
            <a:xfrm>
              <a:off x="2924175" y="2238375"/>
              <a:ext cx="4457700" cy="43148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937907" name="Obrázek 47">
              <a:extLst>
                <a:ext uri="{FF2B5EF4-FFF2-40B4-BE49-F238E27FC236}">
                  <a16:creationId xmlns:a16="http://schemas.microsoft.com/office/drawing/2014/main" id="{8333770D-FAB8-5F42-4EC6-AC820DE8D563}"/>
                </a:ext>
              </a:extLst>
            </xdr:cNvPr>
            <xdr:cNvPicPr>
              <a:picLocks noChangeAspect="1" noChangeArrowheads="1"/>
              <a:extLst>
                <a:ext uri="{84589F7E-364E-4C9E-8A38-B11213B215E9}">
                  <a14:cameraTool cellRange="Ram_1!$AA$6:$AR$30" spid="_x0000_s2728340"/>
                </a:ext>
              </a:extLst>
            </xdr:cNvPicPr>
          </xdr:nvPicPr>
          <xdr:blipFill>
            <a:blip xmlns:r="http://schemas.openxmlformats.org/officeDocument/2006/relationships" r:embed="rId2"/>
            <a:srcRect/>
            <a:stretch>
              <a:fillRect/>
            </a:stretch>
          </xdr:blipFill>
          <xdr:spPr bwMode="auto">
            <a:xfrm>
              <a:off x="7620000" y="2238375"/>
              <a:ext cx="4581525" cy="43053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937908" name="Obrázek 14">
              <a:extLst>
                <a:ext uri="{FF2B5EF4-FFF2-40B4-BE49-F238E27FC236}">
                  <a16:creationId xmlns:a16="http://schemas.microsoft.com/office/drawing/2014/main" id="{47BA632F-920C-08FE-511B-0CD9CE379093}"/>
                </a:ext>
              </a:extLst>
            </xdr:cNvPr>
            <xdr:cNvPicPr>
              <a:picLocks noChangeAspect="1" noChangeArrowheads="1"/>
              <a:extLst>
                <a:ext uri="{84589F7E-364E-4C9E-8A38-B11213B215E9}">
                  <a14:cameraTool cellRange="Ram_1!$S$24:$Y$32" spid="_x0000_s2728341"/>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937909" name="Obrázek 30">
              <a:extLst>
                <a:ext uri="{FF2B5EF4-FFF2-40B4-BE49-F238E27FC236}">
                  <a16:creationId xmlns:a16="http://schemas.microsoft.com/office/drawing/2014/main" id="{55E77925-30B5-0C29-119F-017F3A5CE2A3}"/>
                </a:ext>
              </a:extLst>
            </xdr:cNvPr>
            <xdr:cNvPicPr>
              <a:picLocks noChangeAspect="1" noChangeArrowheads="1"/>
              <a:extLst>
                <a:ext uri="{84589F7E-364E-4C9E-8A38-B11213B215E9}">
                  <a14:cameraTool cellRange="Ram_2!$B$7:$Q$33" spid="_x0000_s2728342"/>
                </a:ext>
              </a:extLst>
            </xdr:cNvPicPr>
          </xdr:nvPicPr>
          <xdr:blipFill>
            <a:blip xmlns:r="http://schemas.openxmlformats.org/officeDocument/2006/relationships" r:embed="rId4"/>
            <a:srcRect/>
            <a:stretch>
              <a:fillRect/>
            </a:stretch>
          </xdr:blipFill>
          <xdr:spPr bwMode="auto">
            <a:xfrm>
              <a:off x="2924175" y="71342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937910" name="Obrázek 31">
              <a:extLst>
                <a:ext uri="{FF2B5EF4-FFF2-40B4-BE49-F238E27FC236}">
                  <a16:creationId xmlns:a16="http://schemas.microsoft.com/office/drawing/2014/main" id="{F85550DE-EF4B-5542-F41F-2E405ADCB63E}"/>
                </a:ext>
              </a:extLst>
            </xdr:cNvPr>
            <xdr:cNvPicPr>
              <a:picLocks noChangeAspect="1" noChangeArrowheads="1"/>
              <a:extLst>
                <a:ext uri="{84589F7E-364E-4C9E-8A38-B11213B215E9}">
                  <a14:cameraTool cellRange="Ram_2!$AA$6:$AR$30" spid="_x0000_s2728343"/>
                </a:ext>
              </a:extLst>
            </xdr:cNvPicPr>
          </xdr:nvPicPr>
          <xdr:blipFill>
            <a:blip xmlns:r="http://schemas.openxmlformats.org/officeDocument/2006/relationships" r:embed="rId5"/>
            <a:srcRect/>
            <a:stretch>
              <a:fillRect/>
            </a:stretch>
          </xdr:blipFill>
          <xdr:spPr bwMode="auto">
            <a:xfrm>
              <a:off x="7620000" y="71342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937911" name="Obrázek 32">
              <a:extLst>
                <a:ext uri="{FF2B5EF4-FFF2-40B4-BE49-F238E27FC236}">
                  <a16:creationId xmlns:a16="http://schemas.microsoft.com/office/drawing/2014/main" id="{0EAF4D3E-66DE-4E03-D3B3-F03C4FC7D874}"/>
                </a:ext>
              </a:extLst>
            </xdr:cNvPr>
            <xdr:cNvPicPr>
              <a:picLocks noChangeArrowheads="1"/>
              <a:extLst>
                <a:ext uri="{84589F7E-364E-4C9E-8A38-B11213B215E9}">
                  <a14:cameraTool cellRange="Ram_2!$S$24:$Y$32" spid="_x0000_s2728344"/>
                </a:ext>
              </a:extLst>
            </xdr:cNvPicPr>
          </xdr:nvPicPr>
          <xdr:blipFill>
            <a:blip xmlns:r="http://schemas.openxmlformats.org/officeDocument/2006/relationships" r:embed="rId6"/>
            <a:srcRect/>
            <a:stretch>
              <a:fillRect/>
            </a:stretch>
          </xdr:blipFill>
          <xdr:spPr bwMode="auto">
            <a:xfrm>
              <a:off x="600075" y="78676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937912" name="Obrázek 33">
              <a:extLst>
                <a:ext uri="{FF2B5EF4-FFF2-40B4-BE49-F238E27FC236}">
                  <a16:creationId xmlns:a16="http://schemas.microsoft.com/office/drawing/2014/main" id="{9E462ACD-9183-7681-52A8-9245471DE7C5}"/>
                </a:ext>
              </a:extLst>
            </xdr:cNvPr>
            <xdr:cNvPicPr>
              <a:picLocks noChangeArrowheads="1"/>
              <a:extLst>
                <a:ext uri="{84589F7E-364E-4C9E-8A38-B11213B215E9}">
                  <a14:cameraTool cellRange="Ram_3!$B$7:$Q$33" spid="_x0000_s2728345"/>
                </a:ext>
              </a:extLst>
            </xdr:cNvPicPr>
          </xdr:nvPicPr>
          <xdr:blipFill>
            <a:blip xmlns:r="http://schemas.openxmlformats.org/officeDocument/2006/relationships" r:embed="rId7"/>
            <a:srcRect/>
            <a:stretch>
              <a:fillRect/>
            </a:stretch>
          </xdr:blipFill>
          <xdr:spPr bwMode="auto">
            <a:xfrm>
              <a:off x="2924175" y="12277725"/>
              <a:ext cx="4457700" cy="4438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53340</xdr:rowOff>
        </xdr:to>
        <xdr:pic>
          <xdr:nvPicPr>
            <xdr:cNvPr id="937913" name="Obrázek 34">
              <a:extLst>
                <a:ext uri="{FF2B5EF4-FFF2-40B4-BE49-F238E27FC236}">
                  <a16:creationId xmlns:a16="http://schemas.microsoft.com/office/drawing/2014/main" id="{DC1E1D02-EDD5-113B-F35E-E08A903CCACA}"/>
                </a:ext>
              </a:extLst>
            </xdr:cNvPr>
            <xdr:cNvPicPr>
              <a:picLocks noChangeArrowheads="1"/>
              <a:extLst>
                <a:ext uri="{84589F7E-364E-4C9E-8A38-B11213B215E9}">
                  <a14:cameraTool cellRange="Ram_3!$AA$6:$AR$30" spid="_x0000_s2728346"/>
                </a:ext>
              </a:extLst>
            </xdr:cNvPicPr>
          </xdr:nvPicPr>
          <xdr:blipFill>
            <a:blip xmlns:r="http://schemas.openxmlformats.org/officeDocument/2006/relationships" r:embed="rId8"/>
            <a:srcRect/>
            <a:stretch>
              <a:fillRect/>
            </a:stretch>
          </xdr:blipFill>
          <xdr:spPr bwMode="auto">
            <a:xfrm>
              <a:off x="7620000" y="12277725"/>
              <a:ext cx="4619625" cy="44291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937914" name="Obrázek 35">
              <a:extLst>
                <a:ext uri="{FF2B5EF4-FFF2-40B4-BE49-F238E27FC236}">
                  <a16:creationId xmlns:a16="http://schemas.microsoft.com/office/drawing/2014/main" id="{968FA851-9660-6552-225E-D82101A07D5F}"/>
                </a:ext>
              </a:extLst>
            </xdr:cNvPr>
            <xdr:cNvPicPr>
              <a:picLocks noChangeArrowheads="1"/>
              <a:extLst>
                <a:ext uri="{84589F7E-364E-4C9E-8A38-B11213B215E9}">
                  <a14:cameraTool cellRange="Ram_3!$S$24:$Y$32" spid="_x0000_s2728347"/>
                </a:ext>
              </a:extLst>
            </xdr:cNvPicPr>
          </xdr:nvPicPr>
          <xdr:blipFill>
            <a:blip xmlns:r="http://schemas.openxmlformats.org/officeDocument/2006/relationships" r:embed="rId6"/>
            <a:srcRect/>
            <a:stretch>
              <a:fillRect/>
            </a:stretch>
          </xdr:blipFill>
          <xdr:spPr bwMode="auto">
            <a:xfrm>
              <a:off x="600075" y="13011150"/>
              <a:ext cx="2152650" cy="2200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937915" name="Obrázek 39">
              <a:extLst>
                <a:ext uri="{FF2B5EF4-FFF2-40B4-BE49-F238E27FC236}">
                  <a16:creationId xmlns:a16="http://schemas.microsoft.com/office/drawing/2014/main" id="{C0A0124D-5E6C-A670-2404-9AA142012F2A}"/>
                </a:ext>
              </a:extLst>
            </xdr:cNvPr>
            <xdr:cNvPicPr>
              <a:picLocks noChangeArrowheads="1"/>
              <a:extLst>
                <a:ext uri="{84589F7E-364E-4C9E-8A38-B11213B215E9}">
                  <a14:cameraTool cellRange="Ram_4!$B$7:$Q$33" spid="_x0000_s2728348"/>
                </a:ext>
              </a:extLst>
            </xdr:cNvPicPr>
          </xdr:nvPicPr>
          <xdr:blipFill>
            <a:blip xmlns:r="http://schemas.openxmlformats.org/officeDocument/2006/relationships" r:embed="rId9"/>
            <a:srcRect/>
            <a:stretch>
              <a:fillRect/>
            </a:stretch>
          </xdr:blipFill>
          <xdr:spPr bwMode="auto">
            <a:xfrm>
              <a:off x="2924175" y="1741170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53340</xdr:rowOff>
        </xdr:to>
        <xdr:pic>
          <xdr:nvPicPr>
            <xdr:cNvPr id="937916" name="Obrázek 40">
              <a:extLst>
                <a:ext uri="{FF2B5EF4-FFF2-40B4-BE49-F238E27FC236}">
                  <a16:creationId xmlns:a16="http://schemas.microsoft.com/office/drawing/2014/main" id="{84703BC2-DBDD-ACDF-9DE2-7993128B2A74}"/>
                </a:ext>
              </a:extLst>
            </xdr:cNvPr>
            <xdr:cNvPicPr>
              <a:picLocks noChangeArrowheads="1"/>
              <a:extLst>
                <a:ext uri="{84589F7E-364E-4C9E-8A38-B11213B215E9}">
                  <a14:cameraTool cellRange="Ram_4!$AA$6:$AR$30" spid="_x0000_s2728349"/>
                </a:ext>
              </a:extLst>
            </xdr:cNvPicPr>
          </xdr:nvPicPr>
          <xdr:blipFill>
            <a:blip xmlns:r="http://schemas.openxmlformats.org/officeDocument/2006/relationships" r:embed="rId10"/>
            <a:srcRect/>
            <a:stretch>
              <a:fillRect/>
            </a:stretch>
          </xdr:blipFill>
          <xdr:spPr bwMode="auto">
            <a:xfrm>
              <a:off x="7620000" y="1741170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937917" name="Obrázek 42">
              <a:extLst>
                <a:ext uri="{FF2B5EF4-FFF2-40B4-BE49-F238E27FC236}">
                  <a16:creationId xmlns:a16="http://schemas.microsoft.com/office/drawing/2014/main" id="{566C27F2-85BB-7E95-3BD0-BF9DB9A6B17E}"/>
                </a:ext>
              </a:extLst>
            </xdr:cNvPr>
            <xdr:cNvPicPr>
              <a:picLocks noChangeArrowheads="1"/>
              <a:extLst>
                <a:ext uri="{84589F7E-364E-4C9E-8A38-B11213B215E9}">
                  <a14:cameraTool cellRange="Ram_4!$S$24:$Y$32" spid="_x0000_s2728350"/>
                </a:ext>
              </a:extLst>
            </xdr:cNvPicPr>
          </xdr:nvPicPr>
          <xdr:blipFill>
            <a:blip xmlns:r="http://schemas.openxmlformats.org/officeDocument/2006/relationships" r:embed="rId6"/>
            <a:srcRect/>
            <a:stretch>
              <a:fillRect/>
            </a:stretch>
          </xdr:blipFill>
          <xdr:spPr bwMode="auto">
            <a:xfrm>
              <a:off x="600075" y="1810702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937918" name="Obrázek 43">
              <a:extLst>
                <a:ext uri="{FF2B5EF4-FFF2-40B4-BE49-F238E27FC236}">
                  <a16:creationId xmlns:a16="http://schemas.microsoft.com/office/drawing/2014/main" id="{20111BD9-1A57-46F3-B0D1-7D9ADD68C0A4}"/>
                </a:ext>
              </a:extLst>
            </xdr:cNvPr>
            <xdr:cNvPicPr>
              <a:picLocks noChangeArrowheads="1"/>
              <a:extLst>
                <a:ext uri="{84589F7E-364E-4C9E-8A38-B11213B215E9}">
                  <a14:cameraTool cellRange="Ram_5!$B$7:$Q$33" spid="_x0000_s2728351"/>
                </a:ext>
              </a:extLst>
            </xdr:cNvPicPr>
          </xdr:nvPicPr>
          <xdr:blipFill>
            <a:blip xmlns:r="http://schemas.openxmlformats.org/officeDocument/2006/relationships" r:embed="rId11"/>
            <a:srcRect/>
            <a:stretch>
              <a:fillRect/>
            </a:stretch>
          </xdr:blipFill>
          <xdr:spPr bwMode="auto">
            <a:xfrm>
              <a:off x="2924175" y="22298025"/>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53340</xdr:rowOff>
        </xdr:to>
        <xdr:pic>
          <xdr:nvPicPr>
            <xdr:cNvPr id="937919" name="Obrázek 44">
              <a:extLst>
                <a:ext uri="{FF2B5EF4-FFF2-40B4-BE49-F238E27FC236}">
                  <a16:creationId xmlns:a16="http://schemas.microsoft.com/office/drawing/2014/main" id="{3A1D0A64-C9AA-756A-9244-5ACD8874567B}"/>
                </a:ext>
              </a:extLst>
            </xdr:cNvPr>
            <xdr:cNvPicPr>
              <a:picLocks noChangeArrowheads="1"/>
              <a:extLst>
                <a:ext uri="{84589F7E-364E-4C9E-8A38-B11213B215E9}">
                  <a14:cameraTool cellRange="Ram_5!$AA$6:$AR$30" spid="_x0000_s2728352"/>
                </a:ext>
              </a:extLst>
            </xdr:cNvPicPr>
          </xdr:nvPicPr>
          <xdr:blipFill>
            <a:blip xmlns:r="http://schemas.openxmlformats.org/officeDocument/2006/relationships" r:embed="rId12"/>
            <a:srcRect/>
            <a:stretch>
              <a:fillRect/>
            </a:stretch>
          </xdr:blipFill>
          <xdr:spPr bwMode="auto">
            <a:xfrm>
              <a:off x="7620000" y="22298025"/>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937920" name="Obrázek 46">
              <a:extLst>
                <a:ext uri="{FF2B5EF4-FFF2-40B4-BE49-F238E27FC236}">
                  <a16:creationId xmlns:a16="http://schemas.microsoft.com/office/drawing/2014/main" id="{4A314CB6-ECAD-D215-BFE4-78CFDDD296B5}"/>
                </a:ext>
              </a:extLst>
            </xdr:cNvPr>
            <xdr:cNvPicPr>
              <a:picLocks noChangeArrowheads="1"/>
              <a:extLst>
                <a:ext uri="{84589F7E-364E-4C9E-8A38-B11213B215E9}">
                  <a14:cameraTool cellRange="Ram_5!$S$24:$Y$32" spid="_x0000_s2728353"/>
                </a:ext>
              </a:extLst>
            </xdr:cNvPicPr>
          </xdr:nvPicPr>
          <xdr:blipFill>
            <a:blip xmlns:r="http://schemas.openxmlformats.org/officeDocument/2006/relationships" r:embed="rId6"/>
            <a:srcRect/>
            <a:stretch>
              <a:fillRect/>
            </a:stretch>
          </xdr:blipFill>
          <xdr:spPr bwMode="auto">
            <a:xfrm>
              <a:off x="600075" y="22993350"/>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937921" name="Obrázek 52">
              <a:extLst>
                <a:ext uri="{FF2B5EF4-FFF2-40B4-BE49-F238E27FC236}">
                  <a16:creationId xmlns:a16="http://schemas.microsoft.com/office/drawing/2014/main" id="{74372574-58A3-E04E-4F16-F53511120E53}"/>
                </a:ext>
              </a:extLst>
            </xdr:cNvPr>
            <xdr:cNvPicPr>
              <a:picLocks noChangeArrowheads="1"/>
              <a:extLst>
                <a:ext uri="{84589F7E-364E-4C9E-8A38-B11213B215E9}">
                  <a14:cameraTool cellRange="Ram_6!$B$7:$Q$33" spid="_x0000_s2728354"/>
                </a:ext>
              </a:extLst>
            </xdr:cNvPicPr>
          </xdr:nvPicPr>
          <xdr:blipFill>
            <a:blip xmlns:r="http://schemas.openxmlformats.org/officeDocument/2006/relationships" r:embed="rId13"/>
            <a:srcRect/>
            <a:stretch>
              <a:fillRect/>
            </a:stretch>
          </xdr:blipFill>
          <xdr:spPr bwMode="auto">
            <a:xfrm>
              <a:off x="2924175" y="27184350"/>
              <a:ext cx="4457700" cy="42195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53340</xdr:rowOff>
        </xdr:to>
        <xdr:pic>
          <xdr:nvPicPr>
            <xdr:cNvPr id="937922" name="Obrázek 58">
              <a:extLst>
                <a:ext uri="{FF2B5EF4-FFF2-40B4-BE49-F238E27FC236}">
                  <a16:creationId xmlns:a16="http://schemas.microsoft.com/office/drawing/2014/main" id="{860E6F57-EF40-641A-3217-4C9BAF0F1BFD}"/>
                </a:ext>
              </a:extLst>
            </xdr:cNvPr>
            <xdr:cNvPicPr>
              <a:picLocks noChangeArrowheads="1"/>
              <a:extLst>
                <a:ext uri="{84589F7E-364E-4C9E-8A38-B11213B215E9}">
                  <a14:cameraTool cellRange="Ram_6!$AA$6:$AR$30" spid="_x0000_s2728355"/>
                </a:ext>
              </a:extLst>
            </xdr:cNvPicPr>
          </xdr:nvPicPr>
          <xdr:blipFill>
            <a:blip xmlns:r="http://schemas.openxmlformats.org/officeDocument/2006/relationships" r:embed="rId14"/>
            <a:srcRect/>
            <a:stretch>
              <a:fillRect/>
            </a:stretch>
          </xdr:blipFill>
          <xdr:spPr bwMode="auto">
            <a:xfrm>
              <a:off x="7620000" y="27184350"/>
              <a:ext cx="4619625" cy="42100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937923" name="Obrázek 59">
              <a:extLst>
                <a:ext uri="{FF2B5EF4-FFF2-40B4-BE49-F238E27FC236}">
                  <a16:creationId xmlns:a16="http://schemas.microsoft.com/office/drawing/2014/main" id="{DF34685C-AD0B-ED88-54C7-3DC055EA0D03}"/>
                </a:ext>
              </a:extLst>
            </xdr:cNvPr>
            <xdr:cNvPicPr>
              <a:picLocks noChangeArrowheads="1"/>
              <a:extLst>
                <a:ext uri="{84589F7E-364E-4C9E-8A38-B11213B215E9}">
                  <a14:cameraTool cellRange="Ram_6!$S$24:$Y$32" spid="_x0000_s2728356"/>
                </a:ext>
              </a:extLst>
            </xdr:cNvPicPr>
          </xdr:nvPicPr>
          <xdr:blipFill>
            <a:blip xmlns:r="http://schemas.openxmlformats.org/officeDocument/2006/relationships" r:embed="rId6"/>
            <a:srcRect/>
            <a:stretch>
              <a:fillRect/>
            </a:stretch>
          </xdr:blipFill>
          <xdr:spPr bwMode="auto">
            <a:xfrm>
              <a:off x="600075" y="27879675"/>
              <a:ext cx="2152650" cy="20859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1035493" name="Obrázek 41">
              <a:extLst>
                <a:ext uri="{FF2B5EF4-FFF2-40B4-BE49-F238E27FC236}">
                  <a16:creationId xmlns:a16="http://schemas.microsoft.com/office/drawing/2014/main" id="{9920250D-B659-CAF5-DF1E-56E89042D1B1}"/>
                </a:ext>
              </a:extLst>
            </xdr:cNvPr>
            <xdr:cNvPicPr>
              <a:picLocks noChangeAspect="1" noChangeArrowheads="1"/>
              <a:extLst>
                <a:ext uri="{84589F7E-364E-4C9E-8A38-B11213B215E9}">
                  <a14:cameraTool cellRange="Ram_1!$B$7:$Q$33" spid="_x0000_s2728357"/>
                </a:ext>
              </a:extLst>
            </xdr:cNvPicPr>
          </xdr:nvPicPr>
          <xdr:blipFill>
            <a:blip xmlns:r="http://schemas.openxmlformats.org/officeDocument/2006/relationships" r:embed="rId15"/>
            <a:srcRect/>
            <a:stretch>
              <a:fillRect/>
            </a:stretch>
          </xdr:blipFill>
          <xdr:spPr bwMode="auto">
            <a:xfrm>
              <a:off x="2924175" y="22383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245745</xdr:colOff>
          <xdr:row>11</xdr:row>
          <xdr:rowOff>160020</xdr:rowOff>
        </xdr:from>
        <xdr:to>
          <xdr:col>40</xdr:col>
          <xdr:colOff>287655</xdr:colOff>
          <xdr:row>35</xdr:row>
          <xdr:rowOff>129540</xdr:rowOff>
        </xdr:to>
        <xdr:pic>
          <xdr:nvPicPr>
            <xdr:cNvPr id="1035494" name="Obrázek 47">
              <a:extLst>
                <a:ext uri="{FF2B5EF4-FFF2-40B4-BE49-F238E27FC236}">
                  <a16:creationId xmlns:a16="http://schemas.microsoft.com/office/drawing/2014/main" id="{9054EE54-DAFE-EBC0-058A-7CB944852F9C}"/>
                </a:ext>
              </a:extLst>
            </xdr:cNvPr>
            <xdr:cNvPicPr>
              <a:picLocks noChangeAspect="1" noChangeArrowheads="1"/>
              <a:extLst>
                <a:ext uri="{84589F7E-364E-4C9E-8A38-B11213B215E9}">
                  <a14:cameraTool cellRange="Ram_1!$AA$6:$AR$30" spid="_x0000_s2728358"/>
                </a:ext>
              </a:extLst>
            </xdr:cNvPicPr>
          </xdr:nvPicPr>
          <xdr:blipFill>
            <a:blip xmlns:r="http://schemas.openxmlformats.org/officeDocument/2006/relationships" r:embed="rId16"/>
            <a:srcRect/>
            <a:stretch>
              <a:fillRect/>
            </a:stretch>
          </xdr:blipFill>
          <xdr:spPr bwMode="auto">
            <a:xfrm>
              <a:off x="8162925" y="2186940"/>
              <a:ext cx="4726305" cy="434911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1035495" name="Obrázek 14">
              <a:extLst>
                <a:ext uri="{FF2B5EF4-FFF2-40B4-BE49-F238E27FC236}">
                  <a16:creationId xmlns:a16="http://schemas.microsoft.com/office/drawing/2014/main" id="{F661D120-8CC5-16DD-659B-9F94FBAE7628}"/>
                </a:ext>
              </a:extLst>
            </xdr:cNvPr>
            <xdr:cNvPicPr>
              <a:picLocks noChangeAspect="1" noChangeArrowheads="1"/>
              <a:extLst>
                <a:ext uri="{84589F7E-364E-4C9E-8A38-B11213B215E9}">
                  <a14:cameraTool cellRange="Ram_1!$S$24:$Y$32" spid="_x0000_s2728359"/>
                </a:ext>
              </a:extLst>
            </xdr:cNvPicPr>
          </xdr:nvPicPr>
          <xdr:blipFill>
            <a:blip xmlns:r="http://schemas.openxmlformats.org/officeDocument/2006/relationships" r:embed="rId3"/>
            <a:srcRect/>
            <a:stretch>
              <a:fillRect/>
            </a:stretch>
          </xdr:blipFill>
          <xdr:spPr bwMode="auto">
            <a:xfrm>
              <a:off x="600075" y="29337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1035496" name="Obrázek 30">
              <a:extLst>
                <a:ext uri="{FF2B5EF4-FFF2-40B4-BE49-F238E27FC236}">
                  <a16:creationId xmlns:a16="http://schemas.microsoft.com/office/drawing/2014/main" id="{C8F44051-C0E1-3F21-693E-67D3DF5B81A2}"/>
                </a:ext>
              </a:extLst>
            </xdr:cNvPr>
            <xdr:cNvPicPr>
              <a:picLocks noChangeAspect="1" noChangeArrowheads="1"/>
              <a:extLst>
                <a:ext uri="{84589F7E-364E-4C9E-8A38-B11213B215E9}">
                  <a14:cameraTool cellRange="Ram_2!$B$7:$Q$33" spid="_x0000_s2728360"/>
                </a:ext>
              </a:extLst>
            </xdr:cNvPicPr>
          </xdr:nvPicPr>
          <xdr:blipFill>
            <a:blip xmlns:r="http://schemas.openxmlformats.org/officeDocument/2006/relationships" r:embed="rId17"/>
            <a:srcRect/>
            <a:stretch>
              <a:fillRect/>
            </a:stretch>
          </xdr:blipFill>
          <xdr:spPr bwMode="auto">
            <a:xfrm>
              <a:off x="2924175" y="71342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53340</xdr:rowOff>
        </xdr:to>
        <xdr:pic>
          <xdr:nvPicPr>
            <xdr:cNvPr id="1035497" name="Obrázek 31">
              <a:extLst>
                <a:ext uri="{FF2B5EF4-FFF2-40B4-BE49-F238E27FC236}">
                  <a16:creationId xmlns:a16="http://schemas.microsoft.com/office/drawing/2014/main" id="{39B24402-4BFC-D16E-B872-ABE4DC209B52}"/>
                </a:ext>
              </a:extLst>
            </xdr:cNvPr>
            <xdr:cNvPicPr>
              <a:picLocks noChangeAspect="1" noChangeArrowheads="1"/>
              <a:extLst>
                <a:ext uri="{84589F7E-364E-4C9E-8A38-B11213B215E9}">
                  <a14:cameraTool cellRange="Ram_2!$AA$6:$AR$30" spid="_x0000_s2728361"/>
                </a:ext>
              </a:extLst>
            </xdr:cNvPicPr>
          </xdr:nvPicPr>
          <xdr:blipFill>
            <a:blip xmlns:r="http://schemas.openxmlformats.org/officeDocument/2006/relationships" r:embed="rId18"/>
            <a:srcRect/>
            <a:stretch>
              <a:fillRect/>
            </a:stretch>
          </xdr:blipFill>
          <xdr:spPr bwMode="auto">
            <a:xfrm>
              <a:off x="7620000" y="7134225"/>
              <a:ext cx="4619625" cy="442912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43815</xdr:colOff>
      <xdr:row>0</xdr:row>
      <xdr:rowOff>139065</xdr:rowOff>
    </xdr:from>
    <xdr:to>
      <xdr:col>8</xdr:col>
      <xdr:colOff>87819</xdr:colOff>
      <xdr:row>3</xdr:row>
      <xdr:rowOff>47665</xdr:rowOff>
    </xdr:to>
    <xdr:pic>
      <xdr:nvPicPr>
        <xdr:cNvPr id="3" name="Obrázek 2">
          <a:extLst>
            <a:ext uri="{FF2B5EF4-FFF2-40B4-BE49-F238E27FC236}">
              <a16:creationId xmlns:a16="http://schemas.microsoft.com/office/drawing/2014/main" id="{7A95043E-C63A-9BAD-A3C0-3E74AF6B89CD}"/>
            </a:ext>
          </a:extLst>
        </xdr:cNvPr>
        <xdr:cNvPicPr>
          <a:picLocks noChangeAspect="1"/>
        </xdr:cNvPicPr>
      </xdr:nvPicPr>
      <xdr:blipFill>
        <a:blip xmlns:r="http://schemas.openxmlformats.org/officeDocument/2006/relationships" r:embed="rId19"/>
        <a:stretch>
          <a:fillRect/>
        </a:stretch>
      </xdr:blipFill>
      <xdr:spPr>
        <a:xfrm>
          <a:off x="348615" y="139065"/>
          <a:ext cx="2177604" cy="4515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70" name="Obrázek 41">
              <a:extLst>
                <a:ext uri="{FF2B5EF4-FFF2-40B4-BE49-F238E27FC236}">
                  <a16:creationId xmlns:a16="http://schemas.microsoft.com/office/drawing/2014/main" id="{24FA8C11-205F-721B-E329-FC2E17D5AC1C}"/>
                </a:ext>
              </a:extLst>
            </xdr:cNvPr>
            <xdr:cNvPicPr>
              <a:picLocks noChangeAspect="1" noChangeArrowheads="1"/>
              <a:extLst>
                <a:ext uri="{84589F7E-364E-4C9E-8A38-B11213B215E9}">
                  <a14:cameraTool cellRange="Ram_1!$B$7:$Q$33" spid="_x0000_s2728362"/>
                </a:ext>
              </a:extLst>
            </xdr:cNvPicPr>
          </xdr:nvPicPr>
          <xdr:blipFill>
            <a:blip xmlns:r="http://schemas.openxmlformats.org/officeDocument/2006/relationships" r:embed="rId20"/>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xdr:row>
          <xdr:rowOff>0</xdr:rowOff>
        </xdr:from>
        <xdr:to>
          <xdr:col>40</xdr:col>
          <xdr:colOff>285750</xdr:colOff>
          <xdr:row>35</xdr:row>
          <xdr:rowOff>131445</xdr:rowOff>
        </xdr:to>
        <xdr:pic>
          <xdr:nvPicPr>
            <xdr:cNvPr id="2305471" name="Obrázek 47">
              <a:extLst>
                <a:ext uri="{FF2B5EF4-FFF2-40B4-BE49-F238E27FC236}">
                  <a16:creationId xmlns:a16="http://schemas.microsoft.com/office/drawing/2014/main" id="{9AECAAB7-CC07-179D-CEFB-F0630B99FBB3}"/>
                </a:ext>
              </a:extLst>
            </xdr:cNvPr>
            <xdr:cNvPicPr>
              <a:picLocks noChangeAspect="1" noChangeArrowheads="1"/>
              <a:extLst>
                <a:ext uri="{84589F7E-364E-4C9E-8A38-B11213B215E9}">
                  <a14:cameraTool cellRange="Ram_1!$AA$6:$AR$30" spid="_x0000_s2728363"/>
                </a:ext>
              </a:extLst>
            </xdr:cNvPicPr>
          </xdr:nvPicPr>
          <xdr:blipFill>
            <a:blip xmlns:r="http://schemas.openxmlformats.org/officeDocument/2006/relationships" r:embed="rId21"/>
            <a:srcRect/>
            <a:stretch>
              <a:fillRect/>
            </a:stretch>
          </xdr:blipFill>
          <xdr:spPr bwMode="auto">
            <a:xfrm>
              <a:off x="7924800" y="2200275"/>
              <a:ext cx="4581525"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72" name="Obrázek 14">
              <a:extLst>
                <a:ext uri="{FF2B5EF4-FFF2-40B4-BE49-F238E27FC236}">
                  <a16:creationId xmlns:a16="http://schemas.microsoft.com/office/drawing/2014/main" id="{A8D8A257-02CD-0488-E146-0B283AB8257E}"/>
                </a:ext>
              </a:extLst>
            </xdr:cNvPr>
            <xdr:cNvPicPr>
              <a:picLocks noChangeAspect="1" noChangeArrowheads="1"/>
              <a:extLst>
                <a:ext uri="{84589F7E-364E-4C9E-8A38-B11213B215E9}">
                  <a14:cameraTool cellRange="Ram_1!$S$24:$Y$32" spid="_x0000_s2728364"/>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73" name="Obrázek 30">
              <a:extLst>
                <a:ext uri="{FF2B5EF4-FFF2-40B4-BE49-F238E27FC236}">
                  <a16:creationId xmlns:a16="http://schemas.microsoft.com/office/drawing/2014/main" id="{2B60BE1D-8032-8D16-FF89-6A929B53910E}"/>
                </a:ext>
              </a:extLst>
            </xdr:cNvPr>
            <xdr:cNvPicPr>
              <a:picLocks noChangeAspect="1" noChangeArrowheads="1"/>
              <a:extLst>
                <a:ext uri="{84589F7E-364E-4C9E-8A38-B11213B215E9}">
                  <a14:cameraTool cellRange="Ram_2!$B$7:$Q$33" spid="_x0000_s2728365"/>
                </a:ext>
              </a:extLst>
            </xdr:cNvPicPr>
          </xdr:nvPicPr>
          <xdr:blipFill>
            <a:blip xmlns:r="http://schemas.openxmlformats.org/officeDocument/2006/relationships" r:embed="rId22"/>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74" name="Obrázek 31">
              <a:extLst>
                <a:ext uri="{FF2B5EF4-FFF2-40B4-BE49-F238E27FC236}">
                  <a16:creationId xmlns:a16="http://schemas.microsoft.com/office/drawing/2014/main" id="{E25508AB-EEF9-D1F2-2C0E-22611448B013}"/>
                </a:ext>
              </a:extLst>
            </xdr:cNvPr>
            <xdr:cNvPicPr>
              <a:picLocks noChangeAspect="1" noChangeArrowheads="1"/>
              <a:extLst>
                <a:ext uri="{84589F7E-364E-4C9E-8A38-B11213B215E9}">
                  <a14:cameraTool cellRange="Ram_2!$AA$6:$AR$30" spid="_x0000_s2728366"/>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161925</xdr:rowOff>
        </xdr:from>
        <xdr:to>
          <xdr:col>9</xdr:col>
          <xdr:colOff>95250</xdr:colOff>
          <xdr:row>54</xdr:row>
          <xdr:rowOff>76200</xdr:rowOff>
        </xdr:to>
        <xdr:pic>
          <xdr:nvPicPr>
            <xdr:cNvPr id="2305475" name="Obrázek 32">
              <a:extLst>
                <a:ext uri="{FF2B5EF4-FFF2-40B4-BE49-F238E27FC236}">
                  <a16:creationId xmlns:a16="http://schemas.microsoft.com/office/drawing/2014/main" id="{F8C9684E-CAD9-DD3C-7A29-B6D5B36EFF02}"/>
                </a:ext>
              </a:extLst>
            </xdr:cNvPr>
            <xdr:cNvPicPr>
              <a:picLocks noChangeArrowheads="1"/>
              <a:extLst>
                <a:ext uri="{84589F7E-364E-4C9E-8A38-B11213B215E9}">
                  <a14:cameraTool cellRange="Ram_2!$S$24:$Y$32" spid="_x0000_s2728367"/>
                </a:ext>
              </a:extLst>
            </xdr:cNvPicPr>
          </xdr:nvPicPr>
          <xdr:blipFill>
            <a:blip xmlns:r="http://schemas.openxmlformats.org/officeDocument/2006/relationships" r:embed="rId6"/>
            <a:srcRect/>
            <a:stretch>
              <a:fillRect/>
            </a:stretch>
          </xdr:blipFill>
          <xdr:spPr bwMode="auto">
            <a:xfrm>
              <a:off x="600075" y="78295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66</xdr:row>
          <xdr:rowOff>0</xdr:rowOff>
        </xdr:from>
        <xdr:to>
          <xdr:col>24</xdr:col>
          <xdr:colOff>38100</xdr:colOff>
          <xdr:row>89</xdr:row>
          <xdr:rowOff>57150</xdr:rowOff>
        </xdr:to>
        <xdr:pic>
          <xdr:nvPicPr>
            <xdr:cNvPr id="2305476" name="Obrázek 33">
              <a:extLst>
                <a:ext uri="{FF2B5EF4-FFF2-40B4-BE49-F238E27FC236}">
                  <a16:creationId xmlns:a16="http://schemas.microsoft.com/office/drawing/2014/main" id="{19F52558-E7D3-C648-D10A-D3592E1AB9D0}"/>
                </a:ext>
              </a:extLst>
            </xdr:cNvPr>
            <xdr:cNvPicPr>
              <a:picLocks noChangeArrowheads="1"/>
              <a:extLst>
                <a:ext uri="{84589F7E-364E-4C9E-8A38-B11213B215E9}">
                  <a14:cameraTool cellRange="Ram_3!$B$7:$Q$33" spid="_x0000_s2728368"/>
                </a:ext>
              </a:extLst>
            </xdr:cNvPicPr>
          </xdr:nvPicPr>
          <xdr:blipFill>
            <a:blip xmlns:r="http://schemas.openxmlformats.org/officeDocument/2006/relationships" r:embed="rId23"/>
            <a:srcRect/>
            <a:stretch>
              <a:fillRect/>
            </a:stretch>
          </xdr:blipFill>
          <xdr:spPr bwMode="auto">
            <a:xfrm>
              <a:off x="2924175" y="122396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66</xdr:row>
          <xdr:rowOff>0</xdr:rowOff>
        </xdr:from>
        <xdr:to>
          <xdr:col>40</xdr:col>
          <xdr:colOff>323850</xdr:colOff>
          <xdr:row>89</xdr:row>
          <xdr:rowOff>57150</xdr:rowOff>
        </xdr:to>
        <xdr:pic>
          <xdr:nvPicPr>
            <xdr:cNvPr id="2305477" name="Obrázek 34">
              <a:extLst>
                <a:ext uri="{FF2B5EF4-FFF2-40B4-BE49-F238E27FC236}">
                  <a16:creationId xmlns:a16="http://schemas.microsoft.com/office/drawing/2014/main" id="{254AB047-E142-A7C5-6742-87DC2495B995}"/>
                </a:ext>
              </a:extLst>
            </xdr:cNvPr>
            <xdr:cNvPicPr>
              <a:picLocks noChangeArrowheads="1"/>
              <a:extLst>
                <a:ext uri="{84589F7E-364E-4C9E-8A38-B11213B215E9}">
                  <a14:cameraTool cellRange="Ram_3!$AA$6:$AR$30" spid="_x0000_s2728369"/>
                </a:ext>
              </a:extLst>
            </xdr:cNvPicPr>
          </xdr:nvPicPr>
          <xdr:blipFill>
            <a:blip xmlns:r="http://schemas.openxmlformats.org/officeDocument/2006/relationships" r:embed="rId8"/>
            <a:srcRect/>
            <a:stretch>
              <a:fillRect/>
            </a:stretch>
          </xdr:blipFill>
          <xdr:spPr bwMode="auto">
            <a:xfrm>
              <a:off x="7924800" y="122396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69</xdr:row>
          <xdr:rowOff>161925</xdr:rowOff>
        </xdr:from>
        <xdr:to>
          <xdr:col>9</xdr:col>
          <xdr:colOff>95250</xdr:colOff>
          <xdr:row>81</xdr:row>
          <xdr:rowOff>76200</xdr:rowOff>
        </xdr:to>
        <xdr:pic>
          <xdr:nvPicPr>
            <xdr:cNvPr id="2305478" name="Obrázek 35">
              <a:extLst>
                <a:ext uri="{FF2B5EF4-FFF2-40B4-BE49-F238E27FC236}">
                  <a16:creationId xmlns:a16="http://schemas.microsoft.com/office/drawing/2014/main" id="{6AE66702-DD75-189D-B793-27DF6FB5DCDC}"/>
                </a:ext>
              </a:extLst>
            </xdr:cNvPr>
            <xdr:cNvPicPr>
              <a:picLocks noChangeArrowheads="1"/>
              <a:extLst>
                <a:ext uri="{84589F7E-364E-4C9E-8A38-B11213B215E9}">
                  <a14:cameraTool cellRange="Ram_3!$S$24:$Y$32" spid="_x0000_s2728370"/>
                </a:ext>
              </a:extLst>
            </xdr:cNvPicPr>
          </xdr:nvPicPr>
          <xdr:blipFill>
            <a:blip xmlns:r="http://schemas.openxmlformats.org/officeDocument/2006/relationships" r:embed="rId6"/>
            <a:srcRect/>
            <a:stretch>
              <a:fillRect/>
            </a:stretch>
          </xdr:blipFill>
          <xdr:spPr bwMode="auto">
            <a:xfrm>
              <a:off x="600075" y="12973050"/>
              <a:ext cx="2152650" cy="22002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93</xdr:row>
          <xdr:rowOff>0</xdr:rowOff>
        </xdr:from>
        <xdr:to>
          <xdr:col>24</xdr:col>
          <xdr:colOff>38100</xdr:colOff>
          <xdr:row>116</xdr:row>
          <xdr:rowOff>57150</xdr:rowOff>
        </xdr:to>
        <xdr:pic>
          <xdr:nvPicPr>
            <xdr:cNvPr id="2305479" name="Obrázek 39">
              <a:extLst>
                <a:ext uri="{FF2B5EF4-FFF2-40B4-BE49-F238E27FC236}">
                  <a16:creationId xmlns:a16="http://schemas.microsoft.com/office/drawing/2014/main" id="{0730846A-6E4F-D564-3087-ADF131F86B61}"/>
                </a:ext>
              </a:extLst>
            </xdr:cNvPr>
            <xdr:cNvPicPr>
              <a:picLocks noChangeArrowheads="1"/>
              <a:extLst>
                <a:ext uri="{84589F7E-364E-4C9E-8A38-B11213B215E9}">
                  <a14:cameraTool cellRange="Ram_4!$B$7:$Q$33" spid="_x0000_s2728371"/>
                </a:ext>
              </a:extLst>
            </xdr:cNvPicPr>
          </xdr:nvPicPr>
          <xdr:blipFill>
            <a:blip xmlns:r="http://schemas.openxmlformats.org/officeDocument/2006/relationships" r:embed="rId24"/>
            <a:srcRect/>
            <a:stretch>
              <a:fillRect/>
            </a:stretch>
          </xdr:blipFill>
          <xdr:spPr bwMode="auto">
            <a:xfrm>
              <a:off x="2924175" y="1737360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93</xdr:row>
          <xdr:rowOff>0</xdr:rowOff>
        </xdr:from>
        <xdr:to>
          <xdr:col>40</xdr:col>
          <xdr:colOff>323850</xdr:colOff>
          <xdr:row>116</xdr:row>
          <xdr:rowOff>57150</xdr:rowOff>
        </xdr:to>
        <xdr:pic>
          <xdr:nvPicPr>
            <xdr:cNvPr id="2305480" name="Obrázek 40">
              <a:extLst>
                <a:ext uri="{FF2B5EF4-FFF2-40B4-BE49-F238E27FC236}">
                  <a16:creationId xmlns:a16="http://schemas.microsoft.com/office/drawing/2014/main" id="{919C626F-2C92-BD24-8053-163F70800460}"/>
                </a:ext>
              </a:extLst>
            </xdr:cNvPr>
            <xdr:cNvPicPr>
              <a:picLocks noChangeArrowheads="1"/>
              <a:extLst>
                <a:ext uri="{84589F7E-364E-4C9E-8A38-B11213B215E9}">
                  <a14:cameraTool cellRange="Ram_4!$AA$6:$AR$30" spid="_x0000_s2728372"/>
                </a:ext>
              </a:extLst>
            </xdr:cNvPicPr>
          </xdr:nvPicPr>
          <xdr:blipFill>
            <a:blip xmlns:r="http://schemas.openxmlformats.org/officeDocument/2006/relationships" r:embed="rId10"/>
            <a:srcRect/>
            <a:stretch>
              <a:fillRect/>
            </a:stretch>
          </xdr:blipFill>
          <xdr:spPr bwMode="auto">
            <a:xfrm>
              <a:off x="7924800" y="1737360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96</xdr:row>
          <xdr:rowOff>152400</xdr:rowOff>
        </xdr:from>
        <xdr:to>
          <xdr:col>9</xdr:col>
          <xdr:colOff>95250</xdr:colOff>
          <xdr:row>108</xdr:row>
          <xdr:rowOff>55245</xdr:rowOff>
        </xdr:to>
        <xdr:pic>
          <xdr:nvPicPr>
            <xdr:cNvPr id="2305481" name="Obrázek 42">
              <a:extLst>
                <a:ext uri="{FF2B5EF4-FFF2-40B4-BE49-F238E27FC236}">
                  <a16:creationId xmlns:a16="http://schemas.microsoft.com/office/drawing/2014/main" id="{1DE23DE5-243B-A2C1-854C-5351DAE47540}"/>
                </a:ext>
              </a:extLst>
            </xdr:cNvPr>
            <xdr:cNvPicPr>
              <a:picLocks noChangeArrowheads="1"/>
              <a:extLst>
                <a:ext uri="{84589F7E-364E-4C9E-8A38-B11213B215E9}">
                  <a14:cameraTool cellRange="Ram_4!$S$24:$Y$32" spid="_x0000_s2728373"/>
                </a:ext>
              </a:extLst>
            </xdr:cNvPicPr>
          </xdr:nvPicPr>
          <xdr:blipFill>
            <a:blip xmlns:r="http://schemas.openxmlformats.org/officeDocument/2006/relationships" r:embed="rId6"/>
            <a:srcRect/>
            <a:stretch>
              <a:fillRect/>
            </a:stretch>
          </xdr:blipFill>
          <xdr:spPr bwMode="auto">
            <a:xfrm>
              <a:off x="600075" y="1806892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120</xdr:row>
          <xdr:rowOff>0</xdr:rowOff>
        </xdr:from>
        <xdr:to>
          <xdr:col>24</xdr:col>
          <xdr:colOff>38100</xdr:colOff>
          <xdr:row>143</xdr:row>
          <xdr:rowOff>57150</xdr:rowOff>
        </xdr:to>
        <xdr:pic>
          <xdr:nvPicPr>
            <xdr:cNvPr id="2305482" name="Obrázek 43">
              <a:extLst>
                <a:ext uri="{FF2B5EF4-FFF2-40B4-BE49-F238E27FC236}">
                  <a16:creationId xmlns:a16="http://schemas.microsoft.com/office/drawing/2014/main" id="{97705BDA-D0D5-5461-6FCA-6649C8D86298}"/>
                </a:ext>
              </a:extLst>
            </xdr:cNvPr>
            <xdr:cNvPicPr>
              <a:picLocks noChangeArrowheads="1"/>
              <a:extLst>
                <a:ext uri="{84589F7E-364E-4C9E-8A38-B11213B215E9}">
                  <a14:cameraTool cellRange="Ram_5!$B$7:$Q$33" spid="_x0000_s2728374"/>
                </a:ext>
              </a:extLst>
            </xdr:cNvPicPr>
          </xdr:nvPicPr>
          <xdr:blipFill>
            <a:blip xmlns:r="http://schemas.openxmlformats.org/officeDocument/2006/relationships" r:embed="rId25"/>
            <a:srcRect/>
            <a:stretch>
              <a:fillRect/>
            </a:stretch>
          </xdr:blipFill>
          <xdr:spPr bwMode="auto">
            <a:xfrm>
              <a:off x="2924175" y="22259925"/>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120</xdr:row>
          <xdr:rowOff>0</xdr:rowOff>
        </xdr:from>
        <xdr:to>
          <xdr:col>40</xdr:col>
          <xdr:colOff>323850</xdr:colOff>
          <xdr:row>143</xdr:row>
          <xdr:rowOff>57150</xdr:rowOff>
        </xdr:to>
        <xdr:pic>
          <xdr:nvPicPr>
            <xdr:cNvPr id="2305483" name="Obrázek 44">
              <a:extLst>
                <a:ext uri="{FF2B5EF4-FFF2-40B4-BE49-F238E27FC236}">
                  <a16:creationId xmlns:a16="http://schemas.microsoft.com/office/drawing/2014/main" id="{8F843857-8EF6-C42B-9F53-F2457E98CA3D}"/>
                </a:ext>
              </a:extLst>
            </xdr:cNvPr>
            <xdr:cNvPicPr>
              <a:picLocks noChangeArrowheads="1"/>
              <a:extLst>
                <a:ext uri="{84589F7E-364E-4C9E-8A38-B11213B215E9}">
                  <a14:cameraTool cellRange="Ram_5!$AA$6:$AR$30" spid="_x0000_s2728375"/>
                </a:ext>
              </a:extLst>
            </xdr:cNvPicPr>
          </xdr:nvPicPr>
          <xdr:blipFill>
            <a:blip xmlns:r="http://schemas.openxmlformats.org/officeDocument/2006/relationships" r:embed="rId12"/>
            <a:srcRect/>
            <a:stretch>
              <a:fillRect/>
            </a:stretch>
          </xdr:blipFill>
          <xdr:spPr bwMode="auto">
            <a:xfrm>
              <a:off x="7924800" y="22259925"/>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123</xdr:row>
          <xdr:rowOff>152400</xdr:rowOff>
        </xdr:from>
        <xdr:to>
          <xdr:col>9</xdr:col>
          <xdr:colOff>95250</xdr:colOff>
          <xdr:row>135</xdr:row>
          <xdr:rowOff>55245</xdr:rowOff>
        </xdr:to>
        <xdr:pic>
          <xdr:nvPicPr>
            <xdr:cNvPr id="2305484" name="Obrázek 46">
              <a:extLst>
                <a:ext uri="{FF2B5EF4-FFF2-40B4-BE49-F238E27FC236}">
                  <a16:creationId xmlns:a16="http://schemas.microsoft.com/office/drawing/2014/main" id="{7C87D231-AD70-4AFE-C90D-28737C03926C}"/>
                </a:ext>
              </a:extLst>
            </xdr:cNvPr>
            <xdr:cNvPicPr>
              <a:picLocks noChangeArrowheads="1"/>
              <a:extLst>
                <a:ext uri="{84589F7E-364E-4C9E-8A38-B11213B215E9}">
                  <a14:cameraTool cellRange="Ram_5!$S$24:$Y$32" spid="_x0000_s2728376"/>
                </a:ext>
              </a:extLst>
            </xdr:cNvPicPr>
          </xdr:nvPicPr>
          <xdr:blipFill>
            <a:blip xmlns:r="http://schemas.openxmlformats.org/officeDocument/2006/relationships" r:embed="rId6"/>
            <a:srcRect/>
            <a:stretch>
              <a:fillRect/>
            </a:stretch>
          </xdr:blipFill>
          <xdr:spPr bwMode="auto">
            <a:xfrm>
              <a:off x="600075" y="2295525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147</xdr:row>
          <xdr:rowOff>0</xdr:rowOff>
        </xdr:from>
        <xdr:to>
          <xdr:col>24</xdr:col>
          <xdr:colOff>38100</xdr:colOff>
          <xdr:row>170</xdr:row>
          <xdr:rowOff>57150</xdr:rowOff>
        </xdr:to>
        <xdr:pic>
          <xdr:nvPicPr>
            <xdr:cNvPr id="2305485" name="Obrázek 52">
              <a:extLst>
                <a:ext uri="{FF2B5EF4-FFF2-40B4-BE49-F238E27FC236}">
                  <a16:creationId xmlns:a16="http://schemas.microsoft.com/office/drawing/2014/main" id="{2FF1E296-68DF-10CB-E806-D78D03532A35}"/>
                </a:ext>
              </a:extLst>
            </xdr:cNvPr>
            <xdr:cNvPicPr>
              <a:picLocks noChangeArrowheads="1"/>
              <a:extLst>
                <a:ext uri="{84589F7E-364E-4C9E-8A38-B11213B215E9}">
                  <a14:cameraTool cellRange="Ram_6!$B$7:$Q$33" spid="_x0000_s2728377"/>
                </a:ext>
              </a:extLst>
            </xdr:cNvPicPr>
          </xdr:nvPicPr>
          <xdr:blipFill>
            <a:blip xmlns:r="http://schemas.openxmlformats.org/officeDocument/2006/relationships" r:embed="rId26"/>
            <a:srcRect/>
            <a:stretch>
              <a:fillRect/>
            </a:stretch>
          </xdr:blipFill>
          <xdr:spPr bwMode="auto">
            <a:xfrm>
              <a:off x="2924175" y="27146250"/>
              <a:ext cx="4457700"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147</xdr:row>
          <xdr:rowOff>0</xdr:rowOff>
        </xdr:from>
        <xdr:to>
          <xdr:col>40</xdr:col>
          <xdr:colOff>323850</xdr:colOff>
          <xdr:row>170</xdr:row>
          <xdr:rowOff>57150</xdr:rowOff>
        </xdr:to>
        <xdr:pic>
          <xdr:nvPicPr>
            <xdr:cNvPr id="2305486" name="Obrázek 58">
              <a:extLst>
                <a:ext uri="{FF2B5EF4-FFF2-40B4-BE49-F238E27FC236}">
                  <a16:creationId xmlns:a16="http://schemas.microsoft.com/office/drawing/2014/main" id="{2429994C-9F8C-6117-82E3-03D5938503B3}"/>
                </a:ext>
              </a:extLst>
            </xdr:cNvPr>
            <xdr:cNvPicPr>
              <a:picLocks noChangeArrowheads="1"/>
              <a:extLst>
                <a:ext uri="{84589F7E-364E-4C9E-8A38-B11213B215E9}">
                  <a14:cameraTool cellRange="Ram_6!$AA$6:$AR$30" spid="_x0000_s2728378"/>
                </a:ext>
              </a:extLst>
            </xdr:cNvPicPr>
          </xdr:nvPicPr>
          <xdr:blipFill>
            <a:blip xmlns:r="http://schemas.openxmlformats.org/officeDocument/2006/relationships" r:embed="rId14"/>
            <a:srcRect/>
            <a:stretch>
              <a:fillRect/>
            </a:stretch>
          </xdr:blipFill>
          <xdr:spPr bwMode="auto">
            <a:xfrm>
              <a:off x="7924800" y="27146250"/>
              <a:ext cx="4619625" cy="421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150</xdr:row>
          <xdr:rowOff>152400</xdr:rowOff>
        </xdr:from>
        <xdr:to>
          <xdr:col>9</xdr:col>
          <xdr:colOff>95250</xdr:colOff>
          <xdr:row>162</xdr:row>
          <xdr:rowOff>55245</xdr:rowOff>
        </xdr:to>
        <xdr:pic>
          <xdr:nvPicPr>
            <xdr:cNvPr id="2305487" name="Obrázek 59">
              <a:extLst>
                <a:ext uri="{FF2B5EF4-FFF2-40B4-BE49-F238E27FC236}">
                  <a16:creationId xmlns:a16="http://schemas.microsoft.com/office/drawing/2014/main" id="{71040077-9871-E40F-8CFD-6E4C44BDAA1F}"/>
                </a:ext>
              </a:extLst>
            </xdr:cNvPr>
            <xdr:cNvPicPr>
              <a:picLocks noChangeArrowheads="1"/>
              <a:extLst>
                <a:ext uri="{84589F7E-364E-4C9E-8A38-B11213B215E9}">
                  <a14:cameraTool cellRange="Ram_6!$S$24:$Y$32" spid="_x0000_s2728379"/>
                </a:ext>
              </a:extLst>
            </xdr:cNvPicPr>
          </xdr:nvPicPr>
          <xdr:blipFill>
            <a:blip xmlns:r="http://schemas.openxmlformats.org/officeDocument/2006/relationships" r:embed="rId6"/>
            <a:srcRect/>
            <a:stretch>
              <a:fillRect/>
            </a:stretch>
          </xdr:blipFill>
          <xdr:spPr bwMode="auto">
            <a:xfrm>
              <a:off x="600075" y="27841575"/>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12</xdr:row>
          <xdr:rowOff>0</xdr:rowOff>
        </xdr:from>
        <xdr:to>
          <xdr:col>24</xdr:col>
          <xdr:colOff>38100</xdr:colOff>
          <xdr:row>35</xdr:row>
          <xdr:rowOff>152400</xdr:rowOff>
        </xdr:to>
        <xdr:pic>
          <xdr:nvPicPr>
            <xdr:cNvPr id="2305488" name="Picture 36304">
              <a:extLst>
                <a:ext uri="{FF2B5EF4-FFF2-40B4-BE49-F238E27FC236}">
                  <a16:creationId xmlns:a16="http://schemas.microsoft.com/office/drawing/2014/main" id="{B02853BE-7F32-D368-0597-542AB6BFEC52}"/>
                </a:ext>
              </a:extLst>
            </xdr:cNvPr>
            <xdr:cNvPicPr>
              <a:picLocks noChangeAspect="1" noChangeArrowheads="1"/>
              <a:extLst>
                <a:ext uri="{84589F7E-364E-4C9E-8A38-B11213B215E9}">
                  <a14:cameraTool cellRange="Ram_1!$B$7:$Q$33" spid="_x0000_s2728380"/>
                </a:ext>
              </a:extLst>
            </xdr:cNvPicPr>
          </xdr:nvPicPr>
          <xdr:blipFill>
            <a:blip xmlns:r="http://schemas.openxmlformats.org/officeDocument/2006/relationships" r:embed="rId27"/>
            <a:srcRect/>
            <a:stretch>
              <a:fillRect/>
            </a:stretch>
          </xdr:blipFill>
          <xdr:spPr bwMode="auto">
            <a:xfrm>
              <a:off x="2924175" y="2200275"/>
              <a:ext cx="4457700" cy="43148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247650</xdr:colOff>
          <xdr:row>11</xdr:row>
          <xdr:rowOff>161925</xdr:rowOff>
        </xdr:from>
        <xdr:to>
          <xdr:col>40</xdr:col>
          <xdr:colOff>285750</xdr:colOff>
          <xdr:row>35</xdr:row>
          <xdr:rowOff>129540</xdr:rowOff>
        </xdr:to>
        <xdr:pic>
          <xdr:nvPicPr>
            <xdr:cNvPr id="2305489" name="Picture 36305">
              <a:extLst>
                <a:ext uri="{FF2B5EF4-FFF2-40B4-BE49-F238E27FC236}">
                  <a16:creationId xmlns:a16="http://schemas.microsoft.com/office/drawing/2014/main" id="{E5F93B1A-CDD7-EE45-24DF-A4FF280FC734}"/>
                </a:ext>
              </a:extLst>
            </xdr:cNvPr>
            <xdr:cNvPicPr>
              <a:picLocks noChangeAspect="1" noChangeArrowheads="1"/>
              <a:extLst>
                <a:ext uri="{84589F7E-364E-4C9E-8A38-B11213B215E9}">
                  <a14:cameraTool cellRange="Ram_1!$AA$6:$AR$30" spid="_x0000_s2728381"/>
                </a:ext>
              </a:extLst>
            </xdr:cNvPicPr>
          </xdr:nvPicPr>
          <xdr:blipFill>
            <a:blip xmlns:r="http://schemas.openxmlformats.org/officeDocument/2006/relationships" r:embed="rId28"/>
            <a:srcRect/>
            <a:stretch>
              <a:fillRect/>
            </a:stretch>
          </xdr:blipFill>
          <xdr:spPr bwMode="auto">
            <a:xfrm>
              <a:off x="7934325" y="2181225"/>
              <a:ext cx="4572000" cy="43053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15</xdr:row>
          <xdr:rowOff>152400</xdr:rowOff>
        </xdr:from>
        <xdr:to>
          <xdr:col>9</xdr:col>
          <xdr:colOff>95250</xdr:colOff>
          <xdr:row>27</xdr:row>
          <xdr:rowOff>55245</xdr:rowOff>
        </xdr:to>
        <xdr:pic>
          <xdr:nvPicPr>
            <xdr:cNvPr id="2305490" name="Picture 36306">
              <a:extLst>
                <a:ext uri="{FF2B5EF4-FFF2-40B4-BE49-F238E27FC236}">
                  <a16:creationId xmlns:a16="http://schemas.microsoft.com/office/drawing/2014/main" id="{4AB79DF3-19A7-95F6-858C-6502ABBA0A82}"/>
                </a:ext>
              </a:extLst>
            </xdr:cNvPr>
            <xdr:cNvPicPr>
              <a:picLocks noChangeAspect="1" noChangeArrowheads="1"/>
              <a:extLst>
                <a:ext uri="{84589F7E-364E-4C9E-8A38-B11213B215E9}">
                  <a14:cameraTool cellRange="Ram_1!$S$24:$Y$32" spid="_x0000_s2728382"/>
                </a:ext>
              </a:extLst>
            </xdr:cNvPicPr>
          </xdr:nvPicPr>
          <xdr:blipFill>
            <a:blip xmlns:r="http://schemas.openxmlformats.org/officeDocument/2006/relationships" r:embed="rId3"/>
            <a:srcRect/>
            <a:stretch>
              <a:fillRect/>
            </a:stretch>
          </xdr:blipFill>
          <xdr:spPr bwMode="auto">
            <a:xfrm>
              <a:off x="600075" y="2895600"/>
              <a:ext cx="2152650" cy="20859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39</xdr:row>
          <xdr:rowOff>0</xdr:rowOff>
        </xdr:from>
        <xdr:to>
          <xdr:col>24</xdr:col>
          <xdr:colOff>38100</xdr:colOff>
          <xdr:row>62</xdr:row>
          <xdr:rowOff>57150</xdr:rowOff>
        </xdr:to>
        <xdr:pic>
          <xdr:nvPicPr>
            <xdr:cNvPr id="2305491" name="Picture 36307">
              <a:extLst>
                <a:ext uri="{FF2B5EF4-FFF2-40B4-BE49-F238E27FC236}">
                  <a16:creationId xmlns:a16="http://schemas.microsoft.com/office/drawing/2014/main" id="{74385FCC-D528-ED6D-2C35-B5D1FC8123A1}"/>
                </a:ext>
              </a:extLst>
            </xdr:cNvPr>
            <xdr:cNvPicPr>
              <a:picLocks noChangeAspect="1" noChangeArrowheads="1"/>
              <a:extLst>
                <a:ext uri="{84589F7E-364E-4C9E-8A38-B11213B215E9}">
                  <a14:cameraTool cellRange="Ram_2!$B$7:$Q$33" spid="_x0000_s2728383"/>
                </a:ext>
              </a:extLst>
            </xdr:cNvPicPr>
          </xdr:nvPicPr>
          <xdr:blipFill>
            <a:blip xmlns:r="http://schemas.openxmlformats.org/officeDocument/2006/relationships" r:embed="rId29"/>
            <a:srcRect/>
            <a:stretch>
              <a:fillRect/>
            </a:stretch>
          </xdr:blipFill>
          <xdr:spPr bwMode="auto">
            <a:xfrm>
              <a:off x="2924175" y="7096125"/>
              <a:ext cx="4457700" cy="4438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238125</xdr:colOff>
          <xdr:row>39</xdr:row>
          <xdr:rowOff>0</xdr:rowOff>
        </xdr:from>
        <xdr:to>
          <xdr:col>40</xdr:col>
          <xdr:colOff>323850</xdr:colOff>
          <xdr:row>62</xdr:row>
          <xdr:rowOff>57150</xdr:rowOff>
        </xdr:to>
        <xdr:pic>
          <xdr:nvPicPr>
            <xdr:cNvPr id="2305492" name="Picture 36308">
              <a:extLst>
                <a:ext uri="{FF2B5EF4-FFF2-40B4-BE49-F238E27FC236}">
                  <a16:creationId xmlns:a16="http://schemas.microsoft.com/office/drawing/2014/main" id="{BB3C11E4-2873-CB03-B454-1946FBDA4EBD}"/>
                </a:ext>
              </a:extLst>
            </xdr:cNvPr>
            <xdr:cNvPicPr>
              <a:picLocks noChangeAspect="1" noChangeArrowheads="1"/>
              <a:extLst>
                <a:ext uri="{84589F7E-364E-4C9E-8A38-B11213B215E9}">
                  <a14:cameraTool cellRange="Ram_2!$AA$6:$AR$30" spid="_x0000_s2728384"/>
                </a:ext>
              </a:extLst>
            </xdr:cNvPicPr>
          </xdr:nvPicPr>
          <xdr:blipFill>
            <a:blip xmlns:r="http://schemas.openxmlformats.org/officeDocument/2006/relationships" r:embed="rId5"/>
            <a:srcRect/>
            <a:stretch>
              <a:fillRect/>
            </a:stretch>
          </xdr:blipFill>
          <xdr:spPr bwMode="auto">
            <a:xfrm>
              <a:off x="7924800" y="7096125"/>
              <a:ext cx="4619625" cy="44386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21</xdr:col>
      <xdr:colOff>546</xdr:colOff>
      <xdr:row>13</xdr:row>
      <xdr:rowOff>55562</xdr:rowOff>
    </xdr:from>
    <xdr:to>
      <xdr:col>26</xdr:col>
      <xdr:colOff>37798</xdr:colOff>
      <xdr:row>20</xdr:row>
      <xdr:rowOff>40146</xdr:rowOff>
    </xdr:to>
    <xdr:sp macro="" textlink="">
      <xdr:nvSpPr>
        <xdr:cNvPr id="2" name="Obdélník 1">
          <a:extLst>
            <a:ext uri="{FF2B5EF4-FFF2-40B4-BE49-F238E27FC236}">
              <a16:creationId xmlns:a16="http://schemas.microsoft.com/office/drawing/2014/main" id="{6715C7F9-5F3C-9E91-9B42-0E1AB283DC40}"/>
            </a:ext>
          </a:extLst>
        </xdr:cNvPr>
        <xdr:cNvSpPr/>
      </xdr:nvSpPr>
      <xdr:spPr bwMode="auto">
        <a:xfrm>
          <a:off x="6209413" y="2504321"/>
          <a:ext cx="1687032" cy="1271477"/>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xdr:from>
      <xdr:col>16</xdr:col>
      <xdr:colOff>1004</xdr:colOff>
      <xdr:row>13</xdr:row>
      <xdr:rowOff>13653</xdr:rowOff>
    </xdr:from>
    <xdr:to>
      <xdr:col>18</xdr:col>
      <xdr:colOff>18450</xdr:colOff>
      <xdr:row>14</xdr:row>
      <xdr:rowOff>331</xdr:rowOff>
    </xdr:to>
    <xdr:sp macro="" textlink="">
      <xdr:nvSpPr>
        <xdr:cNvPr id="6" name="Obdélník 5">
          <a:extLst>
            <a:ext uri="{FF2B5EF4-FFF2-40B4-BE49-F238E27FC236}">
              <a16:creationId xmlns:a16="http://schemas.microsoft.com/office/drawing/2014/main" id="{1C102345-AD9E-BDE6-0552-9B5DC788AD8F}"/>
            </a:ext>
          </a:extLst>
        </xdr:cNvPr>
        <xdr:cNvSpPr/>
      </xdr:nvSpPr>
      <xdr:spPr bwMode="auto">
        <a:xfrm>
          <a:off x="4699000" y="2305050"/>
          <a:ext cx="819150" cy="127000"/>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p>
      </xdr:txBody>
    </xdr:sp>
    <xdr:clientData/>
  </xdr:twoCellAnchor>
  <xdr:twoCellAnchor editAs="oneCell">
    <xdr:from>
      <xdr:col>2</xdr:col>
      <xdr:colOff>0</xdr:colOff>
      <xdr:row>33</xdr:row>
      <xdr:rowOff>0</xdr:rowOff>
    </xdr:from>
    <xdr:to>
      <xdr:col>7</xdr:col>
      <xdr:colOff>9525</xdr:colOff>
      <xdr:row>36</xdr:row>
      <xdr:rowOff>0</xdr:rowOff>
    </xdr:to>
    <xdr:pic>
      <xdr:nvPicPr>
        <xdr:cNvPr id="944571" name="Picture 144">
          <a:extLst>
            <a:ext uri="{FF2B5EF4-FFF2-40B4-BE49-F238E27FC236}">
              <a16:creationId xmlns:a16="http://schemas.microsoft.com/office/drawing/2014/main" id="{D8C84F58-6DBE-5547-DE97-A5959C85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33</xdr:row>
      <xdr:rowOff>0</xdr:rowOff>
    </xdr:from>
    <xdr:to>
      <xdr:col>13</xdr:col>
      <xdr:colOff>9525</xdr:colOff>
      <xdr:row>36</xdr:row>
      <xdr:rowOff>0</xdr:rowOff>
    </xdr:to>
    <xdr:pic>
      <xdr:nvPicPr>
        <xdr:cNvPr id="944572" name="Picture 156">
          <a:extLst>
            <a:ext uri="{FF2B5EF4-FFF2-40B4-BE49-F238E27FC236}">
              <a16:creationId xmlns:a16="http://schemas.microsoft.com/office/drawing/2014/main" id="{F2023FF0-B09C-C590-5AC4-50B0B98F7E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22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33</xdr:row>
      <xdr:rowOff>0</xdr:rowOff>
    </xdr:from>
    <xdr:to>
      <xdr:col>19</xdr:col>
      <xdr:colOff>9525</xdr:colOff>
      <xdr:row>36</xdr:row>
      <xdr:rowOff>0</xdr:rowOff>
    </xdr:to>
    <xdr:pic>
      <xdr:nvPicPr>
        <xdr:cNvPr id="944573" name="Picture 142">
          <a:extLst>
            <a:ext uri="{FF2B5EF4-FFF2-40B4-BE49-F238E27FC236}">
              <a16:creationId xmlns:a16="http://schemas.microsoft.com/office/drawing/2014/main" id="{41991A54-1885-4EB8-223F-70B53AF880B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38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33</xdr:row>
      <xdr:rowOff>0</xdr:rowOff>
    </xdr:from>
    <xdr:to>
      <xdr:col>25</xdr:col>
      <xdr:colOff>9525</xdr:colOff>
      <xdr:row>36</xdr:row>
      <xdr:rowOff>0</xdr:rowOff>
    </xdr:to>
    <xdr:pic>
      <xdr:nvPicPr>
        <xdr:cNvPr id="944574" name="Picture 140">
          <a:extLst>
            <a:ext uri="{FF2B5EF4-FFF2-40B4-BE49-F238E27FC236}">
              <a16:creationId xmlns:a16="http://schemas.microsoft.com/office/drawing/2014/main" id="{C25DEC58-2AF6-A3F1-AD32-C963F161B6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055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33</xdr:row>
      <xdr:rowOff>0</xdr:rowOff>
    </xdr:from>
    <xdr:to>
      <xdr:col>31</xdr:col>
      <xdr:colOff>9525</xdr:colOff>
      <xdr:row>36</xdr:row>
      <xdr:rowOff>0</xdr:rowOff>
    </xdr:to>
    <xdr:pic>
      <xdr:nvPicPr>
        <xdr:cNvPr id="944575" name="Picture 124">
          <a:extLst>
            <a:ext uri="{FF2B5EF4-FFF2-40B4-BE49-F238E27FC236}">
              <a16:creationId xmlns:a16="http://schemas.microsoft.com/office/drawing/2014/main" id="{6BB261B1-E270-FF5C-2D42-05FF4094451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771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33</xdr:row>
      <xdr:rowOff>0</xdr:rowOff>
    </xdr:from>
    <xdr:to>
      <xdr:col>37</xdr:col>
      <xdr:colOff>9525</xdr:colOff>
      <xdr:row>36</xdr:row>
      <xdr:rowOff>0</xdr:rowOff>
    </xdr:to>
    <xdr:pic>
      <xdr:nvPicPr>
        <xdr:cNvPr id="944576" name="Picture 126">
          <a:extLst>
            <a:ext uri="{FF2B5EF4-FFF2-40B4-BE49-F238E27FC236}">
              <a16:creationId xmlns:a16="http://schemas.microsoft.com/office/drawing/2014/main" id="{8FEFBDF2-4653-211F-CA08-0D2FBBC8CF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4488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33</xdr:row>
      <xdr:rowOff>0</xdr:rowOff>
    </xdr:from>
    <xdr:to>
      <xdr:col>43</xdr:col>
      <xdr:colOff>9525</xdr:colOff>
      <xdr:row>36</xdr:row>
      <xdr:rowOff>0</xdr:rowOff>
    </xdr:to>
    <xdr:pic>
      <xdr:nvPicPr>
        <xdr:cNvPr id="944577" name="Picture 128">
          <a:extLst>
            <a:ext uri="{FF2B5EF4-FFF2-40B4-BE49-F238E27FC236}">
              <a16:creationId xmlns:a16="http://schemas.microsoft.com/office/drawing/2014/main" id="{FA25EF66-D622-E239-1F68-F1C67D230B54}"/>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22045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33</xdr:row>
      <xdr:rowOff>0</xdr:rowOff>
    </xdr:from>
    <xdr:to>
      <xdr:col>49</xdr:col>
      <xdr:colOff>9525</xdr:colOff>
      <xdr:row>36</xdr:row>
      <xdr:rowOff>0</xdr:rowOff>
    </xdr:to>
    <xdr:pic>
      <xdr:nvPicPr>
        <xdr:cNvPr id="944578" name="Picture 130">
          <a:extLst>
            <a:ext uri="{FF2B5EF4-FFF2-40B4-BE49-F238E27FC236}">
              <a16:creationId xmlns:a16="http://schemas.microsoft.com/office/drawing/2014/main" id="{29BF9B70-17F2-FA19-DC0F-3D543E11B72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92100" y="585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39</xdr:row>
      <xdr:rowOff>0</xdr:rowOff>
    </xdr:from>
    <xdr:to>
      <xdr:col>7</xdr:col>
      <xdr:colOff>9525</xdr:colOff>
      <xdr:row>42</xdr:row>
      <xdr:rowOff>0</xdr:rowOff>
    </xdr:to>
    <xdr:pic>
      <xdr:nvPicPr>
        <xdr:cNvPr id="944579" name="Picture 132">
          <a:extLst>
            <a:ext uri="{FF2B5EF4-FFF2-40B4-BE49-F238E27FC236}">
              <a16:creationId xmlns:a16="http://schemas.microsoft.com/office/drawing/2014/main" id="{E99A621A-C3CE-19DE-1416-9685D1B122A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905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39</xdr:row>
      <xdr:rowOff>0</xdr:rowOff>
    </xdr:from>
    <xdr:to>
      <xdr:col>13</xdr:col>
      <xdr:colOff>9525</xdr:colOff>
      <xdr:row>42</xdr:row>
      <xdr:rowOff>0</xdr:rowOff>
    </xdr:to>
    <xdr:pic>
      <xdr:nvPicPr>
        <xdr:cNvPr id="944580" name="Picture 134">
          <a:extLst>
            <a:ext uri="{FF2B5EF4-FFF2-40B4-BE49-F238E27FC236}">
              <a16:creationId xmlns:a16="http://schemas.microsoft.com/office/drawing/2014/main" id="{374AB63E-7F5A-A71B-5D72-82BB85A7454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622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39</xdr:row>
      <xdr:rowOff>0</xdr:rowOff>
    </xdr:from>
    <xdr:to>
      <xdr:col>19</xdr:col>
      <xdr:colOff>9525</xdr:colOff>
      <xdr:row>42</xdr:row>
      <xdr:rowOff>0</xdr:rowOff>
    </xdr:to>
    <xdr:pic>
      <xdr:nvPicPr>
        <xdr:cNvPr id="944581" name="Picture 136">
          <a:extLst>
            <a:ext uri="{FF2B5EF4-FFF2-40B4-BE49-F238E27FC236}">
              <a16:creationId xmlns:a16="http://schemas.microsoft.com/office/drawing/2014/main" id="{8EFE368D-B2A7-C4AA-9A61-C0B021A7FDD5}"/>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338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39</xdr:row>
      <xdr:rowOff>0</xdr:rowOff>
    </xdr:from>
    <xdr:to>
      <xdr:col>25</xdr:col>
      <xdr:colOff>9525</xdr:colOff>
      <xdr:row>42</xdr:row>
      <xdr:rowOff>0</xdr:rowOff>
    </xdr:to>
    <xdr:pic>
      <xdr:nvPicPr>
        <xdr:cNvPr id="944582" name="Picture 138">
          <a:extLst>
            <a:ext uri="{FF2B5EF4-FFF2-40B4-BE49-F238E27FC236}">
              <a16:creationId xmlns:a16="http://schemas.microsoft.com/office/drawing/2014/main" id="{50D5E83D-C602-E6A8-FD2A-AAACC3A268D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9055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39</xdr:row>
      <xdr:rowOff>0</xdr:rowOff>
    </xdr:from>
    <xdr:to>
      <xdr:col>31</xdr:col>
      <xdr:colOff>9525</xdr:colOff>
      <xdr:row>42</xdr:row>
      <xdr:rowOff>0</xdr:rowOff>
    </xdr:to>
    <xdr:pic>
      <xdr:nvPicPr>
        <xdr:cNvPr id="944583" name="Picture 146">
          <a:extLst>
            <a:ext uri="{FF2B5EF4-FFF2-40B4-BE49-F238E27FC236}">
              <a16:creationId xmlns:a16="http://schemas.microsoft.com/office/drawing/2014/main" id="{1A944083-164C-7B67-DED7-AAA3D3491C5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6771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39</xdr:row>
      <xdr:rowOff>0</xdr:rowOff>
    </xdr:from>
    <xdr:to>
      <xdr:col>37</xdr:col>
      <xdr:colOff>9525</xdr:colOff>
      <xdr:row>42</xdr:row>
      <xdr:rowOff>0</xdr:rowOff>
    </xdr:to>
    <xdr:pic>
      <xdr:nvPicPr>
        <xdr:cNvPr id="944584" name="Picture 148">
          <a:extLst>
            <a:ext uri="{FF2B5EF4-FFF2-40B4-BE49-F238E27FC236}">
              <a16:creationId xmlns:a16="http://schemas.microsoft.com/office/drawing/2014/main" id="{47C91132-731C-326C-F71B-0FF8D4E0263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4488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39</xdr:row>
      <xdr:rowOff>0</xdr:rowOff>
    </xdr:from>
    <xdr:to>
      <xdr:col>43</xdr:col>
      <xdr:colOff>9525</xdr:colOff>
      <xdr:row>42</xdr:row>
      <xdr:rowOff>0</xdr:rowOff>
    </xdr:to>
    <xdr:pic>
      <xdr:nvPicPr>
        <xdr:cNvPr id="944585" name="Picture 158">
          <a:extLst>
            <a:ext uri="{FF2B5EF4-FFF2-40B4-BE49-F238E27FC236}">
              <a16:creationId xmlns:a16="http://schemas.microsoft.com/office/drawing/2014/main" id="{ED2F9FA9-6270-FDD4-43D7-1DDCB4A40F4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22045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39</xdr:row>
      <xdr:rowOff>0</xdr:rowOff>
    </xdr:from>
    <xdr:to>
      <xdr:col>49</xdr:col>
      <xdr:colOff>9525</xdr:colOff>
      <xdr:row>42</xdr:row>
      <xdr:rowOff>0</xdr:rowOff>
    </xdr:to>
    <xdr:pic>
      <xdr:nvPicPr>
        <xdr:cNvPr id="944586" name="Picture 160">
          <a:extLst>
            <a:ext uri="{FF2B5EF4-FFF2-40B4-BE49-F238E27FC236}">
              <a16:creationId xmlns:a16="http://schemas.microsoft.com/office/drawing/2014/main" id="{E2687AEB-DFE4-B0FD-E0FB-8D4FA9D5480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992100" y="6877050"/>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7</xdr:col>
      <xdr:colOff>9525</xdr:colOff>
      <xdr:row>48</xdr:row>
      <xdr:rowOff>0</xdr:rowOff>
    </xdr:to>
    <xdr:pic>
      <xdr:nvPicPr>
        <xdr:cNvPr id="944587" name="Picture 150">
          <a:extLst>
            <a:ext uri="{FF2B5EF4-FFF2-40B4-BE49-F238E27FC236}">
              <a16:creationId xmlns:a16="http://schemas.microsoft.com/office/drawing/2014/main" id="{12115C35-C3FF-0DBB-3FF6-235B4C5BE5FF}"/>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05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45</xdr:row>
      <xdr:rowOff>0</xdr:rowOff>
    </xdr:from>
    <xdr:to>
      <xdr:col>13</xdr:col>
      <xdr:colOff>9525</xdr:colOff>
      <xdr:row>48</xdr:row>
      <xdr:rowOff>0</xdr:rowOff>
    </xdr:to>
    <xdr:pic>
      <xdr:nvPicPr>
        <xdr:cNvPr id="944588" name="Picture 152">
          <a:extLst>
            <a:ext uri="{FF2B5EF4-FFF2-40B4-BE49-F238E27FC236}">
              <a16:creationId xmlns:a16="http://schemas.microsoft.com/office/drawing/2014/main" id="{1CD127C4-6514-D212-D577-0E55D613CC36}"/>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45</xdr:row>
      <xdr:rowOff>0</xdr:rowOff>
    </xdr:from>
    <xdr:to>
      <xdr:col>19</xdr:col>
      <xdr:colOff>9525</xdr:colOff>
      <xdr:row>48</xdr:row>
      <xdr:rowOff>0</xdr:rowOff>
    </xdr:to>
    <xdr:pic>
      <xdr:nvPicPr>
        <xdr:cNvPr id="944589" name="Picture 154">
          <a:extLst>
            <a:ext uri="{FF2B5EF4-FFF2-40B4-BE49-F238E27FC236}">
              <a16:creationId xmlns:a16="http://schemas.microsoft.com/office/drawing/2014/main" id="{EDE8582B-8FDE-A34F-7396-2F4DECD8BAC9}"/>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41338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45</xdr:row>
      <xdr:rowOff>0</xdr:rowOff>
    </xdr:from>
    <xdr:to>
      <xdr:col>25</xdr:col>
      <xdr:colOff>9525</xdr:colOff>
      <xdr:row>48</xdr:row>
      <xdr:rowOff>0</xdr:rowOff>
    </xdr:to>
    <xdr:pic>
      <xdr:nvPicPr>
        <xdr:cNvPr id="944590" name="Picture 278">
          <a:extLst>
            <a:ext uri="{FF2B5EF4-FFF2-40B4-BE49-F238E27FC236}">
              <a16:creationId xmlns:a16="http://schemas.microsoft.com/office/drawing/2014/main" id="{094A4233-6938-0C62-C9A8-392A0E2C16E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9055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45</xdr:row>
      <xdr:rowOff>0</xdr:rowOff>
    </xdr:from>
    <xdr:to>
      <xdr:col>31</xdr:col>
      <xdr:colOff>9525</xdr:colOff>
      <xdr:row>48</xdr:row>
      <xdr:rowOff>0</xdr:rowOff>
    </xdr:to>
    <xdr:pic>
      <xdr:nvPicPr>
        <xdr:cNvPr id="944591" name="Picture 280">
          <a:extLst>
            <a:ext uri="{FF2B5EF4-FFF2-40B4-BE49-F238E27FC236}">
              <a16:creationId xmlns:a16="http://schemas.microsoft.com/office/drawing/2014/main" id="{036EB60B-1752-6347-9C92-3F85EB8D665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6771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45</xdr:row>
      <xdr:rowOff>0</xdr:rowOff>
    </xdr:from>
    <xdr:to>
      <xdr:col>37</xdr:col>
      <xdr:colOff>9525</xdr:colOff>
      <xdr:row>48</xdr:row>
      <xdr:rowOff>0</xdr:rowOff>
    </xdr:to>
    <xdr:pic>
      <xdr:nvPicPr>
        <xdr:cNvPr id="944592" name="Picture 272">
          <a:extLst>
            <a:ext uri="{FF2B5EF4-FFF2-40B4-BE49-F238E27FC236}">
              <a16:creationId xmlns:a16="http://schemas.microsoft.com/office/drawing/2014/main" id="{AB08D766-F2A9-DA67-E147-4AC36634E3D1}"/>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4488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45</xdr:row>
      <xdr:rowOff>0</xdr:rowOff>
    </xdr:from>
    <xdr:to>
      <xdr:col>43</xdr:col>
      <xdr:colOff>9525</xdr:colOff>
      <xdr:row>48</xdr:row>
      <xdr:rowOff>0</xdr:rowOff>
    </xdr:to>
    <xdr:pic>
      <xdr:nvPicPr>
        <xdr:cNvPr id="944593" name="Picture 274">
          <a:extLst>
            <a:ext uri="{FF2B5EF4-FFF2-40B4-BE49-F238E27FC236}">
              <a16:creationId xmlns:a16="http://schemas.microsoft.com/office/drawing/2014/main" id="{5F85C734-FF54-1348-1257-9A4005716DA5}"/>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22045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0</xdr:colOff>
      <xdr:row>45</xdr:row>
      <xdr:rowOff>0</xdr:rowOff>
    </xdr:from>
    <xdr:to>
      <xdr:col>49</xdr:col>
      <xdr:colOff>9525</xdr:colOff>
      <xdr:row>48</xdr:row>
      <xdr:rowOff>0</xdr:rowOff>
    </xdr:to>
    <xdr:pic>
      <xdr:nvPicPr>
        <xdr:cNvPr id="944594" name="Picture 276">
          <a:extLst>
            <a:ext uri="{FF2B5EF4-FFF2-40B4-BE49-F238E27FC236}">
              <a16:creationId xmlns:a16="http://schemas.microsoft.com/office/drawing/2014/main" id="{AE68FB02-47BB-D273-05DC-D3B88D13F5AB}"/>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2992100" y="789622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55</xdr:row>
      <xdr:rowOff>0</xdr:rowOff>
    </xdr:from>
    <xdr:to>
      <xdr:col>13</xdr:col>
      <xdr:colOff>9525</xdr:colOff>
      <xdr:row>58</xdr:row>
      <xdr:rowOff>0</xdr:rowOff>
    </xdr:to>
    <xdr:pic>
      <xdr:nvPicPr>
        <xdr:cNvPr id="944595" name="Picture 290">
          <a:extLst>
            <a:ext uri="{FF2B5EF4-FFF2-40B4-BE49-F238E27FC236}">
              <a16:creationId xmlns:a16="http://schemas.microsoft.com/office/drawing/2014/main" id="{42F10542-ADB6-1405-0D1F-22B8127ABFCD}"/>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3622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54</xdr:row>
      <xdr:rowOff>57150</xdr:rowOff>
    </xdr:from>
    <xdr:to>
      <xdr:col>19</xdr:col>
      <xdr:colOff>9525</xdr:colOff>
      <xdr:row>58</xdr:row>
      <xdr:rowOff>0</xdr:rowOff>
    </xdr:to>
    <xdr:pic>
      <xdr:nvPicPr>
        <xdr:cNvPr id="944596" name="Picture 286">
          <a:extLst>
            <a:ext uri="{FF2B5EF4-FFF2-40B4-BE49-F238E27FC236}">
              <a16:creationId xmlns:a16="http://schemas.microsoft.com/office/drawing/2014/main" id="{40FC4CB4-49DC-D349-67A1-BD78B36FC5DB}"/>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1338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55</xdr:row>
      <xdr:rowOff>0</xdr:rowOff>
    </xdr:from>
    <xdr:to>
      <xdr:col>25</xdr:col>
      <xdr:colOff>9525</xdr:colOff>
      <xdr:row>58</xdr:row>
      <xdr:rowOff>0</xdr:rowOff>
    </xdr:to>
    <xdr:pic>
      <xdr:nvPicPr>
        <xdr:cNvPr id="944597" name="Picture 288">
          <a:extLst>
            <a:ext uri="{FF2B5EF4-FFF2-40B4-BE49-F238E27FC236}">
              <a16:creationId xmlns:a16="http://schemas.microsoft.com/office/drawing/2014/main" id="{615592D0-B9A0-5C3A-9B9A-94F515022DAA}"/>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905500" y="9667875"/>
          <a:ext cx="1485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54</xdr:row>
      <xdr:rowOff>57150</xdr:rowOff>
    </xdr:from>
    <xdr:to>
      <xdr:col>31</xdr:col>
      <xdr:colOff>9525</xdr:colOff>
      <xdr:row>58</xdr:row>
      <xdr:rowOff>0</xdr:rowOff>
    </xdr:to>
    <xdr:pic>
      <xdr:nvPicPr>
        <xdr:cNvPr id="944598" name="Picture 282">
          <a:extLst>
            <a:ext uri="{FF2B5EF4-FFF2-40B4-BE49-F238E27FC236}">
              <a16:creationId xmlns:a16="http://schemas.microsoft.com/office/drawing/2014/main" id="{9EF16E72-4B40-B8C4-8E23-71E9811BC1A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6771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32</xdr:col>
      <xdr:colOff>0</xdr:colOff>
      <xdr:row>54</xdr:row>
      <xdr:rowOff>57150</xdr:rowOff>
    </xdr:from>
    <xdr:to>
      <xdr:col>37</xdr:col>
      <xdr:colOff>9525</xdr:colOff>
      <xdr:row>58</xdr:row>
      <xdr:rowOff>0</xdr:rowOff>
    </xdr:to>
    <xdr:pic>
      <xdr:nvPicPr>
        <xdr:cNvPr id="944599" name="Picture 284">
          <a:extLst>
            <a:ext uri="{FF2B5EF4-FFF2-40B4-BE49-F238E27FC236}">
              <a16:creationId xmlns:a16="http://schemas.microsoft.com/office/drawing/2014/main" id="{649FFD6E-A98F-EA67-B364-B9883381F3C6}"/>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944880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0</xdr:colOff>
      <xdr:row>54</xdr:row>
      <xdr:rowOff>57150</xdr:rowOff>
    </xdr:from>
    <xdr:to>
      <xdr:col>43</xdr:col>
      <xdr:colOff>9525</xdr:colOff>
      <xdr:row>58</xdr:row>
      <xdr:rowOff>0</xdr:rowOff>
    </xdr:to>
    <xdr:pic>
      <xdr:nvPicPr>
        <xdr:cNvPr id="944600" name="Picture 292">
          <a:extLst>
            <a:ext uri="{FF2B5EF4-FFF2-40B4-BE49-F238E27FC236}">
              <a16:creationId xmlns:a16="http://schemas.microsoft.com/office/drawing/2014/main" id="{02F287A1-60FD-4834-9159-C27CDFDA82C6}"/>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1220450" y="9620250"/>
          <a:ext cx="1485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13881</xdr:colOff>
      <xdr:row>14</xdr:row>
      <xdr:rowOff>2510</xdr:rowOff>
    </xdr:from>
    <xdr:to>
      <xdr:col>39</xdr:col>
      <xdr:colOff>790</xdr:colOff>
      <xdr:row>21</xdr:row>
      <xdr:rowOff>1176</xdr:rowOff>
    </xdr:to>
    <xdr:sp macro="" textlink="">
      <xdr:nvSpPr>
        <xdr:cNvPr id="3" name="Obdélník 2">
          <a:extLst>
            <a:ext uri="{FF2B5EF4-FFF2-40B4-BE49-F238E27FC236}">
              <a16:creationId xmlns:a16="http://schemas.microsoft.com/office/drawing/2014/main" id="{29184EF5-5C95-3750-E2D8-CC219364FE49}"/>
            </a:ext>
          </a:extLst>
        </xdr:cNvPr>
        <xdr:cNvSpPr/>
      </xdr:nvSpPr>
      <xdr:spPr bwMode="auto">
        <a:xfrm>
          <a:off x="9968023" y="2516372"/>
          <a:ext cx="1683489" cy="1249326"/>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wrap="square" lIns="18288" tIns="0" rIns="0" bIns="0" rtlCol="0" anchor="ctr" upright="1"/>
        <a:lstStyle/>
        <a:p>
          <a:pPr algn="l"/>
          <a:endParaRPr lang="cs-CZ" sz="1100">
            <a:ln>
              <a:solidFill>
                <a:schemeClr val="bg1"/>
              </a:solidFill>
            </a:ln>
          </a:endParaRPr>
        </a:p>
      </xdr:txBody>
    </xdr:sp>
    <xdr:clientData/>
  </xdr:twoCellAnchor>
  <xdr:twoCellAnchor editAs="oneCell">
    <xdr:from>
      <xdr:col>15</xdr:col>
      <xdr:colOff>73380</xdr:colOff>
      <xdr:row>78</xdr:row>
      <xdr:rowOff>122016</xdr:rowOff>
    </xdr:from>
    <xdr:to>
      <xdr:col>26</xdr:col>
      <xdr:colOff>182880</xdr:colOff>
      <xdr:row>99</xdr:row>
      <xdr:rowOff>106680</xdr:rowOff>
    </xdr:to>
    <xdr:pic>
      <xdr:nvPicPr>
        <xdr:cNvPr id="7" name="Obrázek 6">
          <a:extLst>
            <a:ext uri="{FF2B5EF4-FFF2-40B4-BE49-F238E27FC236}">
              <a16:creationId xmlns:a16="http://schemas.microsoft.com/office/drawing/2014/main" id="{3612D29E-39D6-179F-1524-C39950082C49}"/>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4645380" y="14462856"/>
          <a:ext cx="3462300" cy="4305204"/>
        </a:xfrm>
        <a:prstGeom prst="rect">
          <a:avLst/>
        </a:prstGeom>
      </xdr:spPr>
    </xdr:pic>
    <xdr:clientData/>
  </xdr:twoCellAnchor>
  <xdr:twoCellAnchor editAs="oneCell">
    <xdr:from>
      <xdr:col>1</xdr:col>
      <xdr:colOff>280530</xdr:colOff>
      <xdr:row>78</xdr:row>
      <xdr:rowOff>187670</xdr:rowOff>
    </xdr:from>
    <xdr:to>
      <xdr:col>12</xdr:col>
      <xdr:colOff>201930</xdr:colOff>
      <xdr:row>98</xdr:row>
      <xdr:rowOff>179069</xdr:rowOff>
    </xdr:to>
    <xdr:pic>
      <xdr:nvPicPr>
        <xdr:cNvPr id="9" name="Obrázek 8">
          <a:extLst>
            <a:ext uri="{FF2B5EF4-FFF2-40B4-BE49-F238E27FC236}">
              <a16:creationId xmlns:a16="http://schemas.microsoft.com/office/drawing/2014/main" id="{6CB7479C-7384-71E8-B5C8-4F73D64B21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85330" y="14528510"/>
          <a:ext cx="3274200" cy="4106199"/>
        </a:xfrm>
        <a:prstGeom prst="rect">
          <a:avLst/>
        </a:prstGeom>
      </xdr:spPr>
    </xdr:pic>
    <xdr:clientData/>
  </xdr:twoCellAnchor>
  <xdr:twoCellAnchor editAs="oneCell">
    <xdr:from>
      <xdr:col>28</xdr:col>
      <xdr:colOff>9525</xdr:colOff>
      <xdr:row>62</xdr:row>
      <xdr:rowOff>123825</xdr:rowOff>
    </xdr:from>
    <xdr:to>
      <xdr:col>47</xdr:col>
      <xdr:colOff>172594</xdr:colOff>
      <xdr:row>84</xdr:row>
      <xdr:rowOff>132360</xdr:rowOff>
    </xdr:to>
    <xdr:pic>
      <xdr:nvPicPr>
        <xdr:cNvPr id="11" name="Obrázek 10">
          <a:extLst>
            <a:ext uri="{FF2B5EF4-FFF2-40B4-BE49-F238E27FC236}">
              <a16:creationId xmlns:a16="http://schemas.microsoft.com/office/drawing/2014/main" id="{E37C6D34-8F66-0248-73E9-BA9AD0F7A83B}"/>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8277225" y="11125200"/>
          <a:ext cx="5773294" cy="4618635"/>
        </a:xfrm>
        <a:prstGeom prst="rect">
          <a:avLst/>
        </a:prstGeom>
      </xdr:spPr>
    </xdr:pic>
    <xdr:clientData/>
  </xdr:twoCellAnchor>
  <xdr:twoCellAnchor editAs="oneCell">
    <xdr:from>
      <xdr:col>0</xdr:col>
      <xdr:colOff>285749</xdr:colOff>
      <xdr:row>0</xdr:row>
      <xdr:rowOff>180975</xdr:rowOff>
    </xdr:from>
    <xdr:to>
      <xdr:col>5</xdr:col>
      <xdr:colOff>43317</xdr:colOff>
      <xdr:row>4</xdr:row>
      <xdr:rowOff>9525</xdr:rowOff>
    </xdr:to>
    <xdr:pic>
      <xdr:nvPicPr>
        <xdr:cNvPr id="12" name="Obrázek 7">
          <a:extLst>
            <a:ext uri="{FF2B5EF4-FFF2-40B4-BE49-F238E27FC236}">
              <a16:creationId xmlns:a16="http://schemas.microsoft.com/office/drawing/2014/main" id="{039E5E46-F716-4D2E-9BAF-079315A962F4}"/>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85749" y="180975"/>
          <a:ext cx="1233943"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100</xdr:row>
      <xdr:rowOff>0</xdr:rowOff>
    </xdr:from>
    <xdr:to>
      <xdr:col>15</xdr:col>
      <xdr:colOff>141525</xdr:colOff>
      <xdr:row>126</xdr:row>
      <xdr:rowOff>134445</xdr:rowOff>
    </xdr:to>
    <xdr:pic>
      <xdr:nvPicPr>
        <xdr:cNvPr id="5" name="Obrázek 4">
          <a:extLst>
            <a:ext uri="{FF2B5EF4-FFF2-40B4-BE49-F238E27FC236}">
              <a16:creationId xmlns:a16="http://schemas.microsoft.com/office/drawing/2014/main" id="{6EC94824-359A-EDD3-2E89-17F5DE8A67A7}"/>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04800" y="19392900"/>
          <a:ext cx="4408725" cy="5582745"/>
        </a:xfrm>
        <a:prstGeom prst="rect">
          <a:avLst/>
        </a:prstGeom>
      </xdr:spPr>
    </xdr:pic>
    <xdr:clientData/>
  </xdr:twoCellAnchor>
  <xdr:twoCellAnchor editAs="oneCell">
    <xdr:from>
      <xdr:col>16</xdr:col>
      <xdr:colOff>226200</xdr:colOff>
      <xdr:row>100</xdr:row>
      <xdr:rowOff>16651</xdr:rowOff>
    </xdr:from>
    <xdr:to>
      <xdr:col>31</xdr:col>
      <xdr:colOff>62925</xdr:colOff>
      <xdr:row>126</xdr:row>
      <xdr:rowOff>152080</xdr:rowOff>
    </xdr:to>
    <xdr:pic>
      <xdr:nvPicPr>
        <xdr:cNvPr id="10" name="Obrázek 9">
          <a:extLst>
            <a:ext uri="{FF2B5EF4-FFF2-40B4-BE49-F238E27FC236}">
              <a16:creationId xmlns:a16="http://schemas.microsoft.com/office/drawing/2014/main" id="{0CE9BCA7-413E-F8E7-E9DC-BC3C29E1FA54}"/>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103000" y="19409551"/>
          <a:ext cx="4408725" cy="5583729"/>
        </a:xfrm>
        <a:prstGeom prst="rect">
          <a:avLst/>
        </a:prstGeom>
      </xdr:spPr>
    </xdr:pic>
    <xdr:clientData/>
  </xdr:twoCellAnchor>
  <xdr:twoCellAnchor editAs="oneCell">
    <xdr:from>
      <xdr:col>32</xdr:col>
      <xdr:colOff>204750</xdr:colOff>
      <xdr:row>100</xdr:row>
      <xdr:rowOff>16971</xdr:rowOff>
    </xdr:from>
    <xdr:to>
      <xdr:col>47</xdr:col>
      <xdr:colOff>41475</xdr:colOff>
      <xdr:row>126</xdr:row>
      <xdr:rowOff>152400</xdr:rowOff>
    </xdr:to>
    <xdr:pic>
      <xdr:nvPicPr>
        <xdr:cNvPr id="15" name="Obrázek 14">
          <a:extLst>
            <a:ext uri="{FF2B5EF4-FFF2-40B4-BE49-F238E27FC236}">
              <a16:creationId xmlns:a16="http://schemas.microsoft.com/office/drawing/2014/main" id="{024FF8BA-5C00-15C4-4009-AD3D062FB54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958350" y="19409871"/>
          <a:ext cx="4408725" cy="5583729"/>
        </a:xfrm>
        <a:prstGeom prst="rect">
          <a:avLst/>
        </a:prstGeom>
      </xdr:spPr>
    </xdr:pic>
    <xdr:clientData/>
  </xdr:twoCellAnchor>
  <xdr:twoCellAnchor editAs="oneCell">
    <xdr:from>
      <xdr:col>0</xdr:col>
      <xdr:colOff>0</xdr:colOff>
      <xdr:row>4</xdr:row>
      <xdr:rowOff>142875</xdr:rowOff>
    </xdr:from>
    <xdr:to>
      <xdr:col>50</xdr:col>
      <xdr:colOff>0</xdr:colOff>
      <xdr:row>28</xdr:row>
      <xdr:rowOff>28575</xdr:rowOff>
    </xdr:to>
    <xdr:pic>
      <xdr:nvPicPr>
        <xdr:cNvPr id="4" name="Obrázek 3">
          <a:extLst>
            <a:ext uri="{FF2B5EF4-FFF2-40B4-BE49-F238E27FC236}">
              <a16:creationId xmlns:a16="http://schemas.microsoft.com/office/drawing/2014/main" id="{C3EC4968-E43C-FAD8-3962-9C3E6C96FDA1}"/>
            </a:ext>
          </a:extLst>
        </xdr:cNvPr>
        <xdr:cNvPicPr>
          <a:picLocks noChangeAspect="1"/>
        </xdr:cNvPicPr>
      </xdr:nvPicPr>
      <xdr:blipFill>
        <a:blip xmlns:r="http://schemas.openxmlformats.org/officeDocument/2006/relationships" r:embed="rId38"/>
        <a:stretch>
          <a:fillRect/>
        </a:stretch>
      </xdr:blipFill>
      <xdr:spPr>
        <a:xfrm>
          <a:off x="0" y="809625"/>
          <a:ext cx="14763750" cy="42481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894" name="Obrázek 56">
              <a:extLst>
                <a:ext uri="{FF2B5EF4-FFF2-40B4-BE49-F238E27FC236}">
                  <a16:creationId xmlns:a16="http://schemas.microsoft.com/office/drawing/2014/main" id="{7B1804A5-B877-27CB-F971-32D56825B409}"/>
                </a:ext>
              </a:extLst>
            </xdr:cNvPr>
            <xdr:cNvPicPr>
              <a:picLocks noChangeAspect="1" noChangeArrowheads="1"/>
              <a:extLst>
                <a:ext uri="{84589F7E-364E-4C9E-8A38-B11213B215E9}">
                  <a14:cameraTool cellRange="Ram_1!$S$25" spid="_x0000_s2716237"/>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895" name="Obrázek 57">
              <a:extLst>
                <a:ext uri="{FF2B5EF4-FFF2-40B4-BE49-F238E27FC236}">
                  <a16:creationId xmlns:a16="http://schemas.microsoft.com/office/drawing/2014/main" id="{AD34EDF2-EAEB-CD54-FFB7-FF5B9DB93F02}"/>
                </a:ext>
              </a:extLst>
            </xdr:cNvPr>
            <xdr:cNvPicPr>
              <a:picLocks noChangeAspect="1" noChangeArrowheads="1"/>
              <a:extLst>
                <a:ext uri="{84589F7E-364E-4C9E-8A38-B11213B215E9}">
                  <a14:cameraTool cellRange="Ram_2!$AA$6:$AP$28" spid="_x0000_s2716238"/>
                </a:ext>
              </a:extLst>
            </xdr:cNvPicPr>
          </xdr:nvPicPr>
          <xdr:blipFill>
            <a:blip xmlns:r="http://schemas.openxmlformats.org/officeDocument/2006/relationships" r:embed="rId2"/>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896" name="Obrázek 59">
              <a:extLst>
                <a:ext uri="{FF2B5EF4-FFF2-40B4-BE49-F238E27FC236}">
                  <a16:creationId xmlns:a16="http://schemas.microsoft.com/office/drawing/2014/main" id="{CAE1EE01-07AB-88E1-E27D-A06B37A2C272}"/>
                </a:ext>
              </a:extLst>
            </xdr:cNvPr>
            <xdr:cNvPicPr>
              <a:picLocks noChangeAspect="1" noChangeArrowheads="1"/>
              <a:extLst>
                <a:ext uri="{84589F7E-364E-4C9E-8A38-B11213B215E9}">
                  <a14:cameraTool cellRange="Ram_3!$AA$6:$AP$28" spid="_x0000_s2716239"/>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897" name="Obrázek 61">
              <a:extLst>
                <a:ext uri="{FF2B5EF4-FFF2-40B4-BE49-F238E27FC236}">
                  <a16:creationId xmlns:a16="http://schemas.microsoft.com/office/drawing/2014/main" id="{F5EF351C-0007-B83C-29FA-813B5C08ADB7}"/>
                </a:ext>
              </a:extLst>
            </xdr:cNvPr>
            <xdr:cNvPicPr>
              <a:picLocks noChangeAspect="1" noChangeArrowheads="1"/>
              <a:extLst>
                <a:ext uri="{84589F7E-364E-4C9E-8A38-B11213B215E9}">
                  <a14:cameraTool cellRange="Ram_4!$AA$6:$AP$28" spid="_x0000_s2716240"/>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898" name="Obrázek 63">
              <a:extLst>
                <a:ext uri="{FF2B5EF4-FFF2-40B4-BE49-F238E27FC236}">
                  <a16:creationId xmlns:a16="http://schemas.microsoft.com/office/drawing/2014/main" id="{B7BB7008-8A55-F545-9AA9-6F82B10063C3}"/>
                </a:ext>
              </a:extLst>
            </xdr:cNvPr>
            <xdr:cNvPicPr>
              <a:picLocks noChangeAspect="1" noChangeArrowheads="1"/>
              <a:extLst>
                <a:ext uri="{84589F7E-364E-4C9E-8A38-B11213B215E9}">
                  <a14:cameraTool cellRange="Ram_5!$AA$6:$AP$28" spid="_x0000_s2716241"/>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899" name="Obrázek 65">
              <a:extLst>
                <a:ext uri="{FF2B5EF4-FFF2-40B4-BE49-F238E27FC236}">
                  <a16:creationId xmlns:a16="http://schemas.microsoft.com/office/drawing/2014/main" id="{577C1F56-2F11-51B6-A46C-D200BBD77EBD}"/>
                </a:ext>
              </a:extLst>
            </xdr:cNvPr>
            <xdr:cNvPicPr>
              <a:picLocks noChangeAspect="1" noChangeArrowheads="1"/>
              <a:extLst>
                <a:ext uri="{84589F7E-364E-4C9E-8A38-B11213B215E9}">
                  <a14:cameraTool cellRange="Ram_6!$AA$6:$AP$28" spid="_x0000_s2716242"/>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00" name="Obrázek 68">
              <a:extLst>
                <a:ext uri="{FF2B5EF4-FFF2-40B4-BE49-F238E27FC236}">
                  <a16:creationId xmlns:a16="http://schemas.microsoft.com/office/drawing/2014/main" id="{CCD973EE-F68F-7D7F-D9F6-BAAAC95279B9}"/>
                </a:ext>
              </a:extLst>
            </xdr:cNvPr>
            <xdr:cNvPicPr>
              <a:picLocks noChangeAspect="1" noChangeArrowheads="1"/>
              <a:extLst>
                <a:ext uri="{84589F7E-364E-4C9E-8A38-B11213B215E9}">
                  <a14:cameraTool cellRange="Ram_1!$S$25" spid="_x0000_s2716243"/>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01" name="Obrázek 69">
              <a:extLst>
                <a:ext uri="{FF2B5EF4-FFF2-40B4-BE49-F238E27FC236}">
                  <a16:creationId xmlns:a16="http://schemas.microsoft.com/office/drawing/2014/main" id="{784B27AE-98C9-ACD4-D0C0-466004F9C323}"/>
                </a:ext>
              </a:extLst>
            </xdr:cNvPr>
            <xdr:cNvPicPr>
              <a:picLocks noChangeAspect="1" noChangeArrowheads="1"/>
              <a:extLst>
                <a:ext uri="{84589F7E-364E-4C9E-8A38-B11213B215E9}">
                  <a14:cameraTool cellRange="Ram_2!$S$25" spid="_x0000_s2716244"/>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02" name="Obrázek 70">
              <a:extLst>
                <a:ext uri="{FF2B5EF4-FFF2-40B4-BE49-F238E27FC236}">
                  <a16:creationId xmlns:a16="http://schemas.microsoft.com/office/drawing/2014/main" id="{8595104B-0917-70A4-E753-95B8576D60D4}"/>
                </a:ext>
              </a:extLst>
            </xdr:cNvPr>
            <xdr:cNvPicPr>
              <a:picLocks noChangeAspect="1" noChangeArrowheads="1"/>
              <a:extLst>
                <a:ext uri="{84589F7E-364E-4C9E-8A38-B11213B215E9}">
                  <a14:cameraTool cellRange="Ram_3!$S$25" spid="_x0000_s2716245"/>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03" name="Obrázek 71">
              <a:extLst>
                <a:ext uri="{FF2B5EF4-FFF2-40B4-BE49-F238E27FC236}">
                  <a16:creationId xmlns:a16="http://schemas.microsoft.com/office/drawing/2014/main" id="{74C8425C-89E3-BB06-33FA-7C78F7F8794A}"/>
                </a:ext>
              </a:extLst>
            </xdr:cNvPr>
            <xdr:cNvPicPr>
              <a:picLocks noChangeAspect="1" noChangeArrowheads="1"/>
              <a:extLst>
                <a:ext uri="{84589F7E-364E-4C9E-8A38-B11213B215E9}">
                  <a14:cameraTool cellRange="Ram_4!$S$25" spid="_x0000_s2716246"/>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04" name="Obrázek 72">
              <a:extLst>
                <a:ext uri="{FF2B5EF4-FFF2-40B4-BE49-F238E27FC236}">
                  <a16:creationId xmlns:a16="http://schemas.microsoft.com/office/drawing/2014/main" id="{47404AB4-206C-19CD-8E61-8ED0A6FDD8A4}"/>
                </a:ext>
              </a:extLst>
            </xdr:cNvPr>
            <xdr:cNvPicPr>
              <a:picLocks noChangeAspect="1" noChangeArrowheads="1"/>
              <a:extLst>
                <a:ext uri="{84589F7E-364E-4C9E-8A38-B11213B215E9}">
                  <a14:cameraTool cellRange="Ram_5!$S$25" spid="_x0000_s2716247"/>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05" name="Obrázek 74">
              <a:extLst>
                <a:ext uri="{FF2B5EF4-FFF2-40B4-BE49-F238E27FC236}">
                  <a16:creationId xmlns:a16="http://schemas.microsoft.com/office/drawing/2014/main" id="{04B40F68-6271-9FA2-42F7-2116A8DB0723}"/>
                </a:ext>
              </a:extLst>
            </xdr:cNvPr>
            <xdr:cNvPicPr>
              <a:picLocks noChangeAspect="1" noChangeArrowheads="1"/>
              <a:extLst>
                <a:ext uri="{84589F7E-364E-4C9E-8A38-B11213B215E9}">
                  <a14:cameraTool cellRange="Ram_1!$AA$6:$AP$28" spid="_x0000_s2716248"/>
                </a:ext>
              </a:extLst>
            </xdr:cNvPicPr>
          </xdr:nvPicPr>
          <xdr:blipFill>
            <a:blip xmlns:r="http://schemas.openxmlformats.org/officeDocument/2006/relationships" r:embed="rId8"/>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06" name="Obrázek 75">
              <a:extLst>
                <a:ext uri="{FF2B5EF4-FFF2-40B4-BE49-F238E27FC236}">
                  <a16:creationId xmlns:a16="http://schemas.microsoft.com/office/drawing/2014/main" id="{C9E53041-32BA-2F96-5694-9C7EA42A7B78}"/>
                </a:ext>
              </a:extLst>
            </xdr:cNvPr>
            <xdr:cNvPicPr>
              <a:picLocks noChangeAspect="1" noChangeArrowheads="1"/>
              <a:extLst>
                <a:ext uri="{84589F7E-364E-4C9E-8A38-B11213B215E9}">
                  <a14:cameraTool cellRange="Ram_6!$S$25" spid="_x0000_s2716249"/>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34290</xdr:rowOff>
        </xdr:to>
        <xdr:pic>
          <xdr:nvPicPr>
            <xdr:cNvPr id="940907" name="Obrázek 56">
              <a:extLst>
                <a:ext uri="{FF2B5EF4-FFF2-40B4-BE49-F238E27FC236}">
                  <a16:creationId xmlns:a16="http://schemas.microsoft.com/office/drawing/2014/main" id="{45F4142B-F844-8BE0-B516-D8135C7F362A}"/>
                </a:ext>
              </a:extLst>
            </xdr:cNvPr>
            <xdr:cNvPicPr>
              <a:picLocks noChangeAspect="1" noChangeArrowheads="1"/>
              <a:extLst>
                <a:ext uri="{84589F7E-364E-4C9E-8A38-B11213B215E9}">
                  <a14:cameraTool cellRange="Ram_1!$S$25" spid="_x0000_s2716250"/>
                </a:ext>
              </a:extLst>
            </xdr:cNvPicPr>
          </xdr:nvPicPr>
          <xdr:blipFill>
            <a:blip xmlns:r="http://schemas.openxmlformats.org/officeDocument/2006/relationships" r:embed="rId1"/>
            <a:srcRect/>
            <a:stretch>
              <a:fillRect/>
            </a:stretch>
          </xdr:blipFill>
          <xdr:spPr bwMode="auto">
            <a:xfrm>
              <a:off x="6829425" y="6667500"/>
              <a:ext cx="2447925"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940908" name="Obrázek 57">
              <a:extLst>
                <a:ext uri="{FF2B5EF4-FFF2-40B4-BE49-F238E27FC236}">
                  <a16:creationId xmlns:a16="http://schemas.microsoft.com/office/drawing/2014/main" id="{A14918F6-7F55-C3F8-5856-46B3AF761F86}"/>
                </a:ext>
              </a:extLst>
            </xdr:cNvPr>
            <xdr:cNvPicPr>
              <a:picLocks noChangeAspect="1" noChangeArrowheads="1"/>
              <a:extLst>
                <a:ext uri="{84589F7E-364E-4C9E-8A38-B11213B215E9}">
                  <a14:cameraTool cellRange="Ram_2!$AA$6:$AP$28" spid="_x0000_s2716251"/>
                </a:ext>
              </a:extLst>
            </xdr:cNvPicPr>
          </xdr:nvPicPr>
          <xdr:blipFill>
            <a:blip xmlns:r="http://schemas.openxmlformats.org/officeDocument/2006/relationships" r:embed="rId9"/>
            <a:srcRect/>
            <a:stretch>
              <a:fillRect/>
            </a:stretch>
          </xdr:blipFill>
          <xdr:spPr bwMode="auto">
            <a:xfrm>
              <a:off x="590550" y="91535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940909" name="Obrázek 59">
              <a:extLst>
                <a:ext uri="{FF2B5EF4-FFF2-40B4-BE49-F238E27FC236}">
                  <a16:creationId xmlns:a16="http://schemas.microsoft.com/office/drawing/2014/main" id="{85B8CBAC-F0E5-37F0-101A-67F95AD7E394}"/>
                </a:ext>
              </a:extLst>
            </xdr:cNvPr>
            <xdr:cNvPicPr>
              <a:picLocks noChangeAspect="1" noChangeArrowheads="1"/>
              <a:extLst>
                <a:ext uri="{84589F7E-364E-4C9E-8A38-B11213B215E9}">
                  <a14:cameraTool cellRange="Ram_3!$AA$6:$AP$28" spid="_x0000_s2716252"/>
                </a:ext>
              </a:extLst>
            </xdr:cNvPicPr>
          </xdr:nvPicPr>
          <xdr:blipFill>
            <a:blip xmlns:r="http://schemas.openxmlformats.org/officeDocument/2006/relationships" r:embed="rId3"/>
            <a:srcRect/>
            <a:stretch>
              <a:fillRect/>
            </a:stretch>
          </xdr:blipFill>
          <xdr:spPr bwMode="auto">
            <a:xfrm>
              <a:off x="590550" y="164306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940910" name="Obrázek 61">
              <a:extLst>
                <a:ext uri="{FF2B5EF4-FFF2-40B4-BE49-F238E27FC236}">
                  <a16:creationId xmlns:a16="http://schemas.microsoft.com/office/drawing/2014/main" id="{4D505E43-3DD0-4F34-6142-8C73D9AEEB45}"/>
                </a:ext>
              </a:extLst>
            </xdr:cNvPr>
            <xdr:cNvPicPr>
              <a:picLocks noChangeAspect="1" noChangeArrowheads="1"/>
              <a:extLst>
                <a:ext uri="{84589F7E-364E-4C9E-8A38-B11213B215E9}">
                  <a14:cameraTool cellRange="Ram_4!$AA$6:$AP$28" spid="_x0000_s2716253"/>
                </a:ext>
              </a:extLst>
            </xdr:cNvPicPr>
          </xdr:nvPicPr>
          <xdr:blipFill>
            <a:blip xmlns:r="http://schemas.openxmlformats.org/officeDocument/2006/relationships" r:embed="rId4"/>
            <a:srcRect/>
            <a:stretch>
              <a:fillRect/>
            </a:stretch>
          </xdr:blipFill>
          <xdr:spPr bwMode="auto">
            <a:xfrm>
              <a:off x="590550" y="237077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940911" name="Obrázek 63">
              <a:extLst>
                <a:ext uri="{FF2B5EF4-FFF2-40B4-BE49-F238E27FC236}">
                  <a16:creationId xmlns:a16="http://schemas.microsoft.com/office/drawing/2014/main" id="{116EFD08-BE0A-71DF-CA1B-B0D25DF15B45}"/>
                </a:ext>
              </a:extLst>
            </xdr:cNvPr>
            <xdr:cNvPicPr>
              <a:picLocks noChangeAspect="1" noChangeArrowheads="1"/>
              <a:extLst>
                <a:ext uri="{84589F7E-364E-4C9E-8A38-B11213B215E9}">
                  <a14:cameraTool cellRange="Ram_5!$AA$6:$AP$28" spid="_x0000_s2716254"/>
                </a:ext>
              </a:extLst>
            </xdr:cNvPicPr>
          </xdr:nvPicPr>
          <xdr:blipFill>
            <a:blip xmlns:r="http://schemas.openxmlformats.org/officeDocument/2006/relationships" r:embed="rId5"/>
            <a:srcRect/>
            <a:stretch>
              <a:fillRect/>
            </a:stretch>
          </xdr:blipFill>
          <xdr:spPr bwMode="auto">
            <a:xfrm>
              <a:off x="590550" y="309848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940912" name="Obrázek 65">
              <a:extLst>
                <a:ext uri="{FF2B5EF4-FFF2-40B4-BE49-F238E27FC236}">
                  <a16:creationId xmlns:a16="http://schemas.microsoft.com/office/drawing/2014/main" id="{160B150F-AD53-AE42-14E1-FA5B4C7F82F2}"/>
                </a:ext>
              </a:extLst>
            </xdr:cNvPr>
            <xdr:cNvPicPr>
              <a:picLocks noChangeAspect="1" noChangeArrowheads="1"/>
              <a:extLst>
                <a:ext uri="{84589F7E-364E-4C9E-8A38-B11213B215E9}">
                  <a14:cameraTool cellRange="Ram_6!$AA$6:$AP$28" spid="_x0000_s2716255"/>
                </a:ext>
              </a:extLst>
            </xdr:cNvPicPr>
          </xdr:nvPicPr>
          <xdr:blipFill>
            <a:blip xmlns:r="http://schemas.openxmlformats.org/officeDocument/2006/relationships" r:embed="rId6"/>
            <a:srcRect/>
            <a:stretch>
              <a:fillRect/>
            </a:stretch>
          </xdr:blipFill>
          <xdr:spPr bwMode="auto">
            <a:xfrm>
              <a:off x="590550" y="382619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1361</xdr:colOff>
          <xdr:row>225</xdr:row>
          <xdr:rowOff>41638</xdr:rowOff>
        </xdr:to>
        <xdr:pic>
          <xdr:nvPicPr>
            <xdr:cNvPr id="940913" name="Obrázek 68">
              <a:extLst>
                <a:ext uri="{FF2B5EF4-FFF2-40B4-BE49-F238E27FC236}">
                  <a16:creationId xmlns:a16="http://schemas.microsoft.com/office/drawing/2014/main" id="{D2DFC04D-1874-38D1-49CC-8409395B682D}"/>
                </a:ext>
              </a:extLst>
            </xdr:cNvPr>
            <xdr:cNvPicPr>
              <a:picLocks noChangeAspect="1" noChangeArrowheads="1"/>
              <a:extLst>
                <a:ext uri="{84589F7E-364E-4C9E-8A38-B11213B215E9}">
                  <a14:cameraTool cellRange="Ram_1!$S$25" spid="_x0000_s2716256"/>
                </a:ext>
              </a:extLst>
            </xdr:cNvPicPr>
          </xdr:nvPicPr>
          <xdr:blipFill>
            <a:blip xmlns:r="http://schemas.openxmlformats.org/officeDocument/2006/relationships" r:embed="rId1"/>
            <a:srcRect/>
            <a:stretch>
              <a:fillRect/>
            </a:stretch>
          </xdr:blipFill>
          <xdr:spPr bwMode="auto">
            <a:xfrm>
              <a:off x="7038975" y="46394914"/>
              <a:ext cx="381000" cy="2286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940914" name="Obrázek 69">
              <a:extLst>
                <a:ext uri="{FF2B5EF4-FFF2-40B4-BE49-F238E27FC236}">
                  <a16:creationId xmlns:a16="http://schemas.microsoft.com/office/drawing/2014/main" id="{C1F840AA-089B-7E6B-C626-750C1DA45FE7}"/>
                </a:ext>
              </a:extLst>
            </xdr:cNvPr>
            <xdr:cNvPicPr>
              <a:picLocks noChangeAspect="1" noChangeArrowheads="1"/>
              <a:extLst>
                <a:ext uri="{84589F7E-364E-4C9E-8A38-B11213B215E9}">
                  <a14:cameraTool cellRange="Ram_2!$S$25" spid="_x0000_s2716257"/>
                </a:ext>
              </a:extLst>
            </xdr:cNvPicPr>
          </xdr:nvPicPr>
          <xdr:blipFill>
            <a:blip xmlns:r="http://schemas.openxmlformats.org/officeDocument/2006/relationships" r:embed="rId7"/>
            <a:srcRect/>
            <a:stretch>
              <a:fillRect/>
            </a:stretch>
          </xdr:blipFill>
          <xdr:spPr bwMode="auto">
            <a:xfrm>
              <a:off x="6800850" y="139160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940915" name="Obrázek 70">
              <a:extLst>
                <a:ext uri="{FF2B5EF4-FFF2-40B4-BE49-F238E27FC236}">
                  <a16:creationId xmlns:a16="http://schemas.microsoft.com/office/drawing/2014/main" id="{36C6F3D5-9F5C-01FA-D5B4-368C8E8A4031}"/>
                </a:ext>
              </a:extLst>
            </xdr:cNvPr>
            <xdr:cNvPicPr>
              <a:picLocks noChangeAspect="1" noChangeArrowheads="1"/>
              <a:extLst>
                <a:ext uri="{84589F7E-364E-4C9E-8A38-B11213B215E9}">
                  <a14:cameraTool cellRange="Ram_3!$S$25" spid="_x0000_s2716258"/>
                </a:ext>
              </a:extLst>
            </xdr:cNvPicPr>
          </xdr:nvPicPr>
          <xdr:blipFill>
            <a:blip xmlns:r="http://schemas.openxmlformats.org/officeDocument/2006/relationships" r:embed="rId7"/>
            <a:srcRect/>
            <a:stretch>
              <a:fillRect/>
            </a:stretch>
          </xdr:blipFill>
          <xdr:spPr bwMode="auto">
            <a:xfrm>
              <a:off x="6800850" y="211931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940916" name="Obrázek 71">
              <a:extLst>
                <a:ext uri="{FF2B5EF4-FFF2-40B4-BE49-F238E27FC236}">
                  <a16:creationId xmlns:a16="http://schemas.microsoft.com/office/drawing/2014/main" id="{1D726634-411C-B4B4-5AA0-FE33E4815FD8}"/>
                </a:ext>
              </a:extLst>
            </xdr:cNvPr>
            <xdr:cNvPicPr>
              <a:picLocks noChangeAspect="1" noChangeArrowheads="1"/>
              <a:extLst>
                <a:ext uri="{84589F7E-364E-4C9E-8A38-B11213B215E9}">
                  <a14:cameraTool cellRange="Ram_4!$S$25" spid="_x0000_s2716259"/>
                </a:ext>
              </a:extLst>
            </xdr:cNvPicPr>
          </xdr:nvPicPr>
          <xdr:blipFill>
            <a:blip xmlns:r="http://schemas.openxmlformats.org/officeDocument/2006/relationships" r:embed="rId7"/>
            <a:srcRect/>
            <a:stretch>
              <a:fillRect/>
            </a:stretch>
          </xdr:blipFill>
          <xdr:spPr bwMode="auto">
            <a:xfrm>
              <a:off x="6800850" y="284702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184</xdr:row>
          <xdr:rowOff>265043</xdr:rowOff>
        </xdr:to>
        <xdr:pic>
          <xdr:nvPicPr>
            <xdr:cNvPr id="940917" name="Obrázek 72">
              <a:extLst>
                <a:ext uri="{FF2B5EF4-FFF2-40B4-BE49-F238E27FC236}">
                  <a16:creationId xmlns:a16="http://schemas.microsoft.com/office/drawing/2014/main" id="{83C63EC4-AF79-99B4-62F7-AFFA35AC58A9}"/>
                </a:ext>
              </a:extLst>
            </xdr:cNvPr>
            <xdr:cNvPicPr>
              <a:picLocks noChangeAspect="1" noChangeArrowheads="1"/>
              <a:extLst>
                <a:ext uri="{84589F7E-364E-4C9E-8A38-B11213B215E9}">
                  <a14:cameraTool cellRange="Ram_5!$S$25" spid="_x0000_s2716260"/>
                </a:ext>
              </a:extLst>
            </xdr:cNvPicPr>
          </xdr:nvPicPr>
          <xdr:blipFill>
            <a:blip xmlns:r="http://schemas.openxmlformats.org/officeDocument/2006/relationships" r:embed="rId7"/>
            <a:srcRect/>
            <a:stretch>
              <a:fillRect/>
            </a:stretch>
          </xdr:blipFill>
          <xdr:spPr bwMode="auto">
            <a:xfrm>
              <a:off x="6800850" y="357473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940918" name="Obrázek 74">
              <a:extLst>
                <a:ext uri="{FF2B5EF4-FFF2-40B4-BE49-F238E27FC236}">
                  <a16:creationId xmlns:a16="http://schemas.microsoft.com/office/drawing/2014/main" id="{B63BE836-B7EE-107A-D654-102160D1AE6A}"/>
                </a:ext>
              </a:extLst>
            </xdr:cNvPr>
            <xdr:cNvPicPr>
              <a:picLocks noChangeAspect="1" noChangeArrowheads="1"/>
              <a:extLst>
                <a:ext uri="{84589F7E-364E-4C9E-8A38-B11213B215E9}">
                  <a14:cameraTool cellRange="Ram_1!$AA$6:$AP$28" spid="_x0000_s2716261"/>
                </a:ext>
              </a:extLst>
            </xdr:cNvPicPr>
          </xdr:nvPicPr>
          <xdr:blipFill>
            <a:blip xmlns:r="http://schemas.openxmlformats.org/officeDocument/2006/relationships" r:embed="rId10"/>
            <a:srcRect/>
            <a:stretch>
              <a:fillRect/>
            </a:stretch>
          </xdr:blipFill>
          <xdr:spPr bwMode="auto">
            <a:xfrm>
              <a:off x="590550" y="1876425"/>
              <a:ext cx="4772025" cy="51244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220</xdr:row>
          <xdr:rowOff>247377</xdr:rowOff>
        </xdr:to>
        <xdr:pic>
          <xdr:nvPicPr>
            <xdr:cNvPr id="940919" name="Obrázek 75">
              <a:extLst>
                <a:ext uri="{FF2B5EF4-FFF2-40B4-BE49-F238E27FC236}">
                  <a16:creationId xmlns:a16="http://schemas.microsoft.com/office/drawing/2014/main" id="{2A508825-2F8A-70AE-75FD-8F525309D391}"/>
                </a:ext>
              </a:extLst>
            </xdr:cNvPr>
            <xdr:cNvPicPr>
              <a:picLocks noChangeAspect="1" noChangeArrowheads="1"/>
              <a:extLst>
                <a:ext uri="{84589F7E-364E-4C9E-8A38-B11213B215E9}">
                  <a14:cameraTool cellRange="Ram_6!$S$25" spid="_x0000_s2716262"/>
                </a:ext>
              </a:extLst>
            </xdr:cNvPicPr>
          </xdr:nvPicPr>
          <xdr:blipFill>
            <a:blip xmlns:r="http://schemas.openxmlformats.org/officeDocument/2006/relationships" r:embed="rId7"/>
            <a:srcRect/>
            <a:stretch>
              <a:fillRect/>
            </a:stretch>
          </xdr:blipFill>
          <xdr:spPr bwMode="auto">
            <a:xfrm>
              <a:off x="6800850" y="43024425"/>
              <a:ext cx="2476500" cy="15335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293" name="Obrázek 56">
              <a:extLst>
                <a:ext uri="{FF2B5EF4-FFF2-40B4-BE49-F238E27FC236}">
                  <a16:creationId xmlns:a16="http://schemas.microsoft.com/office/drawing/2014/main" id="{22A46FB8-4B91-9EBC-0888-8A30242155BC}"/>
                </a:ext>
              </a:extLst>
            </xdr:cNvPr>
            <xdr:cNvPicPr>
              <a:picLocks noChangeAspect="1" noChangeArrowheads="1"/>
              <a:extLst>
                <a:ext uri="{84589F7E-364E-4C9E-8A38-B11213B215E9}">
                  <a14:cameraTool cellRange="Ram_1!$S$25" spid="_x0000_s2716263"/>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294" name="Obrázek 57">
              <a:extLst>
                <a:ext uri="{FF2B5EF4-FFF2-40B4-BE49-F238E27FC236}">
                  <a16:creationId xmlns:a16="http://schemas.microsoft.com/office/drawing/2014/main" id="{73157FBA-1AA1-C9DD-693A-96FAC66A6164}"/>
                </a:ext>
              </a:extLst>
            </xdr:cNvPr>
            <xdr:cNvPicPr>
              <a:picLocks noChangeAspect="1" noChangeArrowheads="1"/>
              <a:extLst>
                <a:ext uri="{84589F7E-364E-4C9E-8A38-B11213B215E9}">
                  <a14:cameraTool cellRange="Ram_2!$AA$6:$AP$28" spid="_x0000_s2716264"/>
                </a:ext>
              </a:extLst>
            </xdr:cNvPicPr>
          </xdr:nvPicPr>
          <xdr:blipFill>
            <a:blip xmlns:r="http://schemas.openxmlformats.org/officeDocument/2006/relationships" r:embed="rId9"/>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295" name="Obrázek 59">
              <a:extLst>
                <a:ext uri="{FF2B5EF4-FFF2-40B4-BE49-F238E27FC236}">
                  <a16:creationId xmlns:a16="http://schemas.microsoft.com/office/drawing/2014/main" id="{080BFFA1-65A7-9D21-316E-734122A55440}"/>
                </a:ext>
              </a:extLst>
            </xdr:cNvPr>
            <xdr:cNvPicPr>
              <a:picLocks noChangeAspect="1" noChangeArrowheads="1"/>
              <a:extLst>
                <a:ext uri="{84589F7E-364E-4C9E-8A38-B11213B215E9}">
                  <a14:cameraTool cellRange="Ram_3!$AA$6:$AP$28" spid="_x0000_s2716265"/>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296" name="Obrázek 61">
              <a:extLst>
                <a:ext uri="{FF2B5EF4-FFF2-40B4-BE49-F238E27FC236}">
                  <a16:creationId xmlns:a16="http://schemas.microsoft.com/office/drawing/2014/main" id="{0065B5F1-D421-4577-84E1-7933DEC142C5}"/>
                </a:ext>
              </a:extLst>
            </xdr:cNvPr>
            <xdr:cNvPicPr>
              <a:picLocks noChangeAspect="1" noChangeArrowheads="1"/>
              <a:extLst>
                <a:ext uri="{84589F7E-364E-4C9E-8A38-B11213B215E9}">
                  <a14:cameraTool cellRange="Ram_4!$AA$6:$AP$28" spid="_x0000_s2716266"/>
                </a:ext>
              </a:extLst>
            </xdr:cNvPicPr>
          </xdr:nvPicPr>
          <xdr:blipFill>
            <a:blip xmlns:r="http://schemas.openxmlformats.org/officeDocument/2006/relationships" r:embed="rId4"/>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297" name="Obrázek 63">
              <a:extLst>
                <a:ext uri="{FF2B5EF4-FFF2-40B4-BE49-F238E27FC236}">
                  <a16:creationId xmlns:a16="http://schemas.microsoft.com/office/drawing/2014/main" id="{BD4752B0-D83D-5396-EF46-08CDCFD8723D}"/>
                </a:ext>
              </a:extLst>
            </xdr:cNvPr>
            <xdr:cNvPicPr>
              <a:picLocks noChangeAspect="1" noChangeArrowheads="1"/>
              <a:extLst>
                <a:ext uri="{84589F7E-364E-4C9E-8A38-B11213B215E9}">
                  <a14:cameraTool cellRange="Ram_5!$AA$6:$AP$28" spid="_x0000_s2716267"/>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298" name="Obrázek 65">
              <a:extLst>
                <a:ext uri="{FF2B5EF4-FFF2-40B4-BE49-F238E27FC236}">
                  <a16:creationId xmlns:a16="http://schemas.microsoft.com/office/drawing/2014/main" id="{CEDB763C-CE5B-A91C-FF56-A3B86C4DAA54}"/>
                </a:ext>
              </a:extLst>
            </xdr:cNvPr>
            <xdr:cNvPicPr>
              <a:picLocks noChangeAspect="1" noChangeArrowheads="1"/>
              <a:extLst>
                <a:ext uri="{84589F7E-364E-4C9E-8A38-B11213B215E9}">
                  <a14:cameraTool cellRange="Ram_6!$AA$6:$AP$28" spid="_x0000_s2716268"/>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299" name="Obrázek 68">
              <a:extLst>
                <a:ext uri="{FF2B5EF4-FFF2-40B4-BE49-F238E27FC236}">
                  <a16:creationId xmlns:a16="http://schemas.microsoft.com/office/drawing/2014/main" id="{1D516C6A-381C-0E8E-3A09-2D49D45D0AE9}"/>
                </a:ext>
              </a:extLst>
            </xdr:cNvPr>
            <xdr:cNvPicPr>
              <a:picLocks noChangeAspect="1" noChangeArrowheads="1"/>
              <a:extLst>
                <a:ext uri="{84589F7E-364E-4C9E-8A38-B11213B215E9}">
                  <a14:cameraTool cellRange="Ram_1!$S$25" spid="_x0000_s2716269"/>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00" name="Obrázek 69">
              <a:extLst>
                <a:ext uri="{FF2B5EF4-FFF2-40B4-BE49-F238E27FC236}">
                  <a16:creationId xmlns:a16="http://schemas.microsoft.com/office/drawing/2014/main" id="{BB29CE12-880A-9ACA-1377-7A78B9C21947}"/>
                </a:ext>
              </a:extLst>
            </xdr:cNvPr>
            <xdr:cNvPicPr>
              <a:picLocks noChangeAspect="1" noChangeArrowheads="1"/>
              <a:extLst>
                <a:ext uri="{84589F7E-364E-4C9E-8A38-B11213B215E9}">
                  <a14:cameraTool cellRange="Ram_2!$S$25" spid="_x0000_s2716270"/>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01" name="Obrázek 70">
              <a:extLst>
                <a:ext uri="{FF2B5EF4-FFF2-40B4-BE49-F238E27FC236}">
                  <a16:creationId xmlns:a16="http://schemas.microsoft.com/office/drawing/2014/main" id="{AFB73532-1EFC-F47E-5732-4F05D9D729D6}"/>
                </a:ext>
              </a:extLst>
            </xdr:cNvPr>
            <xdr:cNvPicPr>
              <a:picLocks noChangeAspect="1" noChangeArrowheads="1"/>
              <a:extLst>
                <a:ext uri="{84589F7E-364E-4C9E-8A38-B11213B215E9}">
                  <a14:cameraTool cellRange="Ram_3!$S$25" spid="_x0000_s2716271"/>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02" name="Obrázek 71">
              <a:extLst>
                <a:ext uri="{FF2B5EF4-FFF2-40B4-BE49-F238E27FC236}">
                  <a16:creationId xmlns:a16="http://schemas.microsoft.com/office/drawing/2014/main" id="{716B118E-9339-1E72-B500-2B3447DBDCF9}"/>
                </a:ext>
              </a:extLst>
            </xdr:cNvPr>
            <xdr:cNvPicPr>
              <a:picLocks noChangeAspect="1" noChangeArrowheads="1"/>
              <a:extLst>
                <a:ext uri="{84589F7E-364E-4C9E-8A38-B11213B215E9}">
                  <a14:cameraTool cellRange="Ram_4!$S$25" spid="_x0000_s2716272"/>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03" name="Obrázek 72">
              <a:extLst>
                <a:ext uri="{FF2B5EF4-FFF2-40B4-BE49-F238E27FC236}">
                  <a16:creationId xmlns:a16="http://schemas.microsoft.com/office/drawing/2014/main" id="{5F2C5C5A-0886-E352-E780-3B4CB89941AB}"/>
                </a:ext>
              </a:extLst>
            </xdr:cNvPr>
            <xdr:cNvPicPr>
              <a:picLocks noChangeAspect="1" noChangeArrowheads="1"/>
              <a:extLst>
                <a:ext uri="{84589F7E-364E-4C9E-8A38-B11213B215E9}">
                  <a14:cameraTool cellRange="Ram_5!$S$25" spid="_x0000_s2716273"/>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04" name="Obrázek 74">
              <a:extLst>
                <a:ext uri="{FF2B5EF4-FFF2-40B4-BE49-F238E27FC236}">
                  <a16:creationId xmlns:a16="http://schemas.microsoft.com/office/drawing/2014/main" id="{E5345598-46A2-5A50-E083-6BE689628549}"/>
                </a:ext>
              </a:extLst>
            </xdr:cNvPr>
            <xdr:cNvPicPr>
              <a:picLocks noChangeAspect="1" noChangeArrowheads="1"/>
              <a:extLst>
                <a:ext uri="{84589F7E-364E-4C9E-8A38-B11213B215E9}">
                  <a14:cameraTool cellRange="Ram_1!$AA$6:$AP$28" spid="_x0000_s2716274"/>
                </a:ext>
              </a:extLst>
            </xdr:cNvPicPr>
          </xdr:nvPicPr>
          <xdr:blipFill>
            <a:blip xmlns:r="http://schemas.openxmlformats.org/officeDocument/2006/relationships" r:embed="rId11"/>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05" name="Obrázek 75">
              <a:extLst>
                <a:ext uri="{FF2B5EF4-FFF2-40B4-BE49-F238E27FC236}">
                  <a16:creationId xmlns:a16="http://schemas.microsoft.com/office/drawing/2014/main" id="{92428939-8118-2744-605E-715563ABF9FE}"/>
                </a:ext>
              </a:extLst>
            </xdr:cNvPr>
            <xdr:cNvPicPr>
              <a:picLocks noChangeAspect="1" noChangeArrowheads="1"/>
              <a:extLst>
                <a:ext uri="{84589F7E-364E-4C9E-8A38-B11213B215E9}">
                  <a14:cameraTool cellRange="Ram_6!$S$25" spid="_x0000_s2716275"/>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33</xdr:row>
          <xdr:rowOff>28575</xdr:rowOff>
        </xdr:from>
        <xdr:to>
          <xdr:col>27</xdr:col>
          <xdr:colOff>133350</xdr:colOff>
          <xdr:row>41</xdr:row>
          <xdr:rowOff>38100</xdr:rowOff>
        </xdr:to>
        <xdr:pic>
          <xdr:nvPicPr>
            <xdr:cNvPr id="2889306" name="Picture 64090">
              <a:extLst>
                <a:ext uri="{FF2B5EF4-FFF2-40B4-BE49-F238E27FC236}">
                  <a16:creationId xmlns:a16="http://schemas.microsoft.com/office/drawing/2014/main" id="{B9603010-6C03-36DE-4733-DC884D0AC00F}"/>
                </a:ext>
              </a:extLst>
            </xdr:cNvPr>
            <xdr:cNvPicPr>
              <a:picLocks noChangeAspect="1" noChangeArrowheads="1"/>
              <a:extLst>
                <a:ext uri="{84589F7E-364E-4C9E-8A38-B11213B215E9}">
                  <a14:cameraTool cellRange="Ram_1!$S$25" spid="_x0000_s2716276"/>
                </a:ext>
              </a:extLst>
            </xdr:cNvPicPr>
          </xdr:nvPicPr>
          <xdr:blipFill>
            <a:blip xmlns:r="http://schemas.openxmlformats.org/officeDocument/2006/relationships" r:embed="rId1"/>
            <a:srcRect/>
            <a:stretch>
              <a:fillRect/>
            </a:stretch>
          </xdr:blipFill>
          <xdr:spPr bwMode="auto">
            <a:xfrm>
              <a:off x="6829425" y="6896100"/>
              <a:ext cx="2447925" cy="15430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17</xdr:col>
          <xdr:colOff>38100</xdr:colOff>
          <xdr:row>71</xdr:row>
          <xdr:rowOff>0</xdr:rowOff>
        </xdr:to>
        <xdr:pic>
          <xdr:nvPicPr>
            <xdr:cNvPr id="2889307" name="Picture 64091">
              <a:extLst>
                <a:ext uri="{FF2B5EF4-FFF2-40B4-BE49-F238E27FC236}">
                  <a16:creationId xmlns:a16="http://schemas.microsoft.com/office/drawing/2014/main" id="{427398FC-F676-B0F4-27F1-F30ADE22665E}"/>
                </a:ext>
              </a:extLst>
            </xdr:cNvPr>
            <xdr:cNvPicPr>
              <a:picLocks noChangeAspect="1" noChangeArrowheads="1"/>
              <a:extLst>
                <a:ext uri="{84589F7E-364E-4C9E-8A38-B11213B215E9}">
                  <a14:cameraTool cellRange="Ram_2!$AA$6:$AP$28" spid="_x0000_s2716277"/>
                </a:ext>
              </a:extLst>
            </xdr:cNvPicPr>
          </xdr:nvPicPr>
          <xdr:blipFill>
            <a:blip xmlns:r="http://schemas.openxmlformats.org/officeDocument/2006/relationships" r:embed="rId9"/>
            <a:srcRect/>
            <a:stretch>
              <a:fillRect/>
            </a:stretch>
          </xdr:blipFill>
          <xdr:spPr bwMode="auto">
            <a:xfrm>
              <a:off x="590550" y="93821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17</xdr:col>
          <xdr:colOff>38100</xdr:colOff>
          <xdr:row>107</xdr:row>
          <xdr:rowOff>0</xdr:rowOff>
        </xdr:to>
        <xdr:pic>
          <xdr:nvPicPr>
            <xdr:cNvPr id="2889308" name="Picture 64092">
              <a:extLst>
                <a:ext uri="{FF2B5EF4-FFF2-40B4-BE49-F238E27FC236}">
                  <a16:creationId xmlns:a16="http://schemas.microsoft.com/office/drawing/2014/main" id="{FF269DF0-953C-E105-8B77-E33198537738}"/>
                </a:ext>
              </a:extLst>
            </xdr:cNvPr>
            <xdr:cNvPicPr>
              <a:picLocks noChangeAspect="1" noChangeArrowheads="1"/>
              <a:extLst>
                <a:ext uri="{84589F7E-364E-4C9E-8A38-B11213B215E9}">
                  <a14:cameraTool cellRange="Ram_3!$AA$6:$AP$28" spid="_x0000_s2716278"/>
                </a:ext>
              </a:extLst>
            </xdr:cNvPicPr>
          </xdr:nvPicPr>
          <xdr:blipFill>
            <a:blip xmlns:r="http://schemas.openxmlformats.org/officeDocument/2006/relationships" r:embed="rId3"/>
            <a:srcRect/>
            <a:stretch>
              <a:fillRect/>
            </a:stretch>
          </xdr:blipFill>
          <xdr:spPr bwMode="auto">
            <a:xfrm>
              <a:off x="590550" y="166592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17</xdr:col>
          <xdr:colOff>38100</xdr:colOff>
          <xdr:row>143</xdr:row>
          <xdr:rowOff>0</xdr:rowOff>
        </xdr:to>
        <xdr:pic>
          <xdr:nvPicPr>
            <xdr:cNvPr id="2889309" name="Picture 64093">
              <a:extLst>
                <a:ext uri="{FF2B5EF4-FFF2-40B4-BE49-F238E27FC236}">
                  <a16:creationId xmlns:a16="http://schemas.microsoft.com/office/drawing/2014/main" id="{93283A8F-E824-0EBC-4C62-2A42DBBD6A74}"/>
                </a:ext>
              </a:extLst>
            </xdr:cNvPr>
            <xdr:cNvPicPr>
              <a:picLocks noChangeAspect="1" noChangeArrowheads="1"/>
              <a:extLst>
                <a:ext uri="{84589F7E-364E-4C9E-8A38-B11213B215E9}">
                  <a14:cameraTool cellRange="Ram_4!$AA$6:$AP$28" spid="_x0000_s2716279"/>
                </a:ext>
              </a:extLst>
            </xdr:cNvPicPr>
          </xdr:nvPicPr>
          <xdr:blipFill>
            <a:blip xmlns:r="http://schemas.openxmlformats.org/officeDocument/2006/relationships" r:embed="rId12"/>
            <a:srcRect/>
            <a:stretch>
              <a:fillRect/>
            </a:stretch>
          </xdr:blipFill>
          <xdr:spPr bwMode="auto">
            <a:xfrm>
              <a:off x="590550" y="239363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17</xdr:col>
          <xdr:colOff>38100</xdr:colOff>
          <xdr:row>179</xdr:row>
          <xdr:rowOff>0</xdr:rowOff>
        </xdr:to>
        <xdr:pic>
          <xdr:nvPicPr>
            <xdr:cNvPr id="2889310" name="Picture 64094">
              <a:extLst>
                <a:ext uri="{FF2B5EF4-FFF2-40B4-BE49-F238E27FC236}">
                  <a16:creationId xmlns:a16="http://schemas.microsoft.com/office/drawing/2014/main" id="{87EEC5CD-2E32-4EB9-6B00-0CFBF7FB368A}"/>
                </a:ext>
              </a:extLst>
            </xdr:cNvPr>
            <xdr:cNvPicPr>
              <a:picLocks noChangeAspect="1" noChangeArrowheads="1"/>
              <a:extLst>
                <a:ext uri="{84589F7E-364E-4C9E-8A38-B11213B215E9}">
                  <a14:cameraTool cellRange="Ram_5!$AA$6:$AP$28" spid="_x0000_s2716280"/>
                </a:ext>
              </a:extLst>
            </xdr:cNvPicPr>
          </xdr:nvPicPr>
          <xdr:blipFill>
            <a:blip xmlns:r="http://schemas.openxmlformats.org/officeDocument/2006/relationships" r:embed="rId5"/>
            <a:srcRect/>
            <a:stretch>
              <a:fillRect/>
            </a:stretch>
          </xdr:blipFill>
          <xdr:spPr bwMode="auto">
            <a:xfrm>
              <a:off x="590550" y="312134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189</xdr:row>
          <xdr:rowOff>0</xdr:rowOff>
        </xdr:from>
        <xdr:to>
          <xdr:col>17</xdr:col>
          <xdr:colOff>38100</xdr:colOff>
          <xdr:row>215</xdr:row>
          <xdr:rowOff>0</xdr:rowOff>
        </xdr:to>
        <xdr:pic>
          <xdr:nvPicPr>
            <xdr:cNvPr id="2889311" name="Picture 64095">
              <a:extLst>
                <a:ext uri="{FF2B5EF4-FFF2-40B4-BE49-F238E27FC236}">
                  <a16:creationId xmlns:a16="http://schemas.microsoft.com/office/drawing/2014/main" id="{DAF3DB7A-D086-2BC5-242D-D994A877D3FB}"/>
                </a:ext>
              </a:extLst>
            </xdr:cNvPr>
            <xdr:cNvPicPr>
              <a:picLocks noChangeAspect="1" noChangeArrowheads="1"/>
              <a:extLst>
                <a:ext uri="{84589F7E-364E-4C9E-8A38-B11213B215E9}">
                  <a14:cameraTool cellRange="Ram_6!$AA$6:$AP$28" spid="_x0000_s2716281"/>
                </a:ext>
              </a:extLst>
            </xdr:cNvPicPr>
          </xdr:nvPicPr>
          <xdr:blipFill>
            <a:blip xmlns:r="http://schemas.openxmlformats.org/officeDocument/2006/relationships" r:embed="rId6"/>
            <a:srcRect/>
            <a:stretch>
              <a:fillRect/>
            </a:stretch>
          </xdr:blipFill>
          <xdr:spPr bwMode="auto">
            <a:xfrm>
              <a:off x="590550" y="384905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224</xdr:row>
          <xdr:rowOff>0</xdr:rowOff>
        </xdr:from>
        <xdr:to>
          <xdr:col>23</xdr:col>
          <xdr:colOff>0</xdr:colOff>
          <xdr:row>225</xdr:row>
          <xdr:rowOff>38100</xdr:rowOff>
        </xdr:to>
        <xdr:pic>
          <xdr:nvPicPr>
            <xdr:cNvPr id="2889312" name="Picture 64096">
              <a:extLst>
                <a:ext uri="{FF2B5EF4-FFF2-40B4-BE49-F238E27FC236}">
                  <a16:creationId xmlns:a16="http://schemas.microsoft.com/office/drawing/2014/main" id="{92B0F4BF-A016-7D20-853E-978375879A24}"/>
                </a:ext>
              </a:extLst>
            </xdr:cNvPr>
            <xdr:cNvPicPr>
              <a:picLocks noChangeAspect="1" noChangeArrowheads="1"/>
              <a:extLst>
                <a:ext uri="{84589F7E-364E-4C9E-8A38-B11213B215E9}">
                  <a14:cameraTool cellRange="Ram_1!$S$25" spid="_x0000_s2716282"/>
                </a:ext>
              </a:extLst>
            </xdr:cNvPicPr>
          </xdr:nvPicPr>
          <xdr:blipFill>
            <a:blip xmlns:r="http://schemas.openxmlformats.org/officeDocument/2006/relationships" r:embed="rId1"/>
            <a:srcRect/>
            <a:stretch>
              <a:fillRect/>
            </a:stretch>
          </xdr:blipFill>
          <xdr:spPr bwMode="auto">
            <a:xfrm>
              <a:off x="6829425" y="45329475"/>
              <a:ext cx="381000" cy="219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27</xdr:col>
          <xdr:colOff>133350</xdr:colOff>
          <xdr:row>77</xdr:row>
          <xdr:rowOff>0</xdr:rowOff>
        </xdr:to>
        <xdr:pic>
          <xdr:nvPicPr>
            <xdr:cNvPr id="2889313" name="Picture 64097">
              <a:extLst>
                <a:ext uri="{FF2B5EF4-FFF2-40B4-BE49-F238E27FC236}">
                  <a16:creationId xmlns:a16="http://schemas.microsoft.com/office/drawing/2014/main" id="{AC6C61DD-60D9-5048-56F1-58D57CFCB3B7}"/>
                </a:ext>
              </a:extLst>
            </xdr:cNvPr>
            <xdr:cNvPicPr>
              <a:picLocks noChangeAspect="1" noChangeArrowheads="1"/>
              <a:extLst>
                <a:ext uri="{84589F7E-364E-4C9E-8A38-B11213B215E9}">
                  <a14:cameraTool cellRange="Ram_2!$S$25" spid="_x0000_s2716283"/>
                </a:ext>
              </a:extLst>
            </xdr:cNvPicPr>
          </xdr:nvPicPr>
          <xdr:blipFill>
            <a:blip xmlns:r="http://schemas.openxmlformats.org/officeDocument/2006/relationships" r:embed="rId7"/>
            <a:srcRect/>
            <a:stretch>
              <a:fillRect/>
            </a:stretch>
          </xdr:blipFill>
          <xdr:spPr bwMode="auto">
            <a:xfrm>
              <a:off x="6800850" y="141446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105</xdr:row>
          <xdr:rowOff>0</xdr:rowOff>
        </xdr:from>
        <xdr:to>
          <xdr:col>27</xdr:col>
          <xdr:colOff>133350</xdr:colOff>
          <xdr:row>113</xdr:row>
          <xdr:rowOff>0</xdr:rowOff>
        </xdr:to>
        <xdr:pic>
          <xdr:nvPicPr>
            <xdr:cNvPr id="2889314" name="Picture 64098">
              <a:extLst>
                <a:ext uri="{FF2B5EF4-FFF2-40B4-BE49-F238E27FC236}">
                  <a16:creationId xmlns:a16="http://schemas.microsoft.com/office/drawing/2014/main" id="{C4362C3D-6384-AA08-743B-2C59412960EC}"/>
                </a:ext>
              </a:extLst>
            </xdr:cNvPr>
            <xdr:cNvPicPr>
              <a:picLocks noChangeAspect="1" noChangeArrowheads="1"/>
              <a:extLst>
                <a:ext uri="{84589F7E-364E-4C9E-8A38-B11213B215E9}">
                  <a14:cameraTool cellRange="Ram_3!$S$25" spid="_x0000_s2716284"/>
                </a:ext>
              </a:extLst>
            </xdr:cNvPicPr>
          </xdr:nvPicPr>
          <xdr:blipFill>
            <a:blip xmlns:r="http://schemas.openxmlformats.org/officeDocument/2006/relationships" r:embed="rId7"/>
            <a:srcRect/>
            <a:stretch>
              <a:fillRect/>
            </a:stretch>
          </xdr:blipFill>
          <xdr:spPr bwMode="auto">
            <a:xfrm>
              <a:off x="6800850" y="214217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141</xdr:row>
          <xdr:rowOff>0</xdr:rowOff>
        </xdr:from>
        <xdr:to>
          <xdr:col>27</xdr:col>
          <xdr:colOff>133350</xdr:colOff>
          <xdr:row>149</xdr:row>
          <xdr:rowOff>0</xdr:rowOff>
        </xdr:to>
        <xdr:pic>
          <xdr:nvPicPr>
            <xdr:cNvPr id="2889315" name="Picture 64099">
              <a:extLst>
                <a:ext uri="{FF2B5EF4-FFF2-40B4-BE49-F238E27FC236}">
                  <a16:creationId xmlns:a16="http://schemas.microsoft.com/office/drawing/2014/main" id="{C9BE171A-6070-749F-424A-7C91509E80D7}"/>
                </a:ext>
              </a:extLst>
            </xdr:cNvPr>
            <xdr:cNvPicPr>
              <a:picLocks noChangeAspect="1" noChangeArrowheads="1"/>
              <a:extLst>
                <a:ext uri="{84589F7E-364E-4C9E-8A38-B11213B215E9}">
                  <a14:cameraTool cellRange="Ram_4!$S$25" spid="_x0000_s2716285"/>
                </a:ext>
              </a:extLst>
            </xdr:cNvPicPr>
          </xdr:nvPicPr>
          <xdr:blipFill>
            <a:blip xmlns:r="http://schemas.openxmlformats.org/officeDocument/2006/relationships" r:embed="rId7"/>
            <a:srcRect/>
            <a:stretch>
              <a:fillRect/>
            </a:stretch>
          </xdr:blipFill>
          <xdr:spPr bwMode="auto">
            <a:xfrm>
              <a:off x="6800850" y="286988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177</xdr:row>
          <xdr:rowOff>0</xdr:rowOff>
        </xdr:from>
        <xdr:to>
          <xdr:col>27</xdr:col>
          <xdr:colOff>133350</xdr:colOff>
          <xdr:row>185</xdr:row>
          <xdr:rowOff>0</xdr:rowOff>
        </xdr:to>
        <xdr:pic>
          <xdr:nvPicPr>
            <xdr:cNvPr id="2889316" name="Picture 64100">
              <a:extLst>
                <a:ext uri="{FF2B5EF4-FFF2-40B4-BE49-F238E27FC236}">
                  <a16:creationId xmlns:a16="http://schemas.microsoft.com/office/drawing/2014/main" id="{DA4A481F-7AEE-7D17-2D4F-0733B15BEF72}"/>
                </a:ext>
              </a:extLst>
            </xdr:cNvPr>
            <xdr:cNvPicPr>
              <a:picLocks noChangeAspect="1" noChangeArrowheads="1"/>
              <a:extLst>
                <a:ext uri="{84589F7E-364E-4C9E-8A38-B11213B215E9}">
                  <a14:cameraTool cellRange="Ram_5!$S$25" spid="_x0000_s2716286"/>
                </a:ext>
              </a:extLst>
            </xdr:cNvPicPr>
          </xdr:nvPicPr>
          <xdr:blipFill>
            <a:blip xmlns:r="http://schemas.openxmlformats.org/officeDocument/2006/relationships" r:embed="rId7"/>
            <a:srcRect/>
            <a:stretch>
              <a:fillRect/>
            </a:stretch>
          </xdr:blipFill>
          <xdr:spPr bwMode="auto">
            <a:xfrm>
              <a:off x="6800850" y="359759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17</xdr:col>
          <xdr:colOff>38100</xdr:colOff>
          <xdr:row>35</xdr:row>
          <xdr:rowOff>0</xdr:rowOff>
        </xdr:to>
        <xdr:pic>
          <xdr:nvPicPr>
            <xdr:cNvPr id="2889317" name="Picture 64101">
              <a:extLst>
                <a:ext uri="{FF2B5EF4-FFF2-40B4-BE49-F238E27FC236}">
                  <a16:creationId xmlns:a16="http://schemas.microsoft.com/office/drawing/2014/main" id="{D430DBB8-A5FC-87B6-69AD-2B504A4BF20D}"/>
                </a:ext>
              </a:extLst>
            </xdr:cNvPr>
            <xdr:cNvPicPr>
              <a:picLocks noChangeAspect="1" noChangeArrowheads="1"/>
              <a:extLst>
                <a:ext uri="{84589F7E-364E-4C9E-8A38-B11213B215E9}">
                  <a14:cameraTool cellRange="Ram_1!$AA$6:$AP$28" spid="_x0000_s2716287"/>
                </a:ext>
              </a:extLst>
            </xdr:cNvPicPr>
          </xdr:nvPicPr>
          <xdr:blipFill>
            <a:blip xmlns:r="http://schemas.openxmlformats.org/officeDocument/2006/relationships" r:embed="rId13"/>
            <a:srcRect/>
            <a:stretch>
              <a:fillRect/>
            </a:stretch>
          </xdr:blipFill>
          <xdr:spPr bwMode="auto">
            <a:xfrm>
              <a:off x="590550" y="2105025"/>
              <a:ext cx="4772025" cy="51244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213</xdr:row>
          <xdr:rowOff>0</xdr:rowOff>
        </xdr:from>
        <xdr:to>
          <xdr:col>27</xdr:col>
          <xdr:colOff>133350</xdr:colOff>
          <xdr:row>221</xdr:row>
          <xdr:rowOff>0</xdr:rowOff>
        </xdr:to>
        <xdr:pic>
          <xdr:nvPicPr>
            <xdr:cNvPr id="2889318" name="Picture 64102">
              <a:extLst>
                <a:ext uri="{FF2B5EF4-FFF2-40B4-BE49-F238E27FC236}">
                  <a16:creationId xmlns:a16="http://schemas.microsoft.com/office/drawing/2014/main" id="{967B2DD9-6A46-0D84-D353-78AF14044F83}"/>
                </a:ext>
              </a:extLst>
            </xdr:cNvPr>
            <xdr:cNvPicPr>
              <a:picLocks noChangeAspect="1" noChangeArrowheads="1"/>
              <a:extLst>
                <a:ext uri="{84589F7E-364E-4C9E-8A38-B11213B215E9}">
                  <a14:cameraTool cellRange="Ram_6!$S$25" spid="_x0000_s2716288"/>
                </a:ext>
              </a:extLst>
            </xdr:cNvPicPr>
          </xdr:nvPicPr>
          <xdr:blipFill>
            <a:blip xmlns:r="http://schemas.openxmlformats.org/officeDocument/2006/relationships" r:embed="rId7"/>
            <a:srcRect/>
            <a:stretch>
              <a:fillRect/>
            </a:stretch>
          </xdr:blipFill>
          <xdr:spPr bwMode="auto">
            <a:xfrm>
              <a:off x="6800850" y="43253025"/>
              <a:ext cx="2476500" cy="1533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12</xdr:col>
      <xdr:colOff>137308</xdr:colOff>
      <xdr:row>55</xdr:row>
      <xdr:rowOff>195447</xdr:rowOff>
    </xdr:from>
    <xdr:to>
      <xdr:col>19</xdr:col>
      <xdr:colOff>571501</xdr:colOff>
      <xdr:row>70</xdr:row>
      <xdr:rowOff>138544</xdr:rowOff>
    </xdr:to>
    <xdr:sp macro="" textlink="">
      <xdr:nvSpPr>
        <xdr:cNvPr id="3" name="TextovéPole 2">
          <a:extLst>
            <a:ext uri="{FF2B5EF4-FFF2-40B4-BE49-F238E27FC236}">
              <a16:creationId xmlns:a16="http://schemas.microsoft.com/office/drawing/2014/main" id="{5DCF367F-D118-4AD9-AEFA-95CDE205CBA1}"/>
            </a:ext>
          </a:extLst>
        </xdr:cNvPr>
        <xdr:cNvSpPr txBox="1"/>
      </xdr:nvSpPr>
      <xdr:spPr>
        <a:xfrm>
          <a:off x="2094263" y="8923811"/>
          <a:ext cx="6045283" cy="15017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a:t>Jakmile</a:t>
          </a:r>
          <a:r>
            <a:rPr lang="cs-CZ" sz="1100" baseline="0"/>
            <a:t> má aspoň jeden rámeček velikost na paletu - vždy se vše naskládá na adekvátní paletu a vybere nejnižší cena</a:t>
          </a:r>
        </a:p>
        <a:p>
          <a:endParaRPr lang="cs-CZ" sz="1100" baseline="0"/>
        </a:p>
        <a:p>
          <a:r>
            <a:rPr lang="cs-CZ" sz="1100" baseline="0"/>
            <a:t>Pokud je 3  a více balíků B - vyplatí se paleta </a:t>
          </a:r>
          <a:endParaRPr lang="cs-CZ" sz="1100" b="1" baseline="0"/>
        </a:p>
        <a:p>
          <a:r>
            <a:rPr lang="cs-CZ" sz="1100" b="0" baseline="0"/>
            <a:t>Pokud je méně než 3 balíků B  pak se vyplatí kombinace balíku A a B</a:t>
          </a:r>
          <a:endParaRPr lang="cs-CZ" sz="1100" b="0" baseline="0">
            <a:solidFill>
              <a:srgbClr val="FF0000"/>
            </a:solidFill>
          </a:endParaRPr>
        </a:p>
        <a:p>
          <a:endParaRPr lang="cs-CZ" sz="1100" baseline="0"/>
        </a:p>
        <a:p>
          <a:r>
            <a:rPr lang="cs-CZ" sz="1100"/>
            <a:t>Pokud je  aspoň jeden rámeček do balíku B, lze</a:t>
          </a:r>
          <a:r>
            <a:rPr lang="cs-CZ" sz="1100" baseline="0"/>
            <a:t> k němu přihodit balík rámeček z balíku A.</a:t>
          </a:r>
          <a:endParaRPr lang="cs-CZ" sz="1100"/>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hyperlink" Target="mailto:export@demos-trade.com" TargetMode="External"/><Relationship Id="rId2" Type="http://schemas.openxmlformats.org/officeDocument/2006/relationships/hyperlink" Target="mailto:objednavky@demos-trade.com" TargetMode="External"/><Relationship Id="rId1" Type="http://schemas.openxmlformats.org/officeDocument/2006/relationships/hyperlink" Target="mailto:objednavkySK@demos-trade.com" TargetMode="Externa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8.xml"/><Relationship Id="rId2" Type="http://schemas.openxmlformats.org/officeDocument/2006/relationships/vmlDrawing" Target="../drawings/vmlDrawing6.vml"/><Relationship Id="rId1" Type="http://schemas.openxmlformats.org/officeDocument/2006/relationships/drawing" Target="../drawings/drawing8.xml"/><Relationship Id="rId4" Type="http://schemas.openxmlformats.org/officeDocument/2006/relationships/ctrlProp" Target="../ctrlProps/ctrlProp9.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10.xml"/><Relationship Id="rId2" Type="http://schemas.openxmlformats.org/officeDocument/2006/relationships/vmlDrawing" Target="../drawings/vmlDrawing7.vml"/><Relationship Id="rId1" Type="http://schemas.openxmlformats.org/officeDocument/2006/relationships/drawing" Target="../drawings/drawing9.xml"/><Relationship Id="rId4" Type="http://schemas.openxmlformats.org/officeDocument/2006/relationships/ctrlProp" Target="../ctrlProps/ctrlProp11.xml"/></Relationships>
</file>

<file path=xl/worksheets/_rels/sheet17.xml.rels><?xml version="1.0" encoding="UTF-8" standalone="yes"?>
<Relationships xmlns="http://schemas.openxmlformats.org/package/2006/relationships"><Relationship Id="rId3" Type="http://schemas.openxmlformats.org/officeDocument/2006/relationships/ctrlProp" Target="../ctrlProps/ctrlProp12.xml"/><Relationship Id="rId2" Type="http://schemas.openxmlformats.org/officeDocument/2006/relationships/vmlDrawing" Target="../drawings/vmlDrawing8.vml"/><Relationship Id="rId1" Type="http://schemas.openxmlformats.org/officeDocument/2006/relationships/drawing" Target="../drawings/drawing10.xml"/><Relationship Id="rId4" Type="http://schemas.openxmlformats.org/officeDocument/2006/relationships/ctrlProp" Target="../ctrlProps/ctrlProp1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8.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9.bin"/><Relationship Id="rId4" Type="http://schemas.openxmlformats.org/officeDocument/2006/relationships/ctrlProp" Target="../ctrlProps/ctrlProp1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0.bin"/><Relationship Id="rId4" Type="http://schemas.openxmlformats.org/officeDocument/2006/relationships/ctrlProp" Target="../ctrlProps/ctrlProp1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1.bin"/><Relationship Id="rId4" Type="http://schemas.openxmlformats.org/officeDocument/2006/relationships/ctrlProp" Target="../ctrlProps/ctrlProp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3934-51DB-4384-923B-228C0D0CEC72}">
  <sheetPr codeName="List31">
    <tabColor rgb="FF92D050"/>
  </sheetPr>
  <dimension ref="A1:AF39"/>
  <sheetViews>
    <sheetView showGridLines="0" showRowColHeaders="0" workbookViewId="0">
      <selection activeCell="V39" sqref="V39"/>
    </sheetView>
  </sheetViews>
  <sheetFormatPr defaultColWidth="0" defaultRowHeight="11.85" customHeight="1" zeroHeight="1"/>
  <cols>
    <col min="1" max="1" width="8" style="128" customWidth="1"/>
    <col min="2" max="2" width="3" style="128" customWidth="1"/>
    <col min="3" max="3" width="8" style="128" customWidth="1"/>
    <col min="4" max="4" width="3" style="128" customWidth="1"/>
    <col min="5" max="5" width="8" style="128" customWidth="1"/>
    <col min="6" max="6" width="3" style="128" customWidth="1"/>
    <col min="7" max="7" width="8" style="128" customWidth="1"/>
    <col min="8" max="9" width="2" style="128" customWidth="1"/>
    <col min="10" max="10" width="3.42578125" style="128" customWidth="1"/>
    <col min="11" max="11" width="7.5703125" style="128" customWidth="1"/>
    <col min="12" max="12" width="3.140625" style="128" customWidth="1"/>
    <col min="13" max="13" width="7.5703125" style="128" customWidth="1"/>
    <col min="14" max="14" width="3.140625" style="128" customWidth="1"/>
    <col min="15" max="15" width="6.5703125" style="128" customWidth="1"/>
    <col min="16" max="16" width="5.5703125" style="128" customWidth="1"/>
    <col min="17" max="17" width="8" style="128" customWidth="1"/>
    <col min="18" max="18" width="3.140625" style="128" customWidth="1"/>
    <col min="19" max="20" width="8" style="128" customWidth="1"/>
    <col min="21" max="21" width="5.7109375" style="128" customWidth="1"/>
    <col min="22" max="22" width="8" style="128" customWidth="1"/>
    <col min="23" max="23" width="3.5703125" style="128" hidden="1" customWidth="1"/>
    <col min="24" max="32" width="0" style="128" hidden="1" customWidth="1"/>
    <col min="33" max="16384" width="8" style="128" hidden="1"/>
  </cols>
  <sheetData>
    <row r="1" spans="1:32" ht="11.85" customHeight="1">
      <c r="A1" s="127" t="s">
        <v>375</v>
      </c>
      <c r="B1" s="127"/>
      <c r="C1" s="127"/>
      <c r="D1" s="127"/>
      <c r="E1" s="127"/>
      <c r="F1" s="127"/>
      <c r="G1" s="127"/>
      <c r="H1" s="127"/>
      <c r="I1" s="127"/>
      <c r="J1" s="127"/>
      <c r="K1" s="127"/>
      <c r="L1" s="127"/>
      <c r="M1" s="127"/>
      <c r="N1" s="127"/>
      <c r="O1" s="127"/>
      <c r="P1" s="127"/>
      <c r="Q1" s="127"/>
      <c r="R1" s="127"/>
      <c r="S1" s="127"/>
    </row>
    <row r="2" spans="1:32" ht="11.85" customHeight="1">
      <c r="A2" s="129"/>
      <c r="B2" s="129"/>
      <c r="C2" s="129"/>
      <c r="D2" s="129"/>
      <c r="E2" s="129"/>
      <c r="F2" s="129"/>
      <c r="G2" s="129"/>
      <c r="H2" s="129"/>
      <c r="I2" s="129"/>
      <c r="J2" s="129"/>
      <c r="K2" s="129"/>
      <c r="L2" s="129"/>
      <c r="M2" s="129"/>
      <c r="N2" s="129"/>
      <c r="O2" s="129"/>
      <c r="P2" s="129"/>
      <c r="Q2" s="129"/>
      <c r="R2" s="129"/>
      <c r="S2" s="129"/>
      <c r="T2" s="129"/>
      <c r="U2" s="129"/>
      <c r="V2" s="588" t="str">
        <f>VLOOKUP(V39,kombinace_1!$EJ$3:$EK$8,2,0)</f>
        <v>CZ</v>
      </c>
    </row>
    <row r="3" spans="1:32" ht="11.85" customHeight="1">
      <c r="A3" s="129"/>
      <c r="B3" s="129"/>
      <c r="C3" s="129"/>
      <c r="D3" s="129"/>
      <c r="E3" s="129"/>
      <c r="F3" s="129"/>
      <c r="G3" s="129"/>
      <c r="H3" s="129"/>
      <c r="I3" s="129"/>
      <c r="J3" s="129"/>
      <c r="K3" s="129"/>
      <c r="L3" s="129"/>
      <c r="M3" s="129"/>
      <c r="N3" s="129"/>
      <c r="O3" s="129"/>
      <c r="P3" s="129"/>
      <c r="Q3" s="129"/>
      <c r="R3" s="129"/>
      <c r="S3" s="129"/>
      <c r="T3" s="129"/>
      <c r="U3" s="129"/>
      <c r="V3" s="588"/>
    </row>
    <row r="4" spans="1:32" ht="24" customHeight="1">
      <c r="K4" s="586" t="str">
        <f>'Translate&amp;Prices&amp;Logo'!$B$247</f>
        <v>Objednávkový formulář ALU rámečků</v>
      </c>
      <c r="L4" s="586"/>
      <c r="M4" s="586"/>
      <c r="N4" s="586"/>
      <c r="O4" s="586"/>
      <c r="P4" s="586"/>
      <c r="Q4" s="586"/>
      <c r="R4" s="586"/>
      <c r="S4" s="586"/>
      <c r="T4" s="586"/>
      <c r="U4" s="586"/>
      <c r="V4" s="586"/>
    </row>
    <row r="5" spans="1:32" ht="11.85" customHeight="1">
      <c r="K5" s="586"/>
      <c r="L5" s="586"/>
      <c r="M5" s="586"/>
      <c r="N5" s="586"/>
      <c r="O5" s="586"/>
      <c r="P5" s="586"/>
      <c r="Q5" s="586"/>
      <c r="R5" s="586"/>
      <c r="S5" s="586"/>
      <c r="T5" s="586"/>
      <c r="U5" s="586"/>
      <c r="V5" s="586"/>
    </row>
    <row r="6" spans="1:32" ht="11.85" customHeight="1">
      <c r="K6" s="587"/>
      <c r="L6" s="587"/>
      <c r="M6" s="587"/>
      <c r="N6" s="587"/>
      <c r="O6" s="587"/>
      <c r="P6" s="587"/>
      <c r="Q6" s="587"/>
      <c r="R6" s="587"/>
      <c r="S6" s="587"/>
      <c r="T6" s="587"/>
      <c r="U6" s="587"/>
      <c r="V6" s="587"/>
    </row>
    <row r="7" spans="1:32" ht="11.85" customHeight="1">
      <c r="C7" s="151"/>
      <c r="D7" s="151"/>
      <c r="E7" s="151"/>
      <c r="F7" s="151"/>
      <c r="G7" s="151"/>
      <c r="H7" s="151"/>
      <c r="I7" s="151"/>
      <c r="J7" s="151"/>
      <c r="K7" s="151"/>
      <c r="L7" s="151"/>
      <c r="M7" s="151"/>
      <c r="N7" s="151"/>
      <c r="O7" s="151"/>
      <c r="P7" s="151"/>
      <c r="Q7" s="151"/>
      <c r="R7" s="151"/>
      <c r="S7" s="151"/>
    </row>
    <row r="8" spans="1:32" ht="11.85" customHeight="1">
      <c r="C8" s="151"/>
      <c r="D8" s="151"/>
      <c r="E8" s="151"/>
      <c r="F8" s="151"/>
      <c r="G8" s="151"/>
      <c r="H8" s="151"/>
      <c r="I8" s="151"/>
      <c r="J8" s="151"/>
      <c r="K8" s="151"/>
      <c r="L8" s="151"/>
      <c r="M8" s="151"/>
      <c r="N8" s="151"/>
      <c r="O8" s="151"/>
      <c r="P8" s="151"/>
      <c r="Q8" s="151"/>
      <c r="R8" s="151"/>
      <c r="S8" s="151"/>
    </row>
    <row r="9" spans="1:32" ht="11.85" customHeight="1"/>
    <row r="10" spans="1:32" ht="11.85" customHeight="1"/>
    <row r="11" spans="1:32" ht="20.85" customHeight="1">
      <c r="F11" s="130"/>
      <c r="G11" s="130"/>
      <c r="H11" s="130"/>
      <c r="I11" s="130"/>
    </row>
    <row r="12" spans="1:32" ht="11.85" customHeight="1"/>
    <row r="13" spans="1:32" ht="18.600000000000001" customHeight="1"/>
    <row r="14" spans="1:32" ht="15" customHeight="1">
      <c r="A14" s="127"/>
      <c r="B14" s="585" t="str">
        <f>'Translate&amp;Prices&amp;Logo'!$B$310</f>
        <v>Běžné rámečky</v>
      </c>
      <c r="C14" s="585"/>
      <c r="D14" s="585"/>
      <c r="E14" s="585"/>
      <c r="F14" s="585"/>
      <c r="G14" s="585"/>
      <c r="J14" s="127"/>
      <c r="K14" s="127"/>
      <c r="L14" s="127"/>
      <c r="Q14" s="585" t="str">
        <f>'Translate&amp;Prices&amp;Logo'!$B$311</f>
        <v>Posuvné rámečky</v>
      </c>
      <c r="R14" s="585"/>
      <c r="S14" s="585"/>
      <c r="T14" s="585"/>
      <c r="U14" s="585"/>
      <c r="V14" s="6"/>
      <c r="W14" s="6"/>
      <c r="X14" s="6"/>
      <c r="AE14" s="6"/>
      <c r="AF14" s="6"/>
    </row>
    <row r="15" spans="1:32" ht="15" customHeight="1">
      <c r="A15" s="127"/>
      <c r="B15" s="585"/>
      <c r="C15" s="585"/>
      <c r="D15" s="585"/>
      <c r="E15" s="585"/>
      <c r="F15" s="585"/>
      <c r="G15" s="585"/>
      <c r="J15" s="127"/>
      <c r="K15" s="127"/>
      <c r="L15" s="127"/>
      <c r="Q15" s="585"/>
      <c r="R15" s="585"/>
      <c r="S15" s="585"/>
      <c r="T15" s="585"/>
      <c r="U15" s="585"/>
      <c r="AE15" s="6"/>
      <c r="AF15" s="6"/>
    </row>
    <row r="16" spans="1:32" ht="11.85" customHeight="1">
      <c r="Z16" s="6"/>
      <c r="AA16" s="6"/>
      <c r="AB16" s="6"/>
      <c r="AC16" s="6"/>
      <c r="AD16" s="6"/>
      <c r="AE16" s="6"/>
      <c r="AF16" s="6"/>
    </row>
    <row r="17" spans="1:32" ht="11.85" customHeight="1">
      <c r="AA17" s="6"/>
      <c r="AB17" s="6"/>
      <c r="AC17" s="6"/>
      <c r="AD17" s="6"/>
      <c r="AE17" s="6"/>
      <c r="AF17" s="6"/>
    </row>
    <row r="18" spans="1:32" ht="11.85" customHeight="1">
      <c r="Z18" s="6"/>
      <c r="AA18" s="6"/>
      <c r="AB18" s="6"/>
      <c r="AC18" s="6"/>
      <c r="AD18" s="6"/>
      <c r="AE18" s="6"/>
      <c r="AF18" s="6"/>
    </row>
    <row r="19" spans="1:32" ht="11.85" customHeight="1">
      <c r="Z19" s="6"/>
      <c r="AA19" s="6"/>
      <c r="AB19" s="6"/>
      <c r="AC19" s="6"/>
      <c r="AD19" s="6"/>
      <c r="AE19" s="6"/>
      <c r="AF19" s="6"/>
    </row>
    <row r="20" spans="1:32" ht="11.85" customHeight="1">
      <c r="T20" s="131"/>
      <c r="U20" s="131"/>
      <c r="V20" s="131"/>
      <c r="W20" s="6"/>
      <c r="X20" s="6"/>
      <c r="Y20" s="6"/>
      <c r="Z20" s="6"/>
      <c r="AA20" s="6"/>
      <c r="AB20" s="6"/>
      <c r="AC20" s="6"/>
      <c r="AD20" s="6"/>
      <c r="AE20" s="6"/>
      <c r="AF20" s="6"/>
    </row>
    <row r="21" spans="1:32" ht="11.85" customHeight="1">
      <c r="J21" s="585" t="str">
        <f>'Translate&amp;Prices&amp;Logo'!$B$583</f>
        <v>Objednávka skla</v>
      </c>
      <c r="K21" s="585"/>
      <c r="L21" s="585"/>
      <c r="M21" s="585"/>
      <c r="N21" s="585"/>
      <c r="O21" s="585"/>
      <c r="Z21" s="6"/>
      <c r="AA21" s="6"/>
      <c r="AB21" s="6"/>
      <c r="AC21" s="6"/>
      <c r="AD21" s="6"/>
      <c r="AE21" s="6"/>
      <c r="AF21" s="6"/>
    </row>
    <row r="22" spans="1:32" ht="11.85" customHeight="1">
      <c r="J22" s="585"/>
      <c r="K22" s="585"/>
      <c r="L22" s="585"/>
      <c r="M22" s="585"/>
      <c r="N22" s="585"/>
      <c r="O22" s="585"/>
      <c r="T22" s="131"/>
      <c r="U22" s="131"/>
      <c r="V22" s="131"/>
      <c r="W22" s="6"/>
      <c r="X22" s="6"/>
      <c r="Y22" s="6"/>
      <c r="Z22" s="6"/>
      <c r="AA22" s="6"/>
      <c r="AB22" s="6"/>
      <c r="AC22" s="6"/>
      <c r="AD22" s="6"/>
      <c r="AE22" s="6"/>
      <c r="AF22" s="6"/>
    </row>
    <row r="23" spans="1:32" ht="11.85" customHeight="1">
      <c r="Z23" s="6"/>
      <c r="AA23" s="6"/>
      <c r="AB23" s="6"/>
      <c r="AC23" s="6"/>
      <c r="AD23" s="6"/>
      <c r="AE23" s="6"/>
      <c r="AF23" s="6"/>
    </row>
    <row r="24" spans="1:32" ht="11.85" customHeight="1">
      <c r="T24" s="131"/>
      <c r="U24" s="131"/>
      <c r="V24" s="131"/>
      <c r="W24" s="6"/>
      <c r="X24" s="6"/>
      <c r="Y24" s="6"/>
      <c r="Z24" s="6"/>
    </row>
    <row r="25" spans="1:32" ht="11.85" customHeight="1">
      <c r="Z25" s="6"/>
    </row>
    <row r="26" spans="1:32" ht="11.85" customHeight="1">
      <c r="T26" s="131"/>
      <c r="U26" s="131"/>
      <c r="V26" s="131"/>
      <c r="W26" s="6"/>
      <c r="X26" s="6"/>
      <c r="Y26" s="6"/>
      <c r="Z26" s="6"/>
    </row>
    <row r="27" spans="1:32" ht="15">
      <c r="E27" s="132"/>
      <c r="Z27" s="6"/>
    </row>
    <row r="28" spans="1:32" ht="15" customHeight="1">
      <c r="A28" s="127"/>
      <c r="B28" s="585" t="str">
        <f>'Translate&amp;Prices&amp;Logo'!$B$281</f>
        <v>Barvy LACOBEL A MATELAC</v>
      </c>
      <c r="C28" s="585"/>
      <c r="D28" s="585"/>
      <c r="E28" s="585"/>
      <c r="F28" s="585"/>
      <c r="G28" s="585"/>
      <c r="J28" s="127"/>
      <c r="K28" s="127"/>
      <c r="L28" s="127"/>
      <c r="Q28" s="585" t="str">
        <f>'Translate&amp;Prices&amp;Logo'!$B$312</f>
        <v>Nákresy profilů a spoj. kování</v>
      </c>
      <c r="R28" s="585"/>
      <c r="S28" s="585"/>
      <c r="T28" s="585"/>
      <c r="U28" s="585"/>
      <c r="V28" s="131"/>
    </row>
    <row r="29" spans="1:32" ht="15" customHeight="1">
      <c r="A29" s="127"/>
      <c r="B29" s="585"/>
      <c r="C29" s="585"/>
      <c r="D29" s="585"/>
      <c r="E29" s="585"/>
      <c r="F29" s="585"/>
      <c r="G29" s="585"/>
      <c r="J29" s="127"/>
      <c r="K29" s="127"/>
      <c r="L29" s="127"/>
      <c r="Q29" s="585"/>
      <c r="R29" s="585"/>
      <c r="S29" s="585"/>
      <c r="T29" s="585"/>
      <c r="U29" s="585"/>
    </row>
    <row r="30" spans="1:32" ht="11.85" customHeight="1">
      <c r="T30" s="131"/>
      <c r="U30" s="131"/>
      <c r="V30" s="131"/>
      <c r="W30" s="6"/>
      <c r="X30" s="6"/>
      <c r="Y30" s="6"/>
      <c r="Z30" s="6"/>
    </row>
    <row r="31" spans="1:32" ht="11.85" customHeight="1">
      <c r="Z31" s="6"/>
    </row>
    <row r="32" spans="1:32" ht="11.85" customHeight="1"/>
    <row r="33" spans="1:22" ht="11.85" customHeight="1"/>
    <row r="34" spans="1:22" ht="11.85" customHeight="1"/>
    <row r="35" spans="1:22" ht="11.85" customHeight="1"/>
    <row r="36" spans="1:22" ht="11.85" customHeight="1"/>
    <row r="37" spans="1:22" ht="11.85" customHeight="1"/>
    <row r="38" spans="1:22" ht="11.85" customHeight="1">
      <c r="A38" s="203" t="str">
        <f>'Translate&amp;Prices&amp;Logo'!$B$249</f>
        <v>Ceny jsou platné od 27.1.2026/Verze 8.6</v>
      </c>
    </row>
    <row r="39" spans="1:22" ht="11.85" hidden="1" customHeight="1">
      <c r="V39" s="152">
        <v>1</v>
      </c>
    </row>
  </sheetData>
  <sheetProtection algorithmName="SHA-512" hashValue="7la0t0puseTdS2o0DdTa6m1lWmZdJwVJpfxOyC3r5yjW8Q+cGJ5Vc3ARSb5SZobe7bRmp1ahvQ962+CT7YyerA==" saltValue="YbYrkRiFx+X6XU3O/23p5w==" spinCount="100000" sheet="1"/>
  <mergeCells count="7">
    <mergeCell ref="B28:G29"/>
    <mergeCell ref="Q28:U29"/>
    <mergeCell ref="K4:V6"/>
    <mergeCell ref="V2:V3"/>
    <mergeCell ref="B14:G15"/>
    <mergeCell ref="Q14:U15"/>
    <mergeCell ref="J21:O22"/>
  </mergeCells>
  <dataValidations xWindow="1021" yWindow="489" count="1">
    <dataValidation type="list" allowBlank="1" showInputMessage="1" showErrorMessage="1" promptTitle="Upozornění" sqref="V39" xr:uid="{72B387B7-3559-4077-8B18-1F33FFC28C00}">
      <formula1>"1,2,3,4,5,6"</formula1>
    </dataValidation>
  </dataValidations>
  <pageMargins left="0.7" right="0.7" top="0.78740157499999996" bottom="0.78740157499999996"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4567-DC14-458B-8112-B7142CC113E9}">
  <sheetPr codeName="List8">
    <pageSetUpPr autoPageBreaks="0"/>
  </sheetPr>
  <dimension ref="A1:X38"/>
  <sheetViews>
    <sheetView showGridLines="0" showRowColHeaders="0" workbookViewId="0">
      <selection activeCell="R34" sqref="R34:S35"/>
    </sheetView>
  </sheetViews>
  <sheetFormatPr defaultColWidth="0" defaultRowHeight="15" zeroHeight="1"/>
  <cols>
    <col min="1" max="3" width="8.5703125" style="1" customWidth="1"/>
    <col min="4" max="4" width="6.5703125" style="1" customWidth="1"/>
    <col min="5" max="9" width="8.5703125" style="1" customWidth="1"/>
    <col min="10" max="10" width="3.140625" style="1" customWidth="1"/>
    <col min="11" max="12" width="9.85546875" style="1" customWidth="1"/>
    <col min="13" max="16" width="8.5703125" style="1" customWidth="1"/>
    <col min="17" max="17" width="6.5703125" style="1" customWidth="1"/>
    <col min="18" max="19" width="8.5703125" style="1" customWidth="1"/>
    <col min="20" max="20" width="10.5703125" style="1" customWidth="1"/>
    <col min="21" max="16384" width="8.5703125" style="1" hidden="1"/>
  </cols>
  <sheetData>
    <row r="1" spans="1:23">
      <c r="A1" s="38"/>
      <c r="B1" s="38"/>
      <c r="C1" s="38"/>
      <c r="D1" s="38"/>
      <c r="E1" s="38"/>
      <c r="F1" s="38"/>
      <c r="G1" s="38"/>
      <c r="H1" s="38"/>
      <c r="I1" s="38"/>
      <c r="J1" s="38"/>
      <c r="K1" s="38"/>
      <c r="L1" s="38"/>
      <c r="M1" s="38"/>
      <c r="N1" s="38"/>
      <c r="O1" s="38"/>
    </row>
    <row r="2" spans="1:23">
      <c r="A2" s="39"/>
      <c r="B2" s="39"/>
      <c r="C2" s="39"/>
      <c r="D2" s="39"/>
      <c r="E2" s="39"/>
      <c r="F2" s="39"/>
      <c r="G2" s="39"/>
      <c r="H2" s="39"/>
      <c r="I2" s="39"/>
      <c r="J2" s="39"/>
      <c r="K2" s="39"/>
      <c r="L2" s="39"/>
      <c r="M2" s="39"/>
      <c r="N2" s="39"/>
      <c r="O2" s="39"/>
      <c r="P2" s="15"/>
      <c r="Q2" s="580" t="str">
        <f>'Translate&amp;Prices&amp;Logo'!$B$542</f>
        <v>Úvod</v>
      </c>
      <c r="R2" s="581"/>
      <c r="S2" s="581"/>
      <c r="T2" s="581"/>
    </row>
    <row r="3" spans="1:23">
      <c r="A3" s="39"/>
      <c r="B3" s="39"/>
      <c r="C3" s="39"/>
      <c r="D3" s="39"/>
      <c r="E3" s="39"/>
      <c r="F3" s="39"/>
      <c r="G3" s="39"/>
      <c r="H3" s="39"/>
      <c r="I3" s="39"/>
      <c r="J3" s="39"/>
      <c r="K3" s="39"/>
      <c r="L3" s="39"/>
      <c r="M3" s="39"/>
      <c r="N3" s="39"/>
      <c r="O3" s="39"/>
      <c r="P3" s="15"/>
      <c r="Q3" s="580"/>
      <c r="R3" s="581"/>
      <c r="S3" s="581"/>
      <c r="T3" s="581"/>
    </row>
    <row r="4" spans="1:23">
      <c r="A4" s="38"/>
      <c r="B4" s="38"/>
      <c r="C4" s="38"/>
      <c r="D4" s="38"/>
      <c r="E4" s="38"/>
      <c r="F4" s="38"/>
      <c r="G4" s="38"/>
      <c r="H4" s="38"/>
      <c r="I4" s="38"/>
    </row>
    <row r="5" spans="1:23">
      <c r="A5" s="38"/>
      <c r="B5" s="38"/>
      <c r="C5" s="38"/>
      <c r="D5" s="38"/>
      <c r="E5" s="38"/>
      <c r="F5" s="3" t="str">
        <f>'Translate&amp;Prices&amp;Logo'!$B$304</f>
        <v>Vždy používejte aktuální verzi formuláře, který je dostupný na našich stránkách.</v>
      </c>
      <c r="G5" s="38"/>
      <c r="H5" s="38"/>
    </row>
    <row r="6" spans="1:23">
      <c r="I6" s="281"/>
      <c r="J6" s="281"/>
      <c r="K6" s="281"/>
      <c r="L6" s="281"/>
      <c r="M6" s="281"/>
      <c r="N6" s="281"/>
      <c r="O6" s="281"/>
      <c r="P6" s="281"/>
      <c r="Q6" s="281"/>
      <c r="R6" s="281"/>
      <c r="S6" s="281"/>
      <c r="T6" s="281"/>
      <c r="U6" s="281"/>
      <c r="V6" s="281"/>
      <c r="W6" s="281"/>
    </row>
    <row r="7" spans="1:23"/>
    <row r="8" spans="1:23" ht="11.1" customHeight="1"/>
    <row r="9" spans="1:23" ht="11.1" customHeight="1">
      <c r="E9" s="58"/>
    </row>
    <row r="10" spans="1:23" ht="12" customHeight="1">
      <c r="E10" s="58" t="str">
        <f>'Translate&amp;Prices&amp;Logo'!B308</f>
        <v xml:space="preserve">Vyplňte prosím vaše kontaktní údaje a poté klikněte na požadované políčko níže. </v>
      </c>
    </row>
    <row r="11" spans="1:23">
      <c r="E11" s="596"/>
      <c r="F11" s="596"/>
      <c r="G11" s="596"/>
      <c r="H11" s="596"/>
      <c r="I11" s="596"/>
      <c r="J11" s="31"/>
      <c r="K11" s="597"/>
      <c r="L11" s="597"/>
      <c r="M11" s="597"/>
      <c r="N11" s="597"/>
      <c r="O11" s="597"/>
      <c r="P11" s="597"/>
    </row>
    <row r="12" spans="1:23"/>
    <row r="13" spans="1:23">
      <c r="E13" s="589" t="str">
        <f>'Translate&amp;Prices&amp;Logo'!$B$251</f>
        <v>Zákazník</v>
      </c>
      <c r="F13" s="589"/>
      <c r="G13" s="589"/>
      <c r="H13" s="589"/>
      <c r="I13" s="589"/>
      <c r="K13" s="598"/>
      <c r="L13" s="598"/>
      <c r="M13" s="598"/>
      <c r="N13" s="598"/>
      <c r="O13" s="598"/>
      <c r="P13" s="598"/>
    </row>
    <row r="14" spans="1:23">
      <c r="K14" s="29"/>
      <c r="L14" s="29"/>
      <c r="M14" s="29"/>
      <c r="N14" s="29"/>
      <c r="O14" s="29"/>
      <c r="P14" s="29"/>
    </row>
    <row r="15" spans="1:23">
      <c r="E15" s="589" t="str">
        <f>'Translate&amp;Prices&amp;Logo'!$B$255</f>
        <v>IČ:</v>
      </c>
      <c r="F15" s="589"/>
      <c r="G15" s="589"/>
      <c r="H15" s="589"/>
      <c r="I15" s="589"/>
      <c r="K15" s="598"/>
      <c r="L15" s="598"/>
      <c r="M15" s="598"/>
      <c r="N15" s="598"/>
      <c r="O15" s="598"/>
      <c r="P15" s="598"/>
    </row>
    <row r="16" spans="1:23">
      <c r="K16" s="29"/>
      <c r="L16" s="29"/>
      <c r="M16" s="29"/>
      <c r="N16" s="29"/>
      <c r="O16" s="29"/>
      <c r="P16" s="29"/>
    </row>
    <row r="17" spans="5:16">
      <c r="E17" s="589" t="str">
        <f>'Translate&amp;Prices&amp;Logo'!$B$252</f>
        <v>Kontaktní tel.</v>
      </c>
      <c r="F17" s="589"/>
      <c r="G17" s="589"/>
      <c r="H17" s="589"/>
      <c r="I17" s="589"/>
      <c r="K17" s="599"/>
      <c r="L17" s="598"/>
      <c r="M17" s="598"/>
      <c r="N17" s="598"/>
      <c r="O17" s="598"/>
      <c r="P17" s="598"/>
    </row>
    <row r="18" spans="5:16">
      <c r="K18" s="29"/>
      <c r="L18" s="29"/>
      <c r="M18" s="29"/>
      <c r="N18" s="29"/>
      <c r="O18" s="29"/>
      <c r="P18" s="29"/>
    </row>
    <row r="19" spans="5:16">
      <c r="E19" s="589" t="str">
        <f>'Translate&amp;Prices&amp;Logo'!$B$253</f>
        <v>Kontaktní e-mail</v>
      </c>
      <c r="F19" s="589"/>
      <c r="G19" s="589"/>
      <c r="H19" s="589"/>
      <c r="I19" s="589"/>
      <c r="K19" s="598"/>
      <c r="L19" s="598"/>
      <c r="M19" s="598"/>
      <c r="N19" s="598"/>
      <c r="O19" s="598"/>
      <c r="P19" s="598"/>
    </row>
    <row r="20" spans="5:16">
      <c r="K20" s="29"/>
      <c r="L20" s="29"/>
      <c r="M20" s="29"/>
      <c r="N20" s="29"/>
      <c r="O20" s="29"/>
      <c r="P20" s="29"/>
    </row>
    <row r="21" spans="5:16">
      <c r="E21" s="589" t="str">
        <f>'Translate&amp;Prices&amp;Logo'!$B$256</f>
        <v>Sleva na rámečky</v>
      </c>
      <c r="F21" s="589"/>
      <c r="G21" s="589"/>
      <c r="H21" s="589"/>
      <c r="I21" s="589"/>
      <c r="K21" s="601"/>
      <c r="L21" s="601"/>
      <c r="M21" s="601"/>
      <c r="N21" s="601"/>
      <c r="O21" s="601"/>
      <c r="P21" s="327" t="s">
        <v>4015</v>
      </c>
    </row>
    <row r="22" spans="5:16" ht="14.25" customHeight="1">
      <c r="K22" s="282">
        <v>0.2</v>
      </c>
      <c r="L22" s="282"/>
      <c r="M22" s="282"/>
      <c r="N22" s="282"/>
      <c r="O22" s="282"/>
      <c r="P22" s="282"/>
    </row>
    <row r="23" spans="5:16">
      <c r="E23" s="590" t="str">
        <f>IF(Hlavní!V39=3,"Dostawa","")</f>
        <v/>
      </c>
      <c r="F23" s="590"/>
      <c r="G23" s="590"/>
      <c r="H23" s="590"/>
      <c r="I23" s="590"/>
      <c r="K23" s="591"/>
      <c r="L23" s="591"/>
      <c r="M23" s="591"/>
      <c r="N23" s="591"/>
      <c r="O23" s="591"/>
      <c r="P23" s="591"/>
    </row>
    <row r="24" spans="5:16" ht="14.25" customHeight="1">
      <c r="K24" s="49" t="s">
        <v>3507</v>
      </c>
      <c r="L24" s="600" t="s">
        <v>3508</v>
      </c>
      <c r="M24" s="600"/>
      <c r="N24" s="600"/>
      <c r="O24" s="600"/>
      <c r="P24" s="49" t="s">
        <v>3507</v>
      </c>
    </row>
    <row r="25" spans="5:16" ht="14.25" customHeight="1">
      <c r="E25" s="590" t="str">
        <f>IF(Hlavní!V39=3,"Adres","")</f>
        <v/>
      </c>
      <c r="F25" s="590"/>
      <c r="G25" s="590"/>
      <c r="H25" s="590"/>
      <c r="I25" s="590"/>
      <c r="K25" s="592"/>
      <c r="L25" s="592"/>
      <c r="M25" s="592"/>
      <c r="N25" s="592"/>
      <c r="O25" s="592"/>
      <c r="P25" s="592"/>
    </row>
    <row r="26" spans="5:16" ht="14.25" customHeight="1">
      <c r="K26" s="592"/>
      <c r="L26" s="592"/>
      <c r="M26" s="592"/>
      <c r="N26" s="592"/>
      <c r="O26" s="592"/>
      <c r="P26" s="592"/>
    </row>
    <row r="27" spans="5:16" ht="14.25" customHeight="1">
      <c r="K27" s="592"/>
      <c r="L27" s="592"/>
      <c r="M27" s="592"/>
      <c r="N27" s="592"/>
      <c r="O27" s="592"/>
      <c r="P27" s="592"/>
    </row>
    <row r="28" spans="5:16" ht="14.25" customHeight="1"/>
    <row r="29" spans="5:16">
      <c r="E29" s="595" t="str">
        <f>IF(K23="Dostawa na adres","W przypadku wyboru DOSTAWA NA ADRES do zamówienia zostanie automatycznie doliczona opłata transportowa. Aby uzyskać informacje o kosztach wysyłki powyżej 20 ramek, skontaktuj się z obsługą klienta: tel: 327908582, email: zamowienia@demos-trade.com","")</f>
        <v/>
      </c>
      <c r="F29" s="595"/>
      <c r="G29" s="595"/>
      <c r="H29" s="595"/>
      <c r="I29" s="595"/>
      <c r="J29" s="595"/>
      <c r="K29" s="595"/>
      <c r="L29" s="595"/>
      <c r="M29" s="595"/>
      <c r="N29" s="595"/>
      <c r="O29" s="595"/>
      <c r="P29" s="595"/>
    </row>
    <row r="30" spans="5:16">
      <c r="E30" s="595"/>
      <c r="F30" s="595"/>
      <c r="G30" s="595"/>
      <c r="H30" s="595"/>
      <c r="I30" s="595"/>
      <c r="J30" s="595"/>
      <c r="K30" s="595"/>
      <c r="L30" s="595"/>
      <c r="M30" s="595"/>
      <c r="N30" s="595"/>
      <c r="O30" s="595"/>
      <c r="P30" s="595"/>
    </row>
    <row r="31" spans="5:16">
      <c r="E31" s="595"/>
      <c r="F31" s="595"/>
      <c r="G31" s="595"/>
      <c r="H31" s="595"/>
      <c r="I31" s="595"/>
      <c r="J31" s="595"/>
      <c r="K31" s="595"/>
      <c r="L31" s="595"/>
      <c r="M31" s="595"/>
      <c r="N31" s="595"/>
      <c r="O31" s="595"/>
      <c r="P31" s="595"/>
    </row>
    <row r="32" spans="5:16">
      <c r="E32" s="280"/>
      <c r="F32" s="280"/>
      <c r="G32" s="280"/>
      <c r="H32" s="280"/>
      <c r="I32" s="280"/>
      <c r="J32" s="280"/>
      <c r="K32" s="280"/>
      <c r="L32" s="280"/>
      <c r="M32" s="280"/>
      <c r="N32" s="280"/>
      <c r="O32" s="280"/>
      <c r="P32" s="280"/>
    </row>
    <row r="33" spans="2:24"/>
    <row r="34" spans="2:24">
      <c r="B34" s="580" t="str">
        <f>"&lt;"&amp;" "&amp;'Translate&amp;Prices&amp;Logo'!$B$576</f>
        <v>&lt; Zpět</v>
      </c>
      <c r="C34" s="581"/>
      <c r="E34" s="280"/>
      <c r="F34" s="280"/>
      <c r="G34" s="280"/>
      <c r="H34" s="280"/>
      <c r="I34" s="280"/>
      <c r="J34" s="280"/>
      <c r="K34" s="593" t="s">
        <v>3543</v>
      </c>
      <c r="L34" s="594"/>
      <c r="M34" s="280"/>
      <c r="N34" s="280"/>
      <c r="O34" s="280"/>
      <c r="P34" s="280"/>
      <c r="R34" s="593" t="str">
        <f>'Translate&amp;Prices&amp;Logo'!$B$568&amp;" "&amp;"&gt;"</f>
        <v>Dále &gt;</v>
      </c>
      <c r="S34" s="594"/>
      <c r="U34" s="6">
        <f>IF('Translate&amp;Prices&amp;Logo'!D1=3,1,0)</f>
        <v>0</v>
      </c>
      <c r="V34" s="6">
        <f>IF(K23="",0,1)</f>
        <v>0</v>
      </c>
      <c r="W34" s="6">
        <f>IF(AND(U34=1,V34=1),1,0)</f>
        <v>0</v>
      </c>
      <c r="X34" s="6">
        <f>IF(OR(W34=1,W35=1),1,0)</f>
        <v>1</v>
      </c>
    </row>
    <row r="35" spans="2:24">
      <c r="B35" s="580"/>
      <c r="C35" s="581"/>
      <c r="E35" s="280"/>
      <c r="F35" s="280"/>
      <c r="G35" s="280"/>
      <c r="H35" s="280"/>
      <c r="I35" s="280"/>
      <c r="J35" s="280"/>
      <c r="K35" s="593"/>
      <c r="L35" s="594"/>
      <c r="M35" s="280"/>
      <c r="N35" s="280"/>
      <c r="O35" s="280"/>
      <c r="P35" s="280"/>
      <c r="R35" s="593"/>
      <c r="S35" s="594"/>
      <c r="U35" s="6" t="s">
        <v>3484</v>
      </c>
      <c r="V35" s="6"/>
      <c r="W35" s="6">
        <f>IF('Translate&amp;Prices&amp;Logo'!D1&lt;&gt;3,1,0)</f>
        <v>1</v>
      </c>
      <c r="X35" s="6"/>
    </row>
    <row r="36" spans="2:24">
      <c r="U36" s="6"/>
      <c r="V36" s="6"/>
      <c r="W36" s="6"/>
      <c r="X36" s="6"/>
    </row>
    <row r="37" spans="2:24"/>
    <row r="38" spans="2:24"/>
  </sheetData>
  <sheetProtection algorithmName="SHA-512" hashValue="jnpxAQ1TYJ0JaZ9BNtiAaktBgcjUkYMkS9TssHFtvp1FTTIUe+HZzTG5RGaUIGRJWskqvZkeD4p1ce7mzT0nhA==" saltValue="N8y2sO0UdN+BKLh0+DcW7w==" spinCount="100000" sheet="1" objects="1" scenarios="1"/>
  <mergeCells count="24">
    <mergeCell ref="R34:S35"/>
    <mergeCell ref="Q2:T3"/>
    <mergeCell ref="E11:I11"/>
    <mergeCell ref="K11:P11"/>
    <mergeCell ref="E17:I17"/>
    <mergeCell ref="E15:I15"/>
    <mergeCell ref="E13:I13"/>
    <mergeCell ref="K13:P13"/>
    <mergeCell ref="K15:P15"/>
    <mergeCell ref="K17:P17"/>
    <mergeCell ref="E23:I23"/>
    <mergeCell ref="E19:I19"/>
    <mergeCell ref="K19:P19"/>
    <mergeCell ref="L24:O24"/>
    <mergeCell ref="K21:O21"/>
    <mergeCell ref="B34:C35"/>
    <mergeCell ref="E21:I21"/>
    <mergeCell ref="E25:I25"/>
    <mergeCell ref="K23:P23"/>
    <mergeCell ref="K25:P25"/>
    <mergeCell ref="K26:P26"/>
    <mergeCell ref="K27:P27"/>
    <mergeCell ref="K34:L35"/>
    <mergeCell ref="E29:P31"/>
  </mergeCells>
  <conditionalFormatting sqref="E25:I25">
    <cfRule type="expression" dxfId="500" priority="1" stopIfTrue="1">
      <formula>K23="Dostawa na adres"</formula>
    </cfRule>
  </conditionalFormatting>
  <conditionalFormatting sqref="K24">
    <cfRule type="expression" dxfId="498" priority="4">
      <formula>$K$23="Dostawa na adres"</formula>
    </cfRule>
  </conditionalFormatting>
  <conditionalFormatting sqref="K34">
    <cfRule type="expression" dxfId="497" priority="16" stopIfTrue="1">
      <formula>K23="Dostawa na adres"</formula>
    </cfRule>
  </conditionalFormatting>
  <conditionalFormatting sqref="K25:P25">
    <cfRule type="expression" dxfId="496" priority="10">
      <formula>K23="Dostawa na adres"</formula>
    </cfRule>
  </conditionalFormatting>
  <conditionalFormatting sqref="K26:P26">
    <cfRule type="expression" dxfId="495" priority="9">
      <formula>K23="Dostawa na adres"</formula>
    </cfRule>
  </conditionalFormatting>
  <conditionalFormatting sqref="K27:P27">
    <cfRule type="expression" dxfId="494" priority="15">
      <formula>K23="Dostawa na adres"</formula>
    </cfRule>
  </conditionalFormatting>
  <conditionalFormatting sqref="L24">
    <cfRule type="expression" dxfId="493" priority="5">
      <formula>$K$23="Dostawa na adres"</formula>
    </cfRule>
  </conditionalFormatting>
  <conditionalFormatting sqref="P24">
    <cfRule type="expression" dxfId="492" priority="6">
      <formula>$K$23="Dostawa na adres"</formula>
    </cfRule>
  </conditionalFormatting>
  <conditionalFormatting sqref="R34:S35">
    <cfRule type="expression" dxfId="491" priority="11">
      <formula>$X$34=1</formula>
    </cfRule>
  </conditionalFormatting>
  <dataValidations count="1">
    <dataValidation type="list" allowBlank="1" showInputMessage="1" showErrorMessage="1" sqref="K23:P23" xr:uid="{AD44FE2D-96E4-4384-A62A-C131B8424F37}">
      <formula1>"Odbiór osobisty w Demos Katowice,Dostawa na adres"</formula1>
    </dataValidation>
  </dataValidations>
  <hyperlinks>
    <hyperlink ref="Q2:T3" location="Hlavní!A1" display="Hlavní!A1" xr:uid="{B163AADE-6920-45CE-9416-12BC0A339B4E}"/>
    <hyperlink ref="B34:C35" location="Hlavní!A1" display="Hlavní!A1" xr:uid="{95AF7774-7006-4767-832D-D399C1488032}"/>
    <hyperlink ref="R34:S35" location="Potvrzení!A1" display="Potvrzení!A1" xr:uid="{1B19EF35-C5AF-4479-BD7E-F1335920A3A1}"/>
    <hyperlink ref="K34:L35" location="'cennik transportu PL'!A1" display="'cennik transportu PL'!A1" xr:uid="{1A928D43-A204-482F-8C9F-611005F3B5BE}"/>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Check Box 1967">
              <controlPr locked="0" defaultSize="0" autoFill="0" autoLine="0" autoPict="0">
                <anchor moveWithCells="1">
                  <from>
                    <xdr:col>15</xdr:col>
                    <xdr:colOff>0</xdr:colOff>
                    <xdr:row>0</xdr:row>
                    <xdr:rowOff>0</xdr:rowOff>
                  </from>
                  <to>
                    <xdr:col>15</xdr:col>
                    <xdr:colOff>0</xdr:colOff>
                    <xdr:row>0</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 id="{342E72D3-919B-431D-BD96-B22BF2934F09}">
            <xm:f>'Translate&amp;Prices&amp;Logo'!$D$1=3</xm:f>
            <x14:dxf>
              <fill>
                <patternFill>
                  <fgColor auto="1"/>
                  <bgColor rgb="FF004984"/>
                </patternFill>
              </fill>
            </x14:dxf>
          </x14:cfRule>
          <xm:sqref>E23</xm:sqref>
        </x14:conditionalFormatting>
        <x14:conditionalFormatting xmlns:xm="http://schemas.microsoft.com/office/excel/2006/main">
          <x14:cfRule type="expression" priority="17" id="{94674D40-02D8-4F5D-B016-6F0CE6A52859}">
            <xm:f>'Translate&amp;Prices&amp;Logo'!$D$1=3</xm:f>
            <x14:dxf>
              <fill>
                <patternFill>
                  <fgColor auto="1"/>
                  <bgColor rgb="FF00B0F0"/>
                </patternFill>
              </fill>
            </x14:dxf>
          </x14:cfRule>
          <xm:sqref>K23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1D13-FBD2-4CC3-8522-6DCC87274798}">
  <sheetPr codeName="List4"/>
  <dimension ref="A1:S31"/>
  <sheetViews>
    <sheetView showGridLines="0" showRowColHeaders="0" workbookViewId="0">
      <selection activeCell="P2" sqref="P2:S3"/>
    </sheetView>
  </sheetViews>
  <sheetFormatPr defaultColWidth="0" defaultRowHeight="15" zeroHeight="1"/>
  <cols>
    <col min="1" max="1" width="9" customWidth="1"/>
    <col min="2" max="2" width="21.85546875" customWidth="1"/>
    <col min="3" max="7" width="24.28515625" customWidth="1"/>
    <col min="8" max="8" width="19.140625" customWidth="1"/>
    <col min="9" max="19" width="8.85546875" customWidth="1"/>
    <col min="20" max="16384" width="8.85546875" hidden="1"/>
  </cols>
  <sheetData>
    <row r="1" spans="1:19"/>
    <row r="2" spans="1:19">
      <c r="A2" s="566"/>
      <c r="B2" s="566"/>
      <c r="C2" s="566"/>
      <c r="D2" s="566"/>
      <c r="E2" s="566"/>
      <c r="F2" s="566"/>
      <c r="G2" s="566"/>
      <c r="H2" s="566"/>
      <c r="I2" s="566"/>
      <c r="J2" s="566"/>
      <c r="K2" s="566"/>
      <c r="L2" s="566"/>
      <c r="M2" s="566"/>
      <c r="N2" s="566"/>
      <c r="O2" s="566"/>
      <c r="P2" s="615" t="str">
        <f>"Powrót"</f>
        <v>Powrót</v>
      </c>
      <c r="Q2" s="582"/>
      <c r="R2" s="582"/>
      <c r="S2" s="582"/>
    </row>
    <row r="3" spans="1:19">
      <c r="A3" s="566"/>
      <c r="B3" s="566"/>
      <c r="C3" s="566"/>
      <c r="D3" s="566"/>
      <c r="E3" s="566"/>
      <c r="F3" s="566"/>
      <c r="G3" s="566"/>
      <c r="H3" s="566"/>
      <c r="I3" s="566"/>
      <c r="J3" s="566"/>
      <c r="K3" s="566"/>
      <c r="L3" s="566"/>
      <c r="M3" s="566"/>
      <c r="N3" s="566"/>
      <c r="O3" s="566"/>
      <c r="P3" s="615"/>
      <c r="Q3" s="582"/>
      <c r="R3" s="582"/>
      <c r="S3" s="582"/>
    </row>
    <row r="4" spans="1:19"/>
    <row r="9" spans="1:19"/>
    <row r="10" spans="1:19"/>
    <row r="11" spans="1:19" ht="15.75" thickBot="1"/>
    <row r="12" spans="1:19" ht="39.75" customHeight="1" thickBot="1">
      <c r="B12" s="606" t="s">
        <v>3544</v>
      </c>
      <c r="C12" s="607"/>
      <c r="D12" s="607"/>
      <c r="E12" s="607"/>
      <c r="F12" s="611"/>
      <c r="G12" s="464"/>
    </row>
    <row r="13" spans="1:19" ht="21" customHeight="1">
      <c r="B13" s="331"/>
      <c r="C13" s="604" t="s">
        <v>4291</v>
      </c>
      <c r="D13" s="604"/>
      <c r="E13" s="609" t="s">
        <v>3540</v>
      </c>
      <c r="F13" s="610"/>
      <c r="G13" s="465"/>
    </row>
    <row r="14" spans="1:19">
      <c r="B14" s="314" t="s">
        <v>3539</v>
      </c>
      <c r="C14" s="310" t="s">
        <v>4327</v>
      </c>
      <c r="D14" s="310" t="s">
        <v>4381</v>
      </c>
      <c r="E14" s="309" t="s">
        <v>4383</v>
      </c>
      <c r="F14" s="309" t="s">
        <v>4384</v>
      </c>
      <c r="G14" s="466"/>
    </row>
    <row r="15" spans="1:19">
      <c r="B15" s="332" t="s">
        <v>3556</v>
      </c>
      <c r="C15" s="329" t="s">
        <v>4374</v>
      </c>
      <c r="D15" s="329" t="s">
        <v>4374</v>
      </c>
      <c r="E15" s="330" t="s">
        <v>4377</v>
      </c>
      <c r="F15" s="330" t="s">
        <v>4378</v>
      </c>
      <c r="G15" s="467"/>
    </row>
    <row r="16" spans="1:19" ht="15.75" thickBot="1">
      <c r="B16" s="315" t="s">
        <v>4290</v>
      </c>
      <c r="C16" s="418" t="s">
        <v>4287</v>
      </c>
      <c r="D16" s="418" t="s">
        <v>4288</v>
      </c>
      <c r="E16" s="612" t="s">
        <v>4289</v>
      </c>
      <c r="F16" s="613"/>
      <c r="G16" s="468"/>
    </row>
    <row r="17" spans="2:19" ht="25.5" customHeight="1"/>
    <row r="18" spans="2:19" ht="25.5" customHeight="1">
      <c r="B18" s="614" t="s">
        <v>4324</v>
      </c>
      <c r="C18" s="614"/>
      <c r="D18" s="614"/>
      <c r="E18" s="429"/>
    </row>
    <row r="19" spans="2:19" ht="25.5" customHeight="1">
      <c r="B19" s="614"/>
      <c r="C19" s="614"/>
      <c r="D19" s="614"/>
      <c r="E19" s="429"/>
    </row>
    <row r="20" spans="2:19" ht="15.75" thickBot="1"/>
    <row r="21" spans="2:19" ht="39.75" customHeight="1" thickBot="1">
      <c r="B21" s="606" t="s">
        <v>3541</v>
      </c>
      <c r="C21" s="607"/>
      <c r="D21" s="608"/>
      <c r="E21" s="463"/>
      <c r="F21" s="463"/>
      <c r="G21" s="463"/>
      <c r="H21" s="311"/>
      <c r="P21" s="603" t="str">
        <f>IF(Posuv!I17="Dostawa na adres","Ramki przesuwne","")</f>
        <v/>
      </c>
      <c r="Q21" s="603"/>
      <c r="R21" s="603"/>
      <c r="S21" s="603"/>
    </row>
    <row r="22" spans="2:19" ht="18.75" customHeight="1">
      <c r="B22" s="334" t="s">
        <v>3542</v>
      </c>
      <c r="C22" s="460" t="s">
        <v>4375</v>
      </c>
      <c r="D22" s="335" t="s">
        <v>4376</v>
      </c>
      <c r="E22" s="461"/>
      <c r="H22" s="312"/>
    </row>
    <row r="23" spans="2:19">
      <c r="B23" s="332" t="s">
        <v>3556</v>
      </c>
      <c r="C23" s="329" t="s">
        <v>4374</v>
      </c>
      <c r="D23" s="336" t="s">
        <v>4380</v>
      </c>
      <c r="E23" s="461"/>
      <c r="H23" s="174"/>
      <c r="P23" s="602" t="s">
        <v>1432</v>
      </c>
      <c r="Q23" s="602"/>
      <c r="R23" s="602"/>
      <c r="S23" s="602"/>
    </row>
    <row r="24" spans="2:19" ht="15.75" thickBot="1">
      <c r="B24" s="315" t="s">
        <v>4290</v>
      </c>
      <c r="C24" s="418" t="s">
        <v>4329</v>
      </c>
      <c r="D24" s="333" t="s">
        <v>4330</v>
      </c>
      <c r="E24" s="462"/>
      <c r="H24" s="313"/>
      <c r="P24" s="602"/>
      <c r="Q24" s="602"/>
      <c r="R24" s="602"/>
      <c r="S24" s="602"/>
    </row>
    <row r="25" spans="2:19"/>
    <row r="26" spans="2:19" ht="15" customHeight="1">
      <c r="B26" s="605" t="s">
        <v>4337</v>
      </c>
      <c r="C26" s="605"/>
      <c r="D26" s="605"/>
      <c r="E26" s="605"/>
      <c r="F26" s="605"/>
      <c r="G26" s="605"/>
      <c r="P26" s="582" t="s">
        <v>1224</v>
      </c>
      <c r="Q26" s="582"/>
      <c r="R26" s="582"/>
      <c r="S26" s="582"/>
    </row>
    <row r="27" spans="2:19" ht="15" customHeight="1">
      <c r="B27" s="605"/>
      <c r="C27" s="605"/>
      <c r="D27" s="605"/>
      <c r="E27" s="605"/>
      <c r="F27" s="605"/>
      <c r="G27" s="605"/>
      <c r="P27" s="582"/>
      <c r="Q27" s="582"/>
      <c r="R27" s="582"/>
      <c r="S27" s="582"/>
    </row>
    <row r="28" spans="2:19" ht="15" customHeight="1">
      <c r="B28" s="429"/>
      <c r="C28" s="429"/>
      <c r="D28" s="429"/>
      <c r="E28" s="429"/>
    </row>
    <row r="29" spans="2:19"/>
    <row r="30" spans="2:19"/>
    <row r="31" spans="2:19"/>
  </sheetData>
  <sheetProtection algorithmName="SHA-512" hashValue="7GR2We0x2EHu+/zQ0jrJB169cKlsARsIUet/XQuKctDTCzlhSEDfJ9HXgi7ZEWc9GCl4wIz93sKto9yKUUHHcw==" saltValue="Mz9WqRTyEXritHHOJbtTnQ==" spinCount="100000" sheet="1" objects="1" scenarios="1"/>
  <mergeCells count="12">
    <mergeCell ref="B12:F12"/>
    <mergeCell ref="E16:F16"/>
    <mergeCell ref="B18:D19"/>
    <mergeCell ref="A2:O3"/>
    <mergeCell ref="P2:S3"/>
    <mergeCell ref="P26:S27"/>
    <mergeCell ref="P23:S24"/>
    <mergeCell ref="P21:S21"/>
    <mergeCell ref="C13:D13"/>
    <mergeCell ref="B26:G27"/>
    <mergeCell ref="B21:D21"/>
    <mergeCell ref="E13:F13"/>
  </mergeCells>
  <hyperlinks>
    <hyperlink ref="P2:S3" location="Zakaznik!A1" display="Zakaznik!A1" xr:uid="{77B16D2E-B066-4985-843A-35ED250D3458}"/>
    <hyperlink ref="P26:S27" location="_souhrn!A1" display="_souhrn!A1" xr:uid="{1C2AFC48-B0E5-454B-AF7E-5E9AC4D2FFE5}"/>
    <hyperlink ref="P23:S24" location="Sklo!A1" display="Zamówienie szkła" xr:uid="{49FFC164-97E0-4587-AE81-565DB7AFE7CA}"/>
    <hyperlink ref="P21:S21" location="Posuv!A1" display="Posuv!A1" xr:uid="{6054B7FC-B16E-4D10-9297-CC8814DD0D44}"/>
  </hyperlinks>
  <pageMargins left="0.7" right="0.7" top="0.78740157499999996" bottom="0.78740157499999996" header="0.3" footer="0.3"/>
  <pageSetup paperSize="9" orientation="portrait" horizontalDpi="0"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 id="{196E0E6B-527A-445C-821B-78D735E1367A}">
            <xm:f>Posuv!I17="Dostawa na adres"</xm:f>
            <x14:dxf>
              <font>
                <color theme="0"/>
              </font>
              <fill>
                <patternFill>
                  <bgColor rgb="FF00B050"/>
                </patternFill>
              </fill>
            </x14:dxf>
          </x14:cfRule>
          <xm:sqref>P21:S21</xm:sqref>
        </x14:conditionalFormatting>
        <x14:conditionalFormatting xmlns:xm="http://schemas.microsoft.com/office/excel/2006/main">
          <x14:cfRule type="expression" priority="3" id="{9D5CA566-5D6A-4534-86B2-F596BC000E62}">
            <xm:f>Sklo!$I$16="Dostawa na adres"</xm:f>
            <x14:dxf>
              <fill>
                <patternFill>
                  <bgColor rgb="FF00B050"/>
                </patternFill>
              </fill>
            </x14:dxf>
          </x14:cfRule>
          <xm:sqref>P23:S24</xm:sqref>
        </x14:conditionalFormatting>
        <x14:conditionalFormatting xmlns:xm="http://schemas.microsoft.com/office/excel/2006/main">
          <x14:cfRule type="expression" priority="2" id="{B9AC0D46-924A-4CBF-9D06-27B9B342159F}">
            <xm:f>Zakaznik!$K$23="Dostawa na adres"</xm:f>
            <x14:dxf>
              <fill>
                <patternFill>
                  <bgColor rgb="FF00B050"/>
                </patternFill>
              </fill>
            </x14:dxf>
          </x14:cfRule>
          <xm:sqref>P26:S27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01DA-A65C-4EE7-A54C-9363E0165FF1}">
  <sheetPr codeName="List28"/>
  <dimension ref="A1:AM64"/>
  <sheetViews>
    <sheetView showGridLines="0" showRowColHeaders="0" workbookViewId="0">
      <selection activeCell="I8" sqref="I8:N8"/>
    </sheetView>
  </sheetViews>
  <sheetFormatPr defaultColWidth="0" defaultRowHeight="14.85" customHeight="1" zeroHeight="1"/>
  <cols>
    <col min="1" max="3" width="8.5703125" style="133" customWidth="1"/>
    <col min="4" max="4" width="6.5703125" style="133" customWidth="1"/>
    <col min="5" max="16" width="8.5703125" style="133" customWidth="1"/>
    <col min="17" max="17" width="6.5703125" style="133" customWidth="1"/>
    <col min="18" max="18" width="8.5703125" style="133" customWidth="1"/>
    <col min="19" max="20" width="11.28515625" style="133" customWidth="1"/>
    <col min="21" max="21" width="17.5703125" style="133" hidden="1" customWidth="1"/>
    <col min="22" max="22" width="8.85546875" style="133" hidden="1" customWidth="1"/>
    <col min="23" max="23" width="18.5703125" style="133" hidden="1" customWidth="1"/>
    <col min="24" max="34" width="8.85546875" style="133" hidden="1" customWidth="1"/>
    <col min="35" max="35" width="16.7109375" style="133" hidden="1" customWidth="1"/>
    <col min="36" max="16384" width="8.85546875" style="133" hidden="1"/>
  </cols>
  <sheetData>
    <row r="1" spans="1:39" ht="15">
      <c r="A1" s="38"/>
      <c r="B1" s="38"/>
      <c r="C1" s="38"/>
      <c r="D1" s="38"/>
      <c r="E1" s="38"/>
      <c r="F1" s="38"/>
      <c r="G1" s="38"/>
      <c r="H1" s="38"/>
      <c r="I1" s="38"/>
      <c r="J1" s="38"/>
      <c r="K1" s="38"/>
      <c r="L1" s="38"/>
      <c r="M1" s="38"/>
      <c r="N1" s="38"/>
      <c r="O1" s="38"/>
      <c r="P1" s="1"/>
      <c r="Q1" s="1"/>
      <c r="R1" s="1"/>
      <c r="S1" s="1"/>
      <c r="T1" s="1"/>
      <c r="AJ1" s="410">
        <v>800</v>
      </c>
      <c r="AK1" s="410">
        <v>1400</v>
      </c>
      <c r="AL1" s="410">
        <v>2300</v>
      </c>
      <c r="AM1" s="410">
        <v>2750</v>
      </c>
    </row>
    <row r="2" spans="1:39" ht="15">
      <c r="A2" s="39"/>
      <c r="B2" s="39"/>
      <c r="C2" s="39"/>
      <c r="D2" s="39"/>
      <c r="E2" s="628"/>
      <c r="F2" s="628"/>
      <c r="G2" s="628"/>
      <c r="H2" s="628"/>
      <c r="I2" s="628"/>
      <c r="J2" s="628"/>
      <c r="K2" s="628"/>
      <c r="L2" s="628"/>
      <c r="M2" s="628"/>
      <c r="N2" s="628"/>
      <c r="O2" s="628"/>
      <c r="P2" s="629"/>
      <c r="Q2" s="625" t="str">
        <f>'Translate&amp;Prices&amp;Logo'!$B$542</f>
        <v>Úvod</v>
      </c>
      <c r="R2" s="626"/>
      <c r="S2" s="626"/>
      <c r="T2" s="626"/>
      <c r="AJ2" s="410">
        <v>800</v>
      </c>
      <c r="AK2" s="410">
        <v>800</v>
      </c>
      <c r="AL2" s="616">
        <v>750</v>
      </c>
      <c r="AM2" s="617"/>
    </row>
    <row r="3" spans="1:39" ht="15">
      <c r="A3" s="39"/>
      <c r="B3" s="39"/>
      <c r="C3" s="39"/>
      <c r="D3" s="39"/>
      <c r="E3" s="628"/>
      <c r="F3" s="628"/>
      <c r="G3" s="628"/>
      <c r="H3" s="628"/>
      <c r="I3" s="628"/>
      <c r="J3" s="628"/>
      <c r="K3" s="628"/>
      <c r="L3" s="628"/>
      <c r="M3" s="628"/>
      <c r="N3" s="628"/>
      <c r="O3" s="628"/>
      <c r="P3" s="629"/>
      <c r="Q3" s="625"/>
      <c r="R3" s="626"/>
      <c r="S3" s="626"/>
      <c r="T3" s="626"/>
      <c r="W3" s="133" t="e">
        <f>VLOOKUP(I24,V5:W7,2,0)</f>
        <v>#N/A</v>
      </c>
      <c r="AJ3" s="349" t="s">
        <v>4295</v>
      </c>
      <c r="AK3" s="349" t="s">
        <v>4296</v>
      </c>
      <c r="AL3" s="350" t="s">
        <v>4297</v>
      </c>
      <c r="AM3" s="350" t="s">
        <v>4298</v>
      </c>
    </row>
    <row r="4" spans="1:39" ht="15">
      <c r="A4" s="38"/>
      <c r="B4" s="38"/>
      <c r="C4" s="38"/>
      <c r="D4" s="38"/>
      <c r="E4" s="38"/>
      <c r="F4" s="38"/>
      <c r="G4" s="38"/>
      <c r="H4" s="38"/>
      <c r="I4" s="38"/>
      <c r="J4" s="1"/>
      <c r="K4" s="1"/>
      <c r="L4" s="1"/>
      <c r="M4" s="1"/>
      <c r="N4" s="1"/>
      <c r="O4" s="1"/>
      <c r="P4" s="1"/>
      <c r="Q4" s="1"/>
      <c r="R4" s="1"/>
      <c r="S4" s="1"/>
      <c r="T4" s="1"/>
      <c r="AE4" s="1"/>
      <c r="AJ4" s="469">
        <v>35</v>
      </c>
      <c r="AK4" s="469">
        <v>35</v>
      </c>
      <c r="AL4" s="469">
        <v>288</v>
      </c>
      <c r="AM4" s="469">
        <v>332</v>
      </c>
    </row>
    <row r="5" spans="1:39" ht="14.85" customHeight="1">
      <c r="A5" s="1"/>
      <c r="B5" s="1"/>
      <c r="C5" s="1"/>
      <c r="D5" s="1"/>
      <c r="E5" s="1"/>
      <c r="F5" s="1"/>
      <c r="G5" s="1"/>
      <c r="H5" s="1"/>
      <c r="I5" s="1"/>
      <c r="J5" s="1"/>
      <c r="K5" s="1"/>
      <c r="L5" s="1"/>
      <c r="M5" s="1"/>
      <c r="N5" s="1"/>
      <c r="O5" s="1"/>
      <c r="P5" s="1"/>
      <c r="Q5" s="1"/>
      <c r="R5" s="1"/>
      <c r="S5" s="1"/>
      <c r="T5" s="1"/>
      <c r="V5" s="133" t="str">
        <f>'Translate&amp;Prices&amp;Logo'!B640</f>
        <v>Bez úprav</v>
      </c>
      <c r="W5" s="133">
        <v>1</v>
      </c>
      <c r="AE5" s="1"/>
      <c r="AF5" s="1"/>
      <c r="AG5" s="1"/>
      <c r="AH5" s="1"/>
      <c r="AI5" s="1"/>
      <c r="AJ5" s="1">
        <v>3</v>
      </c>
      <c r="AK5" s="133">
        <v>2</v>
      </c>
      <c r="AL5" s="621">
        <v>20</v>
      </c>
      <c r="AM5" s="621"/>
    </row>
    <row r="6" spans="1:39" ht="14.85" customHeight="1">
      <c r="A6" s="1"/>
      <c r="B6" s="1"/>
      <c r="C6" s="1"/>
      <c r="D6" s="1"/>
      <c r="E6" s="1"/>
      <c r="F6" s="1"/>
      <c r="G6" s="1"/>
      <c r="H6" s="1"/>
      <c r="I6" s="1"/>
      <c r="J6" s="1"/>
      <c r="K6" s="1"/>
      <c r="L6" s="1"/>
      <c r="M6" s="1"/>
      <c r="N6" s="1"/>
      <c r="O6" s="1"/>
      <c r="P6" s="1"/>
      <c r="Q6" s="1"/>
      <c r="R6" s="1"/>
      <c r="S6" s="1"/>
      <c r="T6" s="1"/>
      <c r="V6" s="133" t="str">
        <f>'Translate&amp;Prices&amp;Logo'!B641</f>
        <v>Kalené (termín dodání 4 týdny)</v>
      </c>
      <c r="W6" s="133">
        <v>2</v>
      </c>
      <c r="AC6" s="133" t="s">
        <v>4385</v>
      </c>
      <c r="AD6" s="133" t="s">
        <v>4386</v>
      </c>
      <c r="AE6" s="618" t="s">
        <v>4349</v>
      </c>
      <c r="AF6" s="619"/>
      <c r="AG6" s="619"/>
      <c r="AH6" s="620"/>
      <c r="AI6" s="394" t="s">
        <v>4350</v>
      </c>
      <c r="AJ6" s="1"/>
    </row>
    <row r="7" spans="1:39" ht="14.85" customHeight="1">
      <c r="A7" s="1"/>
      <c r="B7" s="1"/>
      <c r="C7" s="1"/>
      <c r="D7" s="1"/>
      <c r="E7" s="1"/>
      <c r="F7" s="1"/>
      <c r="G7" s="1"/>
      <c r="H7" s="1"/>
      <c r="I7" s="1"/>
      <c r="J7" s="1"/>
      <c r="K7" s="1"/>
      <c r="L7" s="1"/>
      <c r="M7" s="1"/>
      <c r="N7" s="1"/>
      <c r="O7" s="1"/>
      <c r="P7" s="1"/>
      <c r="Q7" s="1"/>
      <c r="R7" s="1"/>
      <c r="S7" s="1"/>
      <c r="T7" s="1"/>
      <c r="V7" s="133" t="str">
        <f>'Translate&amp;Prices&amp;Logo'!B642</f>
        <v>Folie</v>
      </c>
      <c r="W7" s="133">
        <v>3</v>
      </c>
      <c r="Z7" s="133" t="e">
        <f t="array" ref="Z7:Z64">IF(W3=1,_N1,IF(W3=2,_N2,IF(W3=3,_N3)))</f>
        <v>#N/A</v>
      </c>
      <c r="AC7" s="472">
        <f>MAX(I21:R22)</f>
        <v>0</v>
      </c>
      <c r="AD7" s="472">
        <f>MIN(I21:R22)</f>
        <v>0</v>
      </c>
      <c r="AE7" s="1" t="str">
        <f>IF(AND(IF($AD7&lt;=AJ$2,"balík A","ne")="balík A",IF($AC$7&lt;=AJ$1,"balík A","ne")="balík A",$AJ$3="balík A"),"balík A","ne")</f>
        <v>balík A</v>
      </c>
      <c r="AF7" s="1" t="str">
        <f>IF(AND(IF($AD7&lt;=AK$2,"balík B","ne")="balík B",IF($AC$7&lt;=AK$1,"balík B","ne")="balík B",$AK$3="balík B"),"balík B","ne")</f>
        <v>balík B</v>
      </c>
      <c r="AG7" s="1" t="str">
        <f>IF(AND(IF($AD7&lt;=AL$2,"paleta A","ne")="paleta A",IF($AC$7&lt;=AL$1,"paleta A","ne")="paleta A",$AL$3="paleta A"),"paleta A","ne")</f>
        <v>paleta A</v>
      </c>
      <c r="AH7" s="1" t="str">
        <f>IF(AND(IF($AD7&lt;=AL$2,"paleta B","ne")="paleta B",IF($AC$7&lt;=AM$1,"paleta B","ne")="paleta B",$AM$3="paleta B"),"paleta B","ne")</f>
        <v>paleta B</v>
      </c>
      <c r="AI7" s="1" t="str">
        <f>IF(AE7&lt;&gt;"NE",AE7,IF(AF7&lt;&gt;"NE",AF7,IF(AG7&lt;&gt;"NE",AG7,IF(AH7&lt;&gt;"Ne",AH7,"ne"))))</f>
        <v>balík A</v>
      </c>
      <c r="AJ7" s="1">
        <f>HLOOKUP(AI7,AJ3:AM4,2,0)</f>
        <v>35</v>
      </c>
      <c r="AK7" s="133" t="s">
        <v>4387</v>
      </c>
    </row>
    <row r="8" spans="1:39" ht="14.85" customHeight="1">
      <c r="A8" s="1"/>
      <c r="B8" s="1"/>
      <c r="C8" s="634" t="str">
        <f>'Translate&amp;Prices&amp;Logo'!$B$251</f>
        <v>Zákazník</v>
      </c>
      <c r="D8" s="634"/>
      <c r="E8" s="634"/>
      <c r="F8" s="634"/>
      <c r="G8" s="634"/>
      <c r="H8" s="283"/>
      <c r="I8" s="635"/>
      <c r="J8" s="635"/>
      <c r="K8" s="635"/>
      <c r="L8" s="635"/>
      <c r="M8" s="635"/>
      <c r="N8" s="635"/>
      <c r="S8" s="1"/>
      <c r="T8" s="1"/>
      <c r="Z8" s="133" t="e">
        <v>#N/A</v>
      </c>
      <c r="AE8" s="1"/>
      <c r="AF8" s="1"/>
      <c r="AG8" s="1"/>
      <c r="AH8" s="1"/>
      <c r="AI8" s="1"/>
      <c r="AJ8" s="1">
        <f>HLOOKUP(AI7,AJ3:AM5,3,0)</f>
        <v>3</v>
      </c>
      <c r="AK8" s="133" t="s">
        <v>4300</v>
      </c>
    </row>
    <row r="9" spans="1:39" ht="14.85" customHeight="1">
      <c r="A9" s="1"/>
      <c r="B9" s="1"/>
      <c r="C9" s="1"/>
      <c r="D9" s="1"/>
      <c r="E9" s="1"/>
      <c r="F9" s="1"/>
      <c r="G9" s="1"/>
      <c r="H9" s="1"/>
      <c r="I9" s="1"/>
      <c r="J9" s="1"/>
      <c r="K9" s="1"/>
      <c r="L9" s="1"/>
      <c r="M9" s="1"/>
      <c r="N9" s="1"/>
      <c r="S9" s="1"/>
      <c r="T9" s="1"/>
      <c r="U9" s="133" t="e">
        <f>IF(W3=2,'Translate&amp;Prices&amp;Logo'!C96,0)</f>
        <v>#N/A</v>
      </c>
      <c r="V9" s="133" t="s">
        <v>1931</v>
      </c>
      <c r="Z9" s="133" t="e">
        <v>#N/A</v>
      </c>
      <c r="AE9" s="432">
        <f>IF(AND(Hlavní!V39=3,I16="Dostawa na adres"),IF(AE8=6,AJ7,HLOOKUP(AE8,AE6:AI7,2,0)),0)</f>
        <v>0</v>
      </c>
      <c r="AF9" s="1"/>
      <c r="AG9" s="1"/>
      <c r="AH9" s="1"/>
      <c r="AI9" s="1"/>
      <c r="AJ9" s="1">
        <f>I30</f>
        <v>0</v>
      </c>
      <c r="AK9" s="133" t="s">
        <v>4305</v>
      </c>
    </row>
    <row r="10" spans="1:39" ht="14.85" customHeight="1">
      <c r="A10" s="1"/>
      <c r="B10" s="1"/>
      <c r="C10" s="634" t="str">
        <f>'Translate&amp;Prices&amp;Logo'!$B$255</f>
        <v>IČ:</v>
      </c>
      <c r="D10" s="634"/>
      <c r="E10" s="634"/>
      <c r="F10" s="634"/>
      <c r="G10" s="634"/>
      <c r="H10" s="283"/>
      <c r="I10" s="635"/>
      <c r="J10" s="635"/>
      <c r="K10" s="635"/>
      <c r="L10" s="635"/>
      <c r="M10" s="635"/>
      <c r="N10" s="635"/>
      <c r="S10" s="1"/>
      <c r="T10" s="1"/>
      <c r="U10" s="133">
        <f>IFERROR(IF(W3=3,(VLOOKUP(I27,'Translate&amp;Prices&amp;Logo'!B93:C95,2,0))*((I21/1000)*(I22/1000)),0),0)</f>
        <v>0</v>
      </c>
      <c r="V10" s="133" t="s">
        <v>1932</v>
      </c>
      <c r="Z10" s="133" t="e">
        <v>#N/A</v>
      </c>
      <c r="AJ10" s="133">
        <f>CEILING(AJ9/AJ8,1)</f>
        <v>0</v>
      </c>
      <c r="AK10" s="133" t="s">
        <v>4351</v>
      </c>
    </row>
    <row r="11" spans="1:39" ht="14.85" customHeight="1">
      <c r="A11" s="1"/>
      <c r="B11" s="1"/>
      <c r="C11" s="1"/>
      <c r="D11" s="1"/>
      <c r="E11" s="1"/>
      <c r="F11" s="1"/>
      <c r="G11" s="1"/>
      <c r="H11" s="1"/>
      <c r="I11" s="1"/>
      <c r="J11" s="1"/>
      <c r="K11" s="1"/>
      <c r="L11" s="1"/>
      <c r="M11" s="1"/>
      <c r="N11" s="1"/>
      <c r="S11" s="1"/>
      <c r="T11" s="1"/>
      <c r="Z11" s="133" t="e">
        <v>#N/A</v>
      </c>
      <c r="AJ11" s="133">
        <f>AJ10*AJ7</f>
        <v>0</v>
      </c>
      <c r="AK11" s="133" t="s">
        <v>3556</v>
      </c>
    </row>
    <row r="12" spans="1:39" ht="14.85" customHeight="1">
      <c r="A12" s="1"/>
      <c r="B12" s="1"/>
      <c r="C12" s="634" t="str">
        <f>'Translate&amp;Prices&amp;Logo'!$B$252</f>
        <v>Kontaktní tel.</v>
      </c>
      <c r="D12" s="634"/>
      <c r="E12" s="634"/>
      <c r="F12" s="634"/>
      <c r="G12" s="634"/>
      <c r="H12" s="283"/>
      <c r="I12" s="635"/>
      <c r="J12" s="635"/>
      <c r="K12" s="635"/>
      <c r="L12" s="635"/>
      <c r="M12" s="635"/>
      <c r="N12" s="635"/>
      <c r="S12" s="1"/>
      <c r="T12" s="1"/>
      <c r="V12" s="133" t="str">
        <f>'Translate&amp;Prices&amp;Logo'!B97</f>
        <v>Lesk</v>
      </c>
      <c r="Z12" s="133" t="e">
        <v>#N/A</v>
      </c>
    </row>
    <row r="13" spans="1:39" ht="14.85" customHeight="1">
      <c r="A13" s="1"/>
      <c r="B13" s="1"/>
      <c r="C13" s="1"/>
      <c r="D13" s="1"/>
      <c r="E13" s="1"/>
      <c r="F13" s="1"/>
      <c r="G13" s="1"/>
      <c r="H13" s="1"/>
      <c r="I13" s="1"/>
      <c r="J13" s="1"/>
      <c r="K13" s="1"/>
      <c r="L13" s="1"/>
      <c r="M13" s="1"/>
      <c r="N13" s="1"/>
      <c r="S13" s="1"/>
      <c r="T13" s="1"/>
      <c r="V13" s="133" t="str">
        <f>'Translate&amp;Prices&amp;Logo'!B98</f>
        <v>Mat</v>
      </c>
      <c r="Z13" s="133" t="e">
        <v>#N/A</v>
      </c>
    </row>
    <row r="14" spans="1:39" ht="14.85" customHeight="1">
      <c r="A14" s="1"/>
      <c r="B14" s="1"/>
      <c r="C14" s="634" t="str">
        <f>'Translate&amp;Prices&amp;Logo'!$B$725</f>
        <v>Sleva</v>
      </c>
      <c r="D14" s="634"/>
      <c r="E14" s="634"/>
      <c r="F14" s="634"/>
      <c r="G14" s="634"/>
      <c r="H14" s="283"/>
      <c r="I14" s="635"/>
      <c r="J14" s="635"/>
      <c r="K14" s="635"/>
      <c r="L14" s="635"/>
      <c r="M14" s="635"/>
      <c r="N14" s="635"/>
      <c r="S14" s="1"/>
      <c r="T14" s="1"/>
      <c r="Z14" s="133" t="e">
        <v>#N/A</v>
      </c>
    </row>
    <row r="15" spans="1:39" ht="14.85" customHeight="1">
      <c r="A15" s="1"/>
      <c r="B15" s="1"/>
      <c r="C15" s="1"/>
      <c r="D15" s="1"/>
      <c r="E15" s="1"/>
      <c r="F15" s="1"/>
      <c r="G15" s="1"/>
      <c r="H15" s="1"/>
      <c r="I15" s="1"/>
      <c r="J15" s="1"/>
      <c r="K15" s="1"/>
      <c r="L15" s="1"/>
      <c r="M15" s="1"/>
      <c r="N15" s="1"/>
      <c r="O15" s="1"/>
      <c r="P15" s="287"/>
      <c r="Q15" s="287"/>
      <c r="R15" s="287"/>
      <c r="S15" s="287"/>
      <c r="T15" s="287"/>
      <c r="Z15" s="133" t="e">
        <v>#N/A</v>
      </c>
    </row>
    <row r="16" spans="1:39" ht="14.85" customHeight="1">
      <c r="A16" s="1"/>
      <c r="B16" s="1"/>
      <c r="C16" s="631" t="str">
        <f>IF(Hlavní!V39=3,"Dostawa","")</f>
        <v/>
      </c>
      <c r="D16" s="631"/>
      <c r="E16" s="631"/>
      <c r="F16" s="631"/>
      <c r="G16" s="631"/>
      <c r="H16" s="31"/>
      <c r="I16" s="630"/>
      <c r="J16" s="630"/>
      <c r="K16" s="630"/>
      <c r="L16" s="630"/>
      <c r="M16" s="630"/>
      <c r="N16" s="630"/>
      <c r="P16" s="287"/>
      <c r="Q16" s="287"/>
      <c r="R16" s="287"/>
      <c r="S16" s="287"/>
      <c r="T16" s="287"/>
      <c r="V16" s="133" t="e">
        <f>VLOOKUP(I29,'Translate&amp;Prices&amp;Logo'!B97:C98,2,0)</f>
        <v>#N/A</v>
      </c>
      <c r="W16" s="133" t="e">
        <f>V16*(2*(I21/1000))*(2*(I22/1000))</f>
        <v>#N/A</v>
      </c>
      <c r="Z16" s="133" t="e">
        <v>#N/A</v>
      </c>
    </row>
    <row r="17" spans="1:26" ht="48.75" customHeight="1">
      <c r="A17" s="1"/>
      <c r="B17" s="1"/>
      <c r="C17" s="649" t="str">
        <f>IF(I16="Dostawa na adres","W przypadku wyboru DOSTAWA NA ADRES do zamówienia zostanie automatycznie doliczona opłata transportowa","")</f>
        <v/>
      </c>
      <c r="D17" s="649"/>
      <c r="E17" s="649"/>
      <c r="F17" s="649"/>
      <c r="G17" s="649"/>
      <c r="H17" s="649"/>
      <c r="I17" s="649"/>
      <c r="J17" s="649"/>
      <c r="K17" s="649"/>
      <c r="L17" s="649"/>
      <c r="M17" s="649"/>
      <c r="N17" s="649"/>
      <c r="P17" s="287"/>
      <c r="R17" s="645" t="str">
        <f>IF(I16="Dostawa na adres","Cennik transportu - kliknij tutaj","")</f>
        <v/>
      </c>
      <c r="S17" s="645"/>
      <c r="T17" s="645"/>
      <c r="Z17" s="133" t="e">
        <v>#N/A</v>
      </c>
    </row>
    <row r="18" spans="1:26" ht="14.85" customHeight="1">
      <c r="A18" s="1"/>
      <c r="B18" s="1"/>
      <c r="C18" s="631" t="str">
        <f>IF(Hlavní!V39=3,"Adres","")</f>
        <v/>
      </c>
      <c r="D18" s="631"/>
      <c r="E18" s="631"/>
      <c r="F18" s="631"/>
      <c r="G18" s="631"/>
      <c r="H18" s="31"/>
      <c r="I18" s="624"/>
      <c r="J18" s="624"/>
      <c r="K18" s="624"/>
      <c r="L18" s="624"/>
      <c r="M18" s="624"/>
      <c r="N18" s="624"/>
      <c r="O18" s="624"/>
      <c r="P18" s="624"/>
      <c r="Q18" s="624"/>
      <c r="R18" s="624"/>
      <c r="S18" s="1"/>
      <c r="T18" s="1"/>
      <c r="Z18" s="133" t="e">
        <v>#N/A</v>
      </c>
    </row>
    <row r="19" spans="1:26" ht="14.85" customHeight="1">
      <c r="A19" s="1"/>
      <c r="B19" s="1"/>
      <c r="I19" s="624"/>
      <c r="J19" s="624"/>
      <c r="K19" s="624"/>
      <c r="L19" s="624"/>
      <c r="M19" s="624"/>
      <c r="N19" s="624"/>
      <c r="O19" s="624"/>
      <c r="P19" s="624"/>
      <c r="Q19" s="624"/>
      <c r="R19" s="624"/>
      <c r="S19" s="1"/>
      <c r="T19" s="1"/>
      <c r="V19" s="133">
        <f>IFERROR((VLOOKUP(I28,'Translate&amp;Prices&amp;Logo'!B101:D165,2,0))*((I21/1000)*(I22/1000))+U9+U10+W16,0)</f>
        <v>0</v>
      </c>
      <c r="Z19" s="133" t="e">
        <v>#N/A</v>
      </c>
    </row>
    <row r="20" spans="1:26" ht="14.85" customHeight="1">
      <c r="A20" s="1"/>
      <c r="B20" s="1"/>
      <c r="I20" s="1"/>
      <c r="J20" s="1"/>
      <c r="K20" s="1"/>
      <c r="L20" s="1"/>
      <c r="M20" s="1"/>
      <c r="N20" s="1"/>
      <c r="O20" s="1"/>
      <c r="P20" s="1"/>
      <c r="Q20" s="1"/>
      <c r="R20" s="1"/>
      <c r="S20" s="1"/>
      <c r="T20" s="1"/>
      <c r="Z20" s="133" t="e">
        <v>#N/A</v>
      </c>
    </row>
    <row r="21" spans="1:26" ht="14.85" customHeight="1">
      <c r="A21" s="1"/>
      <c r="B21" s="1"/>
      <c r="C21" s="632" t="str">
        <f>'Translate&amp;Prices&amp;Logo'!$B$177</f>
        <v xml:space="preserve">Šířka </v>
      </c>
      <c r="D21" s="633"/>
      <c r="E21" s="633"/>
      <c r="F21" s="633"/>
      <c r="G21" s="633"/>
      <c r="H21" s="98"/>
      <c r="I21" s="643"/>
      <c r="J21" s="643"/>
      <c r="K21" s="643"/>
      <c r="L21" s="643"/>
      <c r="M21" s="643"/>
      <c r="N21" s="643"/>
      <c r="O21" s="643"/>
      <c r="P21" s="643"/>
      <c r="Q21" s="643"/>
      <c r="R21" s="644"/>
      <c r="S21" s="1"/>
      <c r="T21" s="1"/>
      <c r="Z21" s="133" t="e">
        <v>#N/A</v>
      </c>
    </row>
    <row r="22" spans="1:26" ht="14.85" customHeight="1">
      <c r="A22" s="1"/>
      <c r="B22" s="1"/>
      <c r="C22" s="632" t="str">
        <f>'Translate&amp;Prices&amp;Logo'!$B$178</f>
        <v>Výška</v>
      </c>
      <c r="D22" s="633"/>
      <c r="E22" s="633"/>
      <c r="F22" s="633"/>
      <c r="G22" s="633"/>
      <c r="H22" s="98"/>
      <c r="I22" s="643"/>
      <c r="J22" s="643"/>
      <c r="K22" s="643"/>
      <c r="L22" s="643"/>
      <c r="M22" s="643"/>
      <c r="N22" s="643"/>
      <c r="O22" s="643"/>
      <c r="P22" s="643"/>
      <c r="Q22" s="643"/>
      <c r="R22" s="644"/>
      <c r="S22" s="1"/>
      <c r="T22" s="1"/>
      <c r="Z22" s="133" t="e">
        <v>#N/A</v>
      </c>
    </row>
    <row r="23" spans="1:26" ht="14.85" customHeight="1">
      <c r="C23" s="118"/>
      <c r="D23" s="116"/>
      <c r="E23" s="116"/>
      <c r="F23" s="116"/>
      <c r="G23" s="116"/>
      <c r="H23" s="1"/>
      <c r="I23" s="1"/>
      <c r="J23" s="1"/>
      <c r="K23" s="1"/>
      <c r="L23" s="1"/>
      <c r="M23" s="1"/>
      <c r="N23" s="1"/>
      <c r="O23" s="1"/>
      <c r="P23" s="1"/>
      <c r="Q23" s="1"/>
      <c r="R23" s="117"/>
      <c r="V23" s="133" t="str">
        <f>'Translate&amp;Prices&amp;Logo'!B93</f>
        <v>Transparentní</v>
      </c>
      <c r="Z23" s="133" t="e">
        <v>#N/A</v>
      </c>
    </row>
    <row r="24" spans="1:26" ht="14.85" customHeight="1">
      <c r="C24" s="632" t="str">
        <f>'Translate&amp;Prices&amp;Logo'!$B$175</f>
        <v>Typ úpravy skla</v>
      </c>
      <c r="D24" s="633"/>
      <c r="E24" s="633"/>
      <c r="F24" s="633"/>
      <c r="G24" s="633"/>
      <c r="H24" s="98"/>
      <c r="I24" s="636"/>
      <c r="J24" s="636"/>
      <c r="K24" s="636"/>
      <c r="L24" s="636"/>
      <c r="M24" s="636"/>
      <c r="N24" s="636"/>
      <c r="O24" s="636"/>
      <c r="P24" s="636"/>
      <c r="Q24" s="636"/>
      <c r="R24" s="637"/>
      <c r="V24" s="133" t="str">
        <f>'Translate&amp;Prices&amp;Logo'!B94</f>
        <v>Bílá</v>
      </c>
      <c r="Z24" s="133" t="e">
        <v>#N/A</v>
      </c>
    </row>
    <row r="25" spans="1:26" ht="14.85" customHeight="1">
      <c r="C25" s="119"/>
      <c r="D25" s="115"/>
      <c r="E25" s="115"/>
      <c r="F25" s="115"/>
      <c r="G25" s="115"/>
      <c r="H25" s="99"/>
      <c r="I25" s="99"/>
      <c r="J25" s="99"/>
      <c r="K25" s="99"/>
      <c r="L25" s="99"/>
      <c r="M25" s="99"/>
      <c r="N25" s="99"/>
      <c r="O25" s="99"/>
      <c r="P25" s="99"/>
      <c r="Q25" s="99"/>
      <c r="R25" s="99"/>
      <c r="V25" s="133" t="str">
        <f>'Translate&amp;Prices&amp;Logo'!B95</f>
        <v>Černá</v>
      </c>
      <c r="Z25" s="133" t="e">
        <v>#N/A</v>
      </c>
    </row>
    <row r="26" spans="1:26" ht="14.85" customHeight="1">
      <c r="C26" s="119"/>
      <c r="D26" s="115"/>
      <c r="E26" s="115"/>
      <c r="F26" s="115"/>
      <c r="G26" s="115"/>
      <c r="H26" s="99"/>
      <c r="I26" s="538" t="str">
        <f>"↥↥"&amp;"   "&amp;'Translate&amp;Prices&amp;Logo'!$B$575&amp;" "&amp;C28&amp;"   "&amp;"↥↥"</f>
        <v>↥↥   Již neměnit po tom co vyberete typ skla/síťky Typ skla/síťky   ↥↥</v>
      </c>
      <c r="J26" s="538"/>
      <c r="K26" s="538"/>
      <c r="L26" s="538"/>
      <c r="M26" s="538"/>
      <c r="N26" s="538"/>
      <c r="O26" s="538"/>
      <c r="P26" s="538"/>
      <c r="Q26" s="538"/>
      <c r="R26" s="627"/>
      <c r="Z26" s="133" t="e">
        <v>#N/A</v>
      </c>
    </row>
    <row r="27" spans="1:26" ht="14.85" customHeight="1">
      <c r="C27" s="632" t="str">
        <f>'Translate&amp;Prices&amp;Logo'!$B$564</f>
        <v>Typ folie</v>
      </c>
      <c r="D27" s="633"/>
      <c r="E27" s="633"/>
      <c r="F27" s="633"/>
      <c r="G27" s="633"/>
      <c r="H27" s="98"/>
      <c r="I27" s="622"/>
      <c r="J27" s="622"/>
      <c r="K27" s="622"/>
      <c r="L27" s="622"/>
      <c r="M27" s="622"/>
      <c r="N27" s="622"/>
      <c r="O27" s="622"/>
      <c r="P27" s="622"/>
      <c r="Q27" s="622"/>
      <c r="R27" s="623"/>
      <c r="Z27" s="133" t="e">
        <v>#N/A</v>
      </c>
    </row>
    <row r="28" spans="1:26" ht="14.85" customHeight="1">
      <c r="C28" s="632" t="str">
        <f>'Translate&amp;Prices&amp;Logo'!$B$627</f>
        <v>Typ skla/síťky</v>
      </c>
      <c r="D28" s="633"/>
      <c r="E28" s="633"/>
      <c r="F28" s="633"/>
      <c r="G28" s="633"/>
      <c r="H28" s="98"/>
      <c r="I28" s="622"/>
      <c r="J28" s="622"/>
      <c r="K28" s="622"/>
      <c r="L28" s="622"/>
      <c r="M28" s="622"/>
      <c r="N28" s="622"/>
      <c r="O28" s="622"/>
      <c r="P28" s="622"/>
      <c r="Q28" s="622"/>
      <c r="R28" s="623"/>
      <c r="Z28" s="133" t="e">
        <v>#N/A</v>
      </c>
    </row>
    <row r="29" spans="1:26" ht="14.85" customHeight="1">
      <c r="C29" s="632" t="str">
        <f>'Translate&amp;Prices&amp;Logo'!$B$660</f>
        <v>Broušení hran</v>
      </c>
      <c r="D29" s="633"/>
      <c r="E29" s="633"/>
      <c r="F29" s="633"/>
      <c r="G29" s="633"/>
      <c r="H29" s="98"/>
      <c r="I29" s="622"/>
      <c r="J29" s="622"/>
      <c r="K29" s="622"/>
      <c r="L29" s="622"/>
      <c r="M29" s="622"/>
      <c r="N29" s="622"/>
      <c r="O29" s="622"/>
      <c r="P29" s="622"/>
      <c r="Q29" s="622"/>
      <c r="R29" s="623"/>
      <c r="Z29" s="133" t="e">
        <v>#N/A</v>
      </c>
    </row>
    <row r="30" spans="1:26" ht="14.85" customHeight="1">
      <c r="C30" s="632" t="str">
        <f>('Translate&amp;Prices&amp;Logo'!$B$176)</f>
        <v>Počet kusů</v>
      </c>
      <c r="D30" s="633"/>
      <c r="E30" s="633"/>
      <c r="F30" s="633"/>
      <c r="G30" s="633"/>
      <c r="H30" s="98"/>
      <c r="I30" s="622"/>
      <c r="J30" s="622"/>
      <c r="K30" s="622"/>
      <c r="L30" s="622"/>
      <c r="M30" s="622"/>
      <c r="N30" s="622"/>
      <c r="O30" s="622"/>
      <c r="P30" s="622"/>
      <c r="Q30" s="622"/>
      <c r="R30" s="623"/>
      <c r="Z30" s="133" t="e">
        <v>#N/A</v>
      </c>
    </row>
    <row r="31" spans="1:26" ht="14.85" customHeight="1">
      <c r="C31" s="120"/>
      <c r="D31" s="1"/>
      <c r="E31" s="1"/>
      <c r="F31" s="1"/>
      <c r="G31" s="1"/>
      <c r="H31" s="1"/>
      <c r="I31" s="1"/>
      <c r="J31" s="1"/>
      <c r="K31" s="1"/>
      <c r="L31" s="1"/>
      <c r="M31" s="1"/>
      <c r="N31" s="1"/>
      <c r="O31" s="1"/>
      <c r="P31" s="1"/>
      <c r="Q31" s="1"/>
      <c r="R31" s="117"/>
      <c r="Z31" s="133" t="e">
        <v>#N/A</v>
      </c>
    </row>
    <row r="32" spans="1:26" ht="14.85" customHeight="1">
      <c r="C32" s="650" t="str">
        <f>'Translate&amp;Prices&amp;Logo'!$B$694</f>
        <v>Cena</v>
      </c>
      <c r="D32" s="651"/>
      <c r="E32" s="651"/>
      <c r="F32" s="651"/>
      <c r="G32" s="651"/>
      <c r="H32" s="651"/>
      <c r="I32" s="651"/>
      <c r="J32" s="651"/>
      <c r="K32" s="651"/>
      <c r="L32" s="517"/>
      <c r="M32" s="638">
        <f>V19*I30*(1-I14/100)</f>
        <v>0</v>
      </c>
      <c r="N32" s="638"/>
      <c r="O32" s="638"/>
      <c r="P32" s="638"/>
      <c r="Q32" s="638"/>
      <c r="R32" s="640" t="str">
        <f>VLOOKUP('Translate&amp;Prices&amp;Logo'!D1,'závěsy dle výklopu'!A204:B209,2,0)</f>
        <v>Kč</v>
      </c>
      <c r="Z32" s="133" t="e">
        <v>#N/A</v>
      </c>
    </row>
    <row r="33" spans="3:26" ht="14.85" customHeight="1">
      <c r="C33" s="652"/>
      <c r="D33" s="653"/>
      <c r="E33" s="653"/>
      <c r="F33" s="653"/>
      <c r="G33" s="653"/>
      <c r="H33" s="653"/>
      <c r="I33" s="653"/>
      <c r="J33" s="653"/>
      <c r="K33" s="653"/>
      <c r="L33" s="654"/>
      <c r="M33" s="639"/>
      <c r="N33" s="639"/>
      <c r="O33" s="639"/>
      <c r="P33" s="639"/>
      <c r="Q33" s="639"/>
      <c r="R33" s="641"/>
      <c r="Z33" s="133" t="e">
        <v>#N/A</v>
      </c>
    </row>
    <row r="34" spans="3:26" ht="14.85" customHeight="1">
      <c r="Z34" s="133" t="e">
        <v>#N/A</v>
      </c>
    </row>
    <row r="35" spans="3:26" ht="14.85" customHeight="1">
      <c r="C35" s="647" t="str">
        <f>IF(I16="Dostawa na adres","Koszt transportu","")</f>
        <v/>
      </c>
      <c r="D35" s="647"/>
      <c r="E35" s="647"/>
      <c r="F35" s="647"/>
      <c r="G35" s="647"/>
      <c r="H35" s="647"/>
      <c r="I35" s="647"/>
      <c r="J35" s="647"/>
      <c r="K35" s="647"/>
      <c r="L35" s="648"/>
      <c r="M35" s="642" t="str">
        <f>IF(AND(I16="Dostawa na adres",I30&gt;0),AJ11,"")</f>
        <v/>
      </c>
      <c r="N35" s="642"/>
      <c r="O35" s="642"/>
      <c r="P35" s="642"/>
      <c r="Q35" s="642"/>
      <c r="R35" s="646" t="str">
        <f>VLOOKUP('Translate&amp;Prices&amp;Logo'!D1,'závěsy dle výklopu'!A204:B209,2,0)</f>
        <v>Kč</v>
      </c>
      <c r="Z35" s="133" t="e">
        <v>#N/A</v>
      </c>
    </row>
    <row r="36" spans="3:26" ht="14.85" customHeight="1">
      <c r="C36" s="647"/>
      <c r="D36" s="647"/>
      <c r="E36" s="647"/>
      <c r="F36" s="647"/>
      <c r="G36" s="647"/>
      <c r="H36" s="647"/>
      <c r="I36" s="647"/>
      <c r="J36" s="647"/>
      <c r="K36" s="647"/>
      <c r="L36" s="648"/>
      <c r="M36" s="642"/>
      <c r="N36" s="642"/>
      <c r="O36" s="642"/>
      <c r="P36" s="642"/>
      <c r="Q36" s="642"/>
      <c r="R36" s="646"/>
      <c r="Z36" s="133" t="e">
        <v>#N/A</v>
      </c>
    </row>
    <row r="37" spans="3:26" ht="14.85" customHeight="1">
      <c r="Z37" s="133" t="e">
        <v>#N/A</v>
      </c>
    </row>
    <row r="38" spans="3:26" ht="14.85" customHeight="1">
      <c r="Z38" s="133" t="e">
        <v>#N/A</v>
      </c>
    </row>
    <row r="39" spans="3:26" ht="14.85" hidden="1" customHeight="1">
      <c r="Z39" s="133" t="e">
        <v>#N/A</v>
      </c>
    </row>
    <row r="40" spans="3:26" ht="14.85" hidden="1" customHeight="1">
      <c r="Z40" s="133" t="e">
        <v>#N/A</v>
      </c>
    </row>
    <row r="41" spans="3:26" ht="14.85" hidden="1" customHeight="1">
      <c r="Z41" s="133" t="e">
        <v>#N/A</v>
      </c>
    </row>
    <row r="42" spans="3:26" ht="14.85" hidden="1" customHeight="1">
      <c r="Z42" s="133" t="e">
        <v>#N/A</v>
      </c>
    </row>
    <row r="43" spans="3:26" ht="14.85" hidden="1" customHeight="1">
      <c r="Z43" s="133" t="e">
        <v>#N/A</v>
      </c>
    </row>
    <row r="44" spans="3:26" ht="14.85" hidden="1" customHeight="1">
      <c r="Z44" s="133" t="e">
        <v>#N/A</v>
      </c>
    </row>
    <row r="45" spans="3:26" ht="14.85" hidden="1" customHeight="1">
      <c r="Z45" s="133" t="e">
        <v>#N/A</v>
      </c>
    </row>
    <row r="46" spans="3:26" ht="14.85" hidden="1" customHeight="1">
      <c r="Z46" s="133" t="e">
        <v>#N/A</v>
      </c>
    </row>
    <row r="47" spans="3:26" ht="14.85" hidden="1" customHeight="1">
      <c r="Z47" s="133" t="e">
        <v>#N/A</v>
      </c>
    </row>
    <row r="48" spans="3:26" ht="14.85" hidden="1" customHeight="1">
      <c r="Z48" s="133" t="e">
        <v>#N/A</v>
      </c>
    </row>
    <row r="49" spans="26:26" ht="14.85" hidden="1" customHeight="1">
      <c r="Z49" s="133" t="e">
        <v>#N/A</v>
      </c>
    </row>
    <row r="50" spans="26:26" ht="14.85" hidden="1" customHeight="1">
      <c r="Z50" s="133" t="e">
        <v>#N/A</v>
      </c>
    </row>
    <row r="51" spans="26:26" ht="14.85" hidden="1" customHeight="1">
      <c r="Z51" s="133" t="e">
        <v>#N/A</v>
      </c>
    </row>
    <row r="52" spans="26:26" ht="14.85" hidden="1" customHeight="1">
      <c r="Z52" s="133" t="e">
        <v>#N/A</v>
      </c>
    </row>
    <row r="53" spans="26:26" ht="14.85" hidden="1" customHeight="1">
      <c r="Z53" s="133" t="e">
        <v>#N/A</v>
      </c>
    </row>
    <row r="54" spans="26:26" ht="14.85" hidden="1" customHeight="1">
      <c r="Z54" s="133" t="e">
        <v>#N/A</v>
      </c>
    </row>
    <row r="55" spans="26:26" ht="14.85" hidden="1" customHeight="1">
      <c r="Z55" s="133" t="e">
        <v>#N/A</v>
      </c>
    </row>
    <row r="56" spans="26:26" ht="14.85" hidden="1" customHeight="1">
      <c r="Z56" s="133" t="e">
        <v>#N/A</v>
      </c>
    </row>
    <row r="57" spans="26:26" ht="14.85" hidden="1" customHeight="1">
      <c r="Z57" s="133" t="e">
        <v>#N/A</v>
      </c>
    </row>
    <row r="58" spans="26:26" ht="14.85" hidden="1" customHeight="1">
      <c r="Z58" s="133" t="e">
        <v>#N/A</v>
      </c>
    </row>
    <row r="59" spans="26:26" ht="14.85" hidden="1" customHeight="1">
      <c r="Z59" s="133" t="e">
        <v>#N/A</v>
      </c>
    </row>
    <row r="60" spans="26:26" ht="14.85" hidden="1" customHeight="1">
      <c r="Z60" s="133" t="e">
        <v>#N/A</v>
      </c>
    </row>
    <row r="61" spans="26:26" ht="14.85" hidden="1" customHeight="1">
      <c r="Z61" s="133" t="e">
        <v>#N/A</v>
      </c>
    </row>
    <row r="62" spans="26:26" ht="14.85" hidden="1" customHeight="1">
      <c r="Z62" s="133" t="e">
        <v>#N/A</v>
      </c>
    </row>
    <row r="63" spans="26:26" ht="14.85" hidden="1" customHeight="1">
      <c r="Z63" s="133" t="e">
        <v>#N/A</v>
      </c>
    </row>
    <row r="64" spans="26:26" ht="14.85" hidden="1" customHeight="1">
      <c r="Z64" s="133" t="e">
        <v>#N/A</v>
      </c>
    </row>
  </sheetData>
  <sheetProtection algorithmName="SHA-512" hashValue="JKW8ca/7Ccsjp7s0AJYYpQlQSVUigOv6Uxr+z8Fhx1qrAOrMRgp6oJdh+xM8htODw682P1wUIj7XoFqmw1JrRg==" saltValue="rlkxANDqqzaoB50KbHIDKQ==" spinCount="100000" sheet="1" objects="1" scenarios="1" selectLockedCells="1"/>
  <mergeCells count="42">
    <mergeCell ref="M32:Q33"/>
    <mergeCell ref="R32:R33"/>
    <mergeCell ref="M35:Q36"/>
    <mergeCell ref="C27:G27"/>
    <mergeCell ref="C16:G16"/>
    <mergeCell ref="C24:G24"/>
    <mergeCell ref="I21:R21"/>
    <mergeCell ref="R17:T17"/>
    <mergeCell ref="R35:R36"/>
    <mergeCell ref="C35:K36"/>
    <mergeCell ref="L35:L36"/>
    <mergeCell ref="C17:N17"/>
    <mergeCell ref="C32:K33"/>
    <mergeCell ref="L32:L33"/>
    <mergeCell ref="I22:R22"/>
    <mergeCell ref="I28:R28"/>
    <mergeCell ref="I24:R24"/>
    <mergeCell ref="C28:G28"/>
    <mergeCell ref="C29:G29"/>
    <mergeCell ref="C30:G30"/>
    <mergeCell ref="C10:G10"/>
    <mergeCell ref="I10:N10"/>
    <mergeCell ref="C12:G12"/>
    <mergeCell ref="I12:N12"/>
    <mergeCell ref="C14:G14"/>
    <mergeCell ref="I14:N14"/>
    <mergeCell ref="AL2:AM2"/>
    <mergeCell ref="AE6:AH6"/>
    <mergeCell ref="AL5:AM5"/>
    <mergeCell ref="I30:R30"/>
    <mergeCell ref="I18:R19"/>
    <mergeCell ref="I29:R29"/>
    <mergeCell ref="Q2:T3"/>
    <mergeCell ref="I26:R26"/>
    <mergeCell ref="E2:P3"/>
    <mergeCell ref="I16:N16"/>
    <mergeCell ref="C18:G18"/>
    <mergeCell ref="C21:G21"/>
    <mergeCell ref="C22:G22"/>
    <mergeCell ref="I27:R27"/>
    <mergeCell ref="C8:G8"/>
    <mergeCell ref="I8:N8"/>
  </mergeCells>
  <conditionalFormatting sqref="C18">
    <cfRule type="expression" dxfId="487" priority="13">
      <formula>$I$16="Dostawa na adres"</formula>
    </cfRule>
  </conditionalFormatting>
  <conditionalFormatting sqref="C35:K36">
    <cfRule type="expression" dxfId="485" priority="5">
      <formula>$I$16="Dostawa na adres"</formula>
    </cfRule>
  </conditionalFormatting>
  <conditionalFormatting sqref="C27:R27">
    <cfRule type="expression" dxfId="484" priority="18">
      <formula>$W$3&lt;3</formula>
    </cfRule>
  </conditionalFormatting>
  <conditionalFormatting sqref="H18">
    <cfRule type="expression" dxfId="482" priority="12">
      <formula>$I$16="Dostawa na adres"</formula>
    </cfRule>
  </conditionalFormatting>
  <conditionalFormatting sqref="I18">
    <cfRule type="expression" dxfId="480" priority="6">
      <formula>$I$16="Dostawa na adres"</formula>
    </cfRule>
  </conditionalFormatting>
  <conditionalFormatting sqref="I18:R19">
    <cfRule type="expression" dxfId="479" priority="2">
      <formula>$I$16="Dostawa na adres"</formula>
    </cfRule>
  </conditionalFormatting>
  <conditionalFormatting sqref="L35:L36">
    <cfRule type="expression" dxfId="478" priority="4">
      <formula>$I$16="Dostawa na adres"</formula>
    </cfRule>
  </conditionalFormatting>
  <conditionalFormatting sqref="M35 R35">
    <cfRule type="expression" dxfId="477" priority="3">
      <formula>$I$16="Dostawa na adres"</formula>
    </cfRule>
  </conditionalFormatting>
  <dataValidations count="7">
    <dataValidation type="list" allowBlank="1" showInputMessage="1" showErrorMessage="1" sqref="I24:R24" xr:uid="{B3F547F4-8FBD-4E93-A177-3532DC1FAC30}">
      <formula1>$V$5:$V$7</formula1>
    </dataValidation>
    <dataValidation type="list" allowBlank="1" showInputMessage="1" showErrorMessage="1" sqref="I29:R29" xr:uid="{6530A79F-C3BD-4C1D-A05F-B24940E7E9B7}">
      <formula1>$V$12:$V$13</formula1>
    </dataValidation>
    <dataValidation type="list" allowBlank="1" showInputMessage="1" showErrorMessage="1" sqref="I27:R27" xr:uid="{57978CA8-BCFD-4A97-A7F4-45B7F7C7113D}">
      <formula1>$V$23:$V$25</formula1>
    </dataValidation>
    <dataValidation type="list" allowBlank="1" showInputMessage="1" showErrorMessage="1" sqref="I16:N16" xr:uid="{CA4D24D7-2359-486A-A16B-34983D3F02D1}">
      <formula1>"Odbiór osobisty w Demos Katowice,Dostawa na adres"</formula1>
    </dataValidation>
    <dataValidation type="list" allowBlank="1" showInputMessage="1" showErrorMessage="1" sqref="R28" xr:uid="{90AAD1AD-979D-433E-8378-CD1EE0107013}">
      <formula1>IF(AJ2=1,_N1,IF(AJ2=2,_N2,IF(AJ2=3,_N3)))</formula1>
    </dataValidation>
    <dataValidation type="list" allowBlank="1" showInputMessage="1" showErrorMessage="1" sqref="I28:N28 Q28" xr:uid="{BE66702D-2263-453E-83E0-CB280FB46893}">
      <formula1>IF(W3=1,_N1,IF(W3=2,_N2,IF(W3=3,_N3)))</formula1>
    </dataValidation>
    <dataValidation type="list" allowBlank="1" showInputMessage="1" showErrorMessage="1" sqref="O28:P28" xr:uid="{4C987157-3E1E-459E-8077-C7390FF28380}">
      <formula1>IF(AC6=1,_N1,IF(AC6=2,_N2,IF(AC6=3,_N3)))</formula1>
    </dataValidation>
  </dataValidations>
  <hyperlinks>
    <hyperlink ref="Q2:T3" location="Hlavní!A1" display="Hlavní!A1" xr:uid="{9D9EF01F-ED04-4974-BD6F-CC5469539BD2}"/>
    <hyperlink ref="R17:T17" location="'cennik transportu PL'!A1" display="Cennik transportu - kliknij tutaj" xr:uid="{62372A6C-EF27-4674-B567-1803E81F5112}"/>
  </hyperlinks>
  <pageMargins left="0.7" right="0.7" top="0.78740157499999996" bottom="0.78740157499999996" header="0.3" footer="0.3"/>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357377" r:id="rId3" name="Check Box 1967">
              <controlPr locked="0" defaultSize="0" autoFill="0" autoLine="0" autoPict="0">
                <anchor moveWithCells="1">
                  <from>
                    <xdr:col>15</xdr:col>
                    <xdr:colOff>0</xdr:colOff>
                    <xdr:row>0</xdr:row>
                    <xdr:rowOff>0</xdr:rowOff>
                  </from>
                  <to>
                    <xdr:col>15</xdr:col>
                    <xdr:colOff>0</xdr:colOff>
                    <xdr:row>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1359B762-CDC5-4D90-8BEB-230733FCBD55}">
            <xm:f>Hlavní!V39=3</xm:f>
            <x14:dxf>
              <fill>
                <patternFill>
                  <bgColor theme="3"/>
                </patternFill>
              </fill>
            </x14:dxf>
          </x14:cfRule>
          <xm:sqref>C16:G16</xm:sqref>
        </x14:conditionalFormatting>
        <x14:conditionalFormatting xmlns:xm="http://schemas.microsoft.com/office/excel/2006/main">
          <x14:cfRule type="expression" priority="9" id="{437E2C2F-1FA3-4CE7-BB92-7D7E5B329E05}">
            <xm:f>Hlavní!V39=3</xm:f>
            <x14:dxf>
              <fill>
                <patternFill>
                  <bgColor theme="2"/>
                </patternFill>
              </fill>
            </x14:dxf>
          </x14:cfRule>
          <xm:sqref>H16</xm:sqref>
        </x14:conditionalFormatting>
        <x14:conditionalFormatting xmlns:xm="http://schemas.microsoft.com/office/excel/2006/main">
          <x14:cfRule type="expression" priority="10" id="{934C97F5-DFF6-4CD0-91DB-1249D221EA5E}">
            <xm:f>Hlavní!V39=3</xm:f>
            <x14:dxf>
              <font>
                <color theme="0"/>
              </font>
              <fill>
                <patternFill>
                  <bgColor rgb="FF009EE0"/>
                </patternFill>
              </fill>
            </x14:dxf>
          </x14:cfRule>
          <xm:sqref>I16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F8FB-9098-49E5-A489-2A0333816592}">
  <sheetPr codeName="List26" filterMode="1"/>
  <dimension ref="A1:AE383"/>
  <sheetViews>
    <sheetView workbookViewId="0"/>
  </sheetViews>
  <sheetFormatPr defaultColWidth="15.5703125" defaultRowHeight="16.350000000000001" customHeight="1"/>
  <cols>
    <col min="1" max="2" width="31.5703125" style="34" bestFit="1" customWidth="1"/>
    <col min="3" max="3" width="14" style="34" bestFit="1" customWidth="1"/>
    <col min="4" max="4" width="43.42578125" style="34" customWidth="1"/>
    <col min="5" max="5" width="29.5703125" style="34" bestFit="1" customWidth="1"/>
    <col min="6" max="6" width="11.5703125" style="34" bestFit="1" customWidth="1"/>
    <col min="7" max="7" width="54.42578125" style="34" bestFit="1" customWidth="1"/>
    <col min="8" max="17" width="22.5703125" style="35" customWidth="1"/>
    <col min="18" max="18" width="26" style="35" customWidth="1"/>
    <col min="19" max="23" width="22.5703125" style="35" customWidth="1"/>
    <col min="27" max="28" width="15.5703125" style="34"/>
    <col min="29" max="29" width="21.5703125" style="34" bestFit="1" customWidth="1"/>
    <col min="30" max="30" width="5.5703125" style="34" customWidth="1"/>
    <col min="31" max="31" width="36.140625" style="34" customWidth="1"/>
    <col min="32" max="16384" width="15.5703125" style="34"/>
  </cols>
  <sheetData>
    <row r="1" spans="1:31" s="32" customFormat="1" ht="16.350000000000001" customHeight="1">
      <c r="A1" s="32" t="s">
        <v>1094</v>
      </c>
      <c r="B1" s="32" t="s">
        <v>1095</v>
      </c>
      <c r="C1" s="32" t="s">
        <v>1096</v>
      </c>
      <c r="E1" s="32" t="s">
        <v>1097</v>
      </c>
      <c r="F1" s="32" t="s">
        <v>126</v>
      </c>
      <c r="G1" s="32" t="s">
        <v>1108</v>
      </c>
      <c r="H1" s="33" t="s">
        <v>1098</v>
      </c>
      <c r="I1" s="33" t="s">
        <v>1099</v>
      </c>
      <c r="J1" s="33" t="s">
        <v>1100</v>
      </c>
      <c r="K1" s="33" t="str">
        <f>'Translate&amp;Prices&amp;Logo'!$B$630</f>
        <v>křížová vrut</v>
      </c>
      <c r="L1" s="33">
        <v>6</v>
      </c>
      <c r="M1" s="33" t="str">
        <f>'Translate&amp;Prices&amp;Logo'!$B$631</f>
        <v>křížová vrut (excentr)</v>
      </c>
      <c r="N1" s="33">
        <v>8</v>
      </c>
      <c r="O1" s="33" t="str">
        <f>'Translate&amp;Prices&amp;Logo'!$B$632</f>
        <v>křížová euro</v>
      </c>
      <c r="P1" s="33">
        <v>10</v>
      </c>
      <c r="Q1" s="33" t="str">
        <f>'Translate&amp;Prices&amp;Logo'!$B$633</f>
        <v>křížová hmoždinka</v>
      </c>
      <c r="R1" s="33">
        <v>12</v>
      </c>
      <c r="S1" s="33" t="str">
        <f>'Translate&amp;Prices&amp;Logo'!$B$634</f>
        <v>přímá vrut</v>
      </c>
      <c r="T1" s="33">
        <v>14</v>
      </c>
      <c r="U1" s="33" t="str">
        <f>'Translate&amp;Prices&amp;Logo'!$B$635</f>
        <v>přímá euro</v>
      </c>
      <c r="V1" s="33">
        <v>16</v>
      </c>
      <c r="W1" s="33" t="str">
        <f>'Translate&amp;Prices&amp;Logo'!$B$636</f>
        <v>přímá hmoždinka</v>
      </c>
      <c r="X1" s="32">
        <v>18</v>
      </c>
      <c r="AC1" s="33" t="str">
        <f>$K$1</f>
        <v>křížová vrut</v>
      </c>
      <c r="AD1" s="159">
        <v>6</v>
      </c>
      <c r="AE1" s="32" t="e">
        <f>VLOOKUP(Ram_1!$H$15,$G:$X,AD1,0)</f>
        <v>#N/A</v>
      </c>
    </row>
    <row r="2" spans="1:31" ht="16.350000000000001" customHeight="1">
      <c r="A2" s="37" t="s">
        <v>1101</v>
      </c>
      <c r="B2" s="37" t="s">
        <v>2</v>
      </c>
      <c r="C2" s="37" t="str">
        <f>'Translate&amp;Prices&amp;Logo'!B555</f>
        <v>Naložený</v>
      </c>
      <c r="D2" s="32" t="str">
        <f>VLOOKUP(CONCATENATE(A2,"_",B2,"_",C2),$A$69:$B$383,2,0)</f>
        <v>úzký_BLUM_Naložený</v>
      </c>
      <c r="E2" s="37" t="str">
        <f>'Translate&amp;Prices&amp;Logo'!$B$584</f>
        <v>s pružinou a tlumením</v>
      </c>
      <c r="F2" s="34" t="str">
        <f>'Translate&amp;Prices&amp;Logo'!$B$587</f>
        <v>stříbrná</v>
      </c>
      <c r="G2" s="34" t="str">
        <f>CONCATENATE(H2," ","-"," ",C2," ",E2," - ",F2)</f>
        <v>118033 - Naložený s pružinou a tlumením - stříbrná</v>
      </c>
      <c r="H2" s="35">
        <v>118033</v>
      </c>
      <c r="I2" s="35" t="s">
        <v>1103</v>
      </c>
      <c r="J2" s="35" t="s">
        <v>1103</v>
      </c>
      <c r="K2" s="35">
        <v>12306</v>
      </c>
      <c r="L2" s="35" t="str">
        <f>CONCATENATE($K$1," - ",K2)</f>
        <v>křížová vrut - 12306</v>
      </c>
      <c r="M2" s="35" t="s">
        <v>2118</v>
      </c>
      <c r="N2" s="35" t="str">
        <f>CONCATENATE($M$1," - ",M2)</f>
        <v>křížová vrut (excentr) - N/A</v>
      </c>
      <c r="O2" s="35">
        <v>12318</v>
      </c>
      <c r="P2" s="35" t="str">
        <f>CONCATENATE($O$1," - ",O2)</f>
        <v>křížová euro - 12318</v>
      </c>
      <c r="Q2" s="35">
        <v>12302</v>
      </c>
      <c r="R2" s="35" t="str">
        <f>CONCATENATE($Q$1," - ",Q2)</f>
        <v>křížová hmoždinka - 12302</v>
      </c>
      <c r="S2" s="35">
        <v>203387</v>
      </c>
      <c r="T2" s="35" t="str">
        <f>CONCATENATE($S$1," - ",S2)</f>
        <v>přímá vrut - 203387</v>
      </c>
      <c r="U2" s="35">
        <v>346624</v>
      </c>
      <c r="V2" s="35" t="str">
        <f>CONCATENATE($U$1," - ",U2)</f>
        <v>přímá euro - 346624</v>
      </c>
      <c r="W2" s="35">
        <v>211476</v>
      </c>
      <c r="X2" s="35" t="str">
        <f>CONCATENATE($W$1," - ",W2)</f>
        <v>přímá hmoždinka - 211476</v>
      </c>
      <c r="Y2" s="34"/>
      <c r="Z2" s="34"/>
      <c r="AC2" s="33" t="str">
        <f>$M$1</f>
        <v>křížová vrut (excentr)</v>
      </c>
      <c r="AD2" s="34">
        <v>8</v>
      </c>
      <c r="AE2" s="32" t="e">
        <f>VLOOKUP(Ram_1!$H$15,$G:$X,AD2,0)</f>
        <v>#N/A</v>
      </c>
    </row>
    <row r="3" spans="1:31" ht="16.350000000000001" customHeight="1">
      <c r="A3" s="37" t="s">
        <v>1101</v>
      </c>
      <c r="B3" s="37" t="s">
        <v>2</v>
      </c>
      <c r="C3" s="37" t="str">
        <f>'Translate&amp;Prices&amp;Logo'!B555</f>
        <v>Naložený</v>
      </c>
      <c r="D3" s="32" t="str">
        <f t="shared" ref="D3:D66" si="0">VLOOKUP(CONCATENATE(A3,"_",B3,"_",C3),$A$69:$B$383,2,0)</f>
        <v>úzký_BLUM_Naložený</v>
      </c>
      <c r="E3" s="37" t="str">
        <f>'Translate&amp;Prices&amp;Logo'!$B$585</f>
        <v>s pružinou bez tlumení</v>
      </c>
      <c r="F3" s="34" t="str">
        <f>'Translate&amp;Prices&amp;Logo'!$B$587</f>
        <v>stříbrná</v>
      </c>
      <c r="G3" s="34" t="str">
        <f t="shared" ref="G3:G20" si="1">CONCATENATE(H3," ","-"," ",C3," ",E3," - ",F3)</f>
        <v>12106 - Naložený s pružinou bez tlumení - stříbrná</v>
      </c>
      <c r="H3" s="35">
        <v>12106</v>
      </c>
      <c r="I3" s="35" t="s">
        <v>1103</v>
      </c>
      <c r="J3" s="35" t="s">
        <v>1103</v>
      </c>
      <c r="K3" s="35">
        <v>12306</v>
      </c>
      <c r="L3" s="35" t="str">
        <f t="shared" ref="L3:L66" si="2">CONCATENATE($K$1," - ",K3)</f>
        <v>křížová vrut - 12306</v>
      </c>
      <c r="M3" s="35" t="s">
        <v>2118</v>
      </c>
      <c r="N3" s="35" t="str">
        <f t="shared" ref="N3:N66" si="3">CONCATENATE($M$1," - ",M3)</f>
        <v>křížová vrut (excentr) - N/A</v>
      </c>
      <c r="O3" s="35">
        <v>12318</v>
      </c>
      <c r="P3" s="35" t="str">
        <f t="shared" ref="P3:P66" si="4">CONCATENATE($O$1," - ",O3)</f>
        <v>křížová euro - 12318</v>
      </c>
      <c r="Q3" s="35">
        <v>12302</v>
      </c>
      <c r="R3" s="35" t="str">
        <f t="shared" ref="R3:R66" si="5">CONCATENATE($Q$1," - ",Q3)</f>
        <v>křížová hmoždinka - 12302</v>
      </c>
      <c r="S3" s="35">
        <v>203387</v>
      </c>
      <c r="T3" s="35" t="str">
        <f t="shared" ref="T3:T66" si="6">CONCATENATE($S$1," - ",S3)</f>
        <v>přímá vrut - 203387</v>
      </c>
      <c r="U3" s="35">
        <v>346624</v>
      </c>
      <c r="V3" s="35" t="str">
        <f t="shared" ref="V3:V66" si="7">CONCATENATE($U$1," - ",U3)</f>
        <v>přímá euro - 346624</v>
      </c>
      <c r="W3" s="35">
        <v>211476</v>
      </c>
      <c r="X3" s="35" t="str">
        <f t="shared" ref="X3:X66" si="8">CONCATENATE($W$1," - ",W3)</f>
        <v>přímá hmoždinka - 211476</v>
      </c>
      <c r="Y3" s="34"/>
      <c r="Z3" s="34"/>
      <c r="AC3" s="33" t="str">
        <f>$O$1</f>
        <v>křížová euro</v>
      </c>
      <c r="AD3" s="159">
        <v>10</v>
      </c>
      <c r="AE3" s="32" t="e">
        <f>VLOOKUP(Ram_1!$H$15,$G:$X,AD3,0)</f>
        <v>#N/A</v>
      </c>
    </row>
    <row r="4" spans="1:31" ht="16.350000000000001" customHeight="1">
      <c r="A4" s="37" t="s">
        <v>1101</v>
      </c>
      <c r="B4" s="37" t="s">
        <v>2</v>
      </c>
      <c r="C4" s="37" t="str">
        <f>'Translate&amp;Prices&amp;Logo'!B555</f>
        <v>Naložený</v>
      </c>
      <c r="D4" s="32" t="str">
        <f t="shared" si="0"/>
        <v>úzký_BLUM_Naložený</v>
      </c>
      <c r="E4" s="37" t="str">
        <f>'Translate&amp;Prices&amp;Logo'!$B$585</f>
        <v>s pružinou bez tlumení</v>
      </c>
      <c r="F4" s="34" t="s">
        <v>2564</v>
      </c>
      <c r="G4" s="34" t="str">
        <f t="shared" si="1"/>
        <v>306329 - Naložený s pružinou bez tlumení - onyx</v>
      </c>
      <c r="H4" s="35">
        <v>306329</v>
      </c>
      <c r="I4" s="35" t="s">
        <v>1103</v>
      </c>
      <c r="J4" s="35" t="s">
        <v>1103</v>
      </c>
      <c r="K4" s="35">
        <v>458360</v>
      </c>
      <c r="L4" s="35" t="str">
        <f t="shared" si="2"/>
        <v>křížová vrut - 458360</v>
      </c>
      <c r="M4" s="35" t="s">
        <v>2118</v>
      </c>
      <c r="N4" s="35" t="str">
        <f t="shared" si="3"/>
        <v>křížová vrut (excentr) - N/A</v>
      </c>
      <c r="O4" s="35" t="s">
        <v>2118</v>
      </c>
      <c r="P4" s="35" t="str">
        <f t="shared" si="4"/>
        <v>křížová euro - N/A</v>
      </c>
      <c r="Q4" s="35">
        <v>347124</v>
      </c>
      <c r="R4" s="35" t="str">
        <f t="shared" si="5"/>
        <v>křížová hmoždinka - 347124</v>
      </c>
      <c r="S4" s="35">
        <v>306320</v>
      </c>
      <c r="T4" s="35" t="str">
        <f t="shared" si="6"/>
        <v>přímá vrut - 306320</v>
      </c>
      <c r="U4" s="35" t="s">
        <v>2118</v>
      </c>
      <c r="V4" s="35" t="str">
        <f t="shared" si="7"/>
        <v>přímá euro - N/A</v>
      </c>
      <c r="W4" s="35">
        <v>409651</v>
      </c>
      <c r="X4" s="35" t="str">
        <f t="shared" si="8"/>
        <v>přímá hmoždinka - 409651</v>
      </c>
      <c r="Y4" s="34"/>
      <c r="Z4" s="34"/>
      <c r="AC4" s="33" t="str">
        <f>$Q$1</f>
        <v>křížová hmoždinka</v>
      </c>
      <c r="AD4" s="34">
        <v>12</v>
      </c>
      <c r="AE4" s="32" t="e">
        <f>VLOOKUP(Ram_1!$H$15,$G:$X,AD4,0)</f>
        <v>#N/A</v>
      </c>
    </row>
    <row r="5" spans="1:31" ht="16.350000000000001" customHeight="1">
      <c r="A5" s="37" t="s">
        <v>1101</v>
      </c>
      <c r="B5" s="37" t="s">
        <v>2</v>
      </c>
      <c r="C5" s="37" t="str">
        <f>'Translate&amp;Prices&amp;Logo'!B555</f>
        <v>Naložený</v>
      </c>
      <c r="D5" s="32" t="str">
        <f t="shared" si="0"/>
        <v>úzký_BLUM_Naložený</v>
      </c>
      <c r="E5" s="37" t="str">
        <f>'Translate&amp;Prices&amp;Logo'!$B$586</f>
        <v>tip-on bez pružiny/tlumení</v>
      </c>
      <c r="F5" s="34" t="str">
        <f>'Translate&amp;Prices&amp;Logo'!$B$587</f>
        <v>stříbrná</v>
      </c>
      <c r="G5" s="34" t="str">
        <f t="shared" si="1"/>
        <v>12109 - Naložený tip-on bez pružiny/tlumení - stříbrná</v>
      </c>
      <c r="H5" s="35">
        <v>12109</v>
      </c>
      <c r="I5" s="35" t="s">
        <v>1103</v>
      </c>
      <c r="J5" s="35">
        <v>13764</v>
      </c>
      <c r="K5" s="35">
        <v>12306</v>
      </c>
      <c r="L5" s="35" t="str">
        <f t="shared" si="2"/>
        <v>křížová vrut - 12306</v>
      </c>
      <c r="M5" s="35" t="s">
        <v>2118</v>
      </c>
      <c r="N5" s="35" t="str">
        <f t="shared" si="3"/>
        <v>křížová vrut (excentr) - N/A</v>
      </c>
      <c r="O5" s="35">
        <v>12318</v>
      </c>
      <c r="P5" s="35" t="str">
        <f t="shared" si="4"/>
        <v>křížová euro - 12318</v>
      </c>
      <c r="Q5" s="35">
        <v>12302</v>
      </c>
      <c r="R5" s="35" t="str">
        <f t="shared" si="5"/>
        <v>křížová hmoždinka - 12302</v>
      </c>
      <c r="S5" s="35">
        <v>203387</v>
      </c>
      <c r="T5" s="35" t="str">
        <f t="shared" si="6"/>
        <v>přímá vrut - 203387</v>
      </c>
      <c r="U5" s="35">
        <v>346624</v>
      </c>
      <c r="V5" s="35" t="str">
        <f t="shared" si="7"/>
        <v>přímá euro - 346624</v>
      </c>
      <c r="W5" s="35">
        <v>211476</v>
      </c>
      <c r="X5" s="35" t="str">
        <f t="shared" si="8"/>
        <v>přímá hmoždinka - 211476</v>
      </c>
      <c r="Y5" s="34"/>
      <c r="Z5" s="34"/>
      <c r="AC5" s="33" t="str">
        <f>$S$1</f>
        <v>přímá vrut</v>
      </c>
      <c r="AD5" s="159">
        <v>14</v>
      </c>
      <c r="AE5" s="32" t="e">
        <f>VLOOKUP(Ram_1!$H$15,$G:$X,AD5,0)</f>
        <v>#N/A</v>
      </c>
    </row>
    <row r="6" spans="1:31" ht="16.350000000000001" customHeight="1">
      <c r="A6" s="37" t="s">
        <v>1101</v>
      </c>
      <c r="B6" s="37" t="s">
        <v>2</v>
      </c>
      <c r="C6" s="37" t="str">
        <f>'Translate&amp;Prices&amp;Logo'!B555</f>
        <v>Naložený</v>
      </c>
      <c r="D6" s="32" t="str">
        <f t="shared" ref="D6" si="9">VLOOKUP(CONCATENATE(A6,"_",B6,"_",C6),$A$69:$B$383,2,0)</f>
        <v>úzký_BLUM_Naložený</v>
      </c>
      <c r="E6" s="37" t="str">
        <f>'Translate&amp;Prices&amp;Logo'!$B$586</f>
        <v>tip-on bez pružiny/tlumení</v>
      </c>
      <c r="F6" s="34" t="s">
        <v>2564</v>
      </c>
      <c r="G6" s="34" t="str">
        <f t="shared" si="1"/>
        <v>497120 - Naložený tip-on bez pružiny/tlumení - onyx</v>
      </c>
      <c r="H6" s="35">
        <v>497120</v>
      </c>
      <c r="Q6" s="35">
        <v>347124</v>
      </c>
      <c r="R6" s="35" t="str">
        <f t="shared" si="5"/>
        <v>křížová hmoždinka - 347124</v>
      </c>
      <c r="S6" s="35">
        <v>306320</v>
      </c>
      <c r="T6" s="35" t="str">
        <f>CONCATENATE($S$1," - ",S6)</f>
        <v>přímá vrut - 306320</v>
      </c>
      <c r="X6" s="35"/>
      <c r="Y6" s="34"/>
      <c r="Z6" s="34"/>
      <c r="AC6" s="33"/>
      <c r="AD6" s="159"/>
      <c r="AE6" s="32"/>
    </row>
    <row r="7" spans="1:31" ht="16.350000000000001" customHeight="1">
      <c r="A7" s="34" t="s">
        <v>1101</v>
      </c>
      <c r="B7" s="34" t="s">
        <v>2</v>
      </c>
      <c r="C7" s="34" t="str">
        <f>'Translate&amp;Prices&amp;Logo'!B556</f>
        <v>Polonaložený</v>
      </c>
      <c r="D7" s="32" t="str">
        <f t="shared" si="0"/>
        <v>úzký_BLUM_Polonaložený</v>
      </c>
      <c r="E7" s="34" t="str">
        <f>'Translate&amp;Prices&amp;Logo'!$B$584</f>
        <v>s pružinou a tlumením</v>
      </c>
      <c r="F7" s="34" t="str">
        <f>'Translate&amp;Prices&amp;Logo'!$B$587</f>
        <v>stříbrná</v>
      </c>
      <c r="G7" s="34" t="str">
        <f t="shared" si="1"/>
        <v>118120 - Polonaložený s pružinou a tlumením - stříbrná</v>
      </c>
      <c r="H7" s="35">
        <v>118120</v>
      </c>
      <c r="I7" s="35" t="s">
        <v>1103</v>
      </c>
      <c r="J7" s="35" t="s">
        <v>1103</v>
      </c>
      <c r="K7" s="35">
        <v>12306</v>
      </c>
      <c r="L7" s="35" t="str">
        <f t="shared" si="2"/>
        <v>křížová vrut - 12306</v>
      </c>
      <c r="M7" s="35" t="s">
        <v>2118</v>
      </c>
      <c r="N7" s="35" t="str">
        <f t="shared" si="3"/>
        <v>křížová vrut (excentr) - N/A</v>
      </c>
      <c r="O7" s="35">
        <v>12318</v>
      </c>
      <c r="P7" s="35" t="str">
        <f t="shared" si="4"/>
        <v>křížová euro - 12318</v>
      </c>
      <c r="Q7" s="35">
        <v>12302</v>
      </c>
      <c r="R7" s="35" t="str">
        <f t="shared" si="5"/>
        <v>křížová hmoždinka - 12302</v>
      </c>
      <c r="S7" s="35">
        <v>203387</v>
      </c>
      <c r="T7" s="35" t="str">
        <f t="shared" si="6"/>
        <v>přímá vrut - 203387</v>
      </c>
      <c r="U7" s="35">
        <v>346624</v>
      </c>
      <c r="V7" s="35" t="str">
        <f t="shared" si="7"/>
        <v>přímá euro - 346624</v>
      </c>
      <c r="W7" s="35">
        <v>211476</v>
      </c>
      <c r="X7" s="35" t="str">
        <f t="shared" si="8"/>
        <v>přímá hmoždinka - 211476</v>
      </c>
      <c r="Y7" s="34"/>
      <c r="Z7" s="34"/>
      <c r="AC7" s="33" t="str">
        <f>$U$1</f>
        <v>přímá euro</v>
      </c>
      <c r="AD7" s="34">
        <v>16</v>
      </c>
      <c r="AE7" s="32" t="e">
        <f>VLOOKUP(Ram_1!$H$15,$G:$X,AD7,0)</f>
        <v>#N/A</v>
      </c>
    </row>
    <row r="8" spans="1:31" ht="16.350000000000001" customHeight="1">
      <c r="A8" s="34" t="s">
        <v>1101</v>
      </c>
      <c r="B8" s="34" t="s">
        <v>2</v>
      </c>
      <c r="C8" s="34" t="str">
        <f>'Translate&amp;Prices&amp;Logo'!B556</f>
        <v>Polonaložený</v>
      </c>
      <c r="D8" s="32" t="str">
        <f t="shared" si="0"/>
        <v>úzký_BLUM_Polonaložený</v>
      </c>
      <c r="E8" s="34" t="str">
        <f>'Translate&amp;Prices&amp;Logo'!$B$585</f>
        <v>s pružinou bez tlumení</v>
      </c>
      <c r="F8" s="34" t="str">
        <f>'Translate&amp;Prices&amp;Logo'!$B$587</f>
        <v>stříbrná</v>
      </c>
      <c r="G8" s="34" t="str">
        <f t="shared" si="1"/>
        <v>12107 - Polonaložený s pružinou bez tlumení - stříbrná</v>
      </c>
      <c r="H8" s="35">
        <v>12107</v>
      </c>
      <c r="I8" s="35" t="s">
        <v>1103</v>
      </c>
      <c r="J8" s="35" t="s">
        <v>1103</v>
      </c>
      <c r="K8" s="35">
        <v>12306</v>
      </c>
      <c r="L8" s="35" t="str">
        <f t="shared" si="2"/>
        <v>křížová vrut - 12306</v>
      </c>
      <c r="M8" s="35" t="s">
        <v>2118</v>
      </c>
      <c r="N8" s="35" t="str">
        <f t="shared" si="3"/>
        <v>křížová vrut (excentr) - N/A</v>
      </c>
      <c r="O8" s="35">
        <v>12318</v>
      </c>
      <c r="P8" s="35" t="str">
        <f t="shared" si="4"/>
        <v>křížová euro - 12318</v>
      </c>
      <c r="Q8" s="35">
        <v>12302</v>
      </c>
      <c r="R8" s="35" t="str">
        <f t="shared" si="5"/>
        <v>křížová hmoždinka - 12302</v>
      </c>
      <c r="S8" s="35">
        <v>203387</v>
      </c>
      <c r="T8" s="35" t="str">
        <f t="shared" si="6"/>
        <v>přímá vrut - 203387</v>
      </c>
      <c r="U8" s="35">
        <v>346624</v>
      </c>
      <c r="V8" s="35" t="str">
        <f t="shared" si="7"/>
        <v>přímá euro - 346624</v>
      </c>
      <c r="W8" s="35">
        <v>211476</v>
      </c>
      <c r="X8" s="35" t="str">
        <f t="shared" si="8"/>
        <v>přímá hmoždinka - 211476</v>
      </c>
      <c r="Y8" s="34"/>
      <c r="Z8" s="34"/>
      <c r="AC8" s="33" t="str">
        <f>$W$1</f>
        <v>přímá hmoždinka</v>
      </c>
      <c r="AD8" s="159">
        <v>18</v>
      </c>
      <c r="AE8" s="32" t="e">
        <f>VLOOKUP(Ram_1!$H$15,$G:$X,AD8,0)</f>
        <v>#N/A</v>
      </c>
    </row>
    <row r="9" spans="1:31" ht="16.350000000000001" customHeight="1">
      <c r="A9" s="37" t="s">
        <v>1101</v>
      </c>
      <c r="B9" s="37" t="s">
        <v>2</v>
      </c>
      <c r="C9" s="37" t="str">
        <f>'Translate&amp;Prices&amp;Logo'!B557</f>
        <v>Vložený</v>
      </c>
      <c r="D9" s="32" t="str">
        <f t="shared" si="0"/>
        <v>úzký_BLUM_Vložený</v>
      </c>
      <c r="E9" s="37" t="str">
        <f>'Translate&amp;Prices&amp;Logo'!$B$584</f>
        <v>s pružinou a tlumením</v>
      </c>
      <c r="F9" s="34" t="str">
        <f>'Translate&amp;Prices&amp;Logo'!$B$587</f>
        <v>stříbrná</v>
      </c>
      <c r="G9" s="34" t="str">
        <f t="shared" si="1"/>
        <v>118121 - Vložený s pružinou a tlumením - stříbrná</v>
      </c>
      <c r="H9" s="35">
        <v>118121</v>
      </c>
      <c r="I9" s="35" t="s">
        <v>1103</v>
      </c>
      <c r="J9" s="35" t="s">
        <v>1103</v>
      </c>
      <c r="K9" s="35">
        <v>12306</v>
      </c>
      <c r="L9" s="35" t="str">
        <f t="shared" si="2"/>
        <v>křížová vrut - 12306</v>
      </c>
      <c r="M9" s="35" t="s">
        <v>2118</v>
      </c>
      <c r="N9" s="35" t="str">
        <f t="shared" si="3"/>
        <v>křížová vrut (excentr) - N/A</v>
      </c>
      <c r="O9" s="35">
        <v>12318</v>
      </c>
      <c r="P9" s="35" t="str">
        <f t="shared" si="4"/>
        <v>křížová euro - 12318</v>
      </c>
      <c r="Q9" s="35">
        <v>12302</v>
      </c>
      <c r="R9" s="35" t="str">
        <f t="shared" si="5"/>
        <v>křížová hmoždinka - 12302</v>
      </c>
      <c r="S9" s="35">
        <v>203387</v>
      </c>
      <c r="T9" s="35" t="str">
        <f t="shared" si="6"/>
        <v>přímá vrut - 203387</v>
      </c>
      <c r="U9" s="35">
        <v>346624</v>
      </c>
      <c r="V9" s="35" t="str">
        <f t="shared" si="7"/>
        <v>přímá euro - 346624</v>
      </c>
      <c r="W9" s="35">
        <v>211476</v>
      </c>
      <c r="X9" s="35" t="str">
        <f t="shared" si="8"/>
        <v>přímá hmoždinka - 211476</v>
      </c>
      <c r="Y9" s="34"/>
      <c r="Z9" s="34"/>
    </row>
    <row r="10" spans="1:31" ht="15">
      <c r="A10" s="37" t="s">
        <v>1101</v>
      </c>
      <c r="B10" s="37" t="s">
        <v>2</v>
      </c>
      <c r="C10" s="37" t="str">
        <f>'Translate&amp;Prices&amp;Logo'!B557</f>
        <v>Vložený</v>
      </c>
      <c r="D10" s="32" t="str">
        <f t="shared" si="0"/>
        <v>úzký_BLUM_Vložený</v>
      </c>
      <c r="E10" s="37" t="str">
        <f>'Translate&amp;Prices&amp;Logo'!$B$585</f>
        <v>s pružinou bez tlumení</v>
      </c>
      <c r="F10" s="34" t="str">
        <f>'Translate&amp;Prices&amp;Logo'!$B$587</f>
        <v>stříbrná</v>
      </c>
      <c r="G10" s="34" t="str">
        <f t="shared" si="1"/>
        <v>12108 - Vložený s pružinou bez tlumení - stříbrná</v>
      </c>
      <c r="H10" s="35">
        <v>12108</v>
      </c>
      <c r="I10" s="35" t="s">
        <v>1103</v>
      </c>
      <c r="J10" s="35" t="s">
        <v>1103</v>
      </c>
      <c r="K10" s="35">
        <v>12306</v>
      </c>
      <c r="L10" s="35" t="str">
        <f t="shared" si="2"/>
        <v>křížová vrut - 12306</v>
      </c>
      <c r="M10" s="35" t="s">
        <v>2118</v>
      </c>
      <c r="N10" s="35" t="str">
        <f t="shared" si="3"/>
        <v>křížová vrut (excentr) - N/A</v>
      </c>
      <c r="O10" s="35">
        <v>12318</v>
      </c>
      <c r="P10" s="35" t="str">
        <f t="shared" si="4"/>
        <v>křížová euro - 12318</v>
      </c>
      <c r="Q10" s="35">
        <v>12302</v>
      </c>
      <c r="R10" s="35" t="str">
        <f t="shared" si="5"/>
        <v>křížová hmoždinka - 12302</v>
      </c>
      <c r="S10" s="35">
        <v>203387</v>
      </c>
      <c r="T10" s="35" t="str">
        <f t="shared" si="6"/>
        <v>přímá vrut - 203387</v>
      </c>
      <c r="U10" s="35">
        <v>346624</v>
      </c>
      <c r="V10" s="35" t="str">
        <f t="shared" si="7"/>
        <v>přímá euro - 346624</v>
      </c>
      <c r="W10" s="35">
        <v>211476</v>
      </c>
      <c r="X10" s="35" t="str">
        <f t="shared" si="8"/>
        <v>přímá hmoždinka - 211476</v>
      </c>
      <c r="Y10" s="34"/>
      <c r="Z10" s="34"/>
    </row>
    <row r="11" spans="1:31" ht="15">
      <c r="A11" s="34" t="s">
        <v>1101</v>
      </c>
      <c r="B11" s="34" t="s">
        <v>567</v>
      </c>
      <c r="C11" s="34" t="str">
        <f>'Translate&amp;Prices&amp;Logo'!B555</f>
        <v>Naložený</v>
      </c>
      <c r="D11" s="32" t="str">
        <f t="shared" si="0"/>
        <v>úzký_HETTICH_Naložený</v>
      </c>
      <c r="E11" s="34" t="str">
        <f>'Translate&amp;Prices&amp;Logo'!$B$584</f>
        <v>s pružinou a tlumením</v>
      </c>
      <c r="F11" s="34" t="str">
        <f>'Translate&amp;Prices&amp;Logo'!$B$587</f>
        <v>stříbrná</v>
      </c>
      <c r="G11" s="34" t="str">
        <f t="shared" si="1"/>
        <v>300279 - Naložený s pružinou a tlumením - stříbrná</v>
      </c>
      <c r="H11" s="35">
        <v>300279</v>
      </c>
      <c r="I11" s="35" t="s">
        <v>1103</v>
      </c>
      <c r="J11" s="35" t="s">
        <v>1103</v>
      </c>
      <c r="K11" s="35">
        <v>106403</v>
      </c>
      <c r="L11" s="35" t="str">
        <f t="shared" si="2"/>
        <v>křížová vrut - 106403</v>
      </c>
      <c r="M11" s="35" t="s">
        <v>2118</v>
      </c>
      <c r="N11" s="35" t="str">
        <f t="shared" si="3"/>
        <v>křížová vrut (excentr) - N/A</v>
      </c>
      <c r="O11" s="35">
        <v>119240</v>
      </c>
      <c r="P11" s="35" t="str">
        <f t="shared" si="4"/>
        <v>křížová euro - 119240</v>
      </c>
      <c r="Q11" s="35">
        <v>136276</v>
      </c>
      <c r="R11" s="35" t="str">
        <f t="shared" si="5"/>
        <v>křížová hmoždinka - 136276</v>
      </c>
      <c r="S11" s="35">
        <v>300319</v>
      </c>
      <c r="T11" s="35" t="str">
        <f t="shared" si="6"/>
        <v>přímá vrut - 300319</v>
      </c>
      <c r="U11" s="35" t="s">
        <v>2118</v>
      </c>
      <c r="V11" s="35" t="str">
        <f t="shared" si="7"/>
        <v>přímá euro - N/A</v>
      </c>
      <c r="W11" s="35" t="s">
        <v>2118</v>
      </c>
      <c r="X11" s="35" t="str">
        <f t="shared" si="8"/>
        <v>přímá hmoždinka - N/A</v>
      </c>
      <c r="Y11" s="34"/>
      <c r="Z11" s="34"/>
    </row>
    <row r="12" spans="1:31" ht="15">
      <c r="A12" s="34" t="s">
        <v>1101</v>
      </c>
      <c r="B12" s="34" t="s">
        <v>567</v>
      </c>
      <c r="C12" s="34" t="str">
        <f>'Translate&amp;Prices&amp;Logo'!B555</f>
        <v>Naložený</v>
      </c>
      <c r="D12" s="32" t="str">
        <f t="shared" si="0"/>
        <v>úzký_HETTICH_Naložený</v>
      </c>
      <c r="E12" s="34" t="str">
        <f>'Translate&amp;Prices&amp;Logo'!$B$584</f>
        <v>s pružinou a tlumením</v>
      </c>
      <c r="F12" s="34" t="str">
        <f>'Translate&amp;Prices&amp;Logo'!$B$588</f>
        <v>černá</v>
      </c>
      <c r="G12" s="34" t="str">
        <f t="shared" si="1"/>
        <v>344697 - Naložený s pružinou a tlumením - černá</v>
      </c>
      <c r="H12" s="35">
        <v>344697</v>
      </c>
      <c r="I12" s="35" t="s">
        <v>1103</v>
      </c>
      <c r="J12" s="35" t="s">
        <v>1103</v>
      </c>
      <c r="K12" s="35" t="s">
        <v>2118</v>
      </c>
      <c r="L12" s="35" t="str">
        <f t="shared" si="2"/>
        <v>křížová vrut - N/A</v>
      </c>
      <c r="M12" s="35" t="s">
        <v>2118</v>
      </c>
      <c r="N12" s="35" t="str">
        <f t="shared" si="3"/>
        <v>křížová vrut (excentr) - N/A</v>
      </c>
      <c r="O12" s="35" t="s">
        <v>2118</v>
      </c>
      <c r="P12" s="35" t="str">
        <f t="shared" si="4"/>
        <v>křížová euro - N/A</v>
      </c>
      <c r="Q12" s="35">
        <v>344727</v>
      </c>
      <c r="R12" s="35" t="str">
        <f t="shared" si="5"/>
        <v>křížová hmoždinka - 344727</v>
      </c>
      <c r="S12" s="35">
        <v>397949</v>
      </c>
      <c r="T12" s="35" t="str">
        <f t="shared" si="6"/>
        <v>přímá vrut - 397949</v>
      </c>
      <c r="U12" s="35" t="s">
        <v>2118</v>
      </c>
      <c r="V12" s="35" t="str">
        <f t="shared" si="7"/>
        <v>přímá euro - N/A</v>
      </c>
      <c r="W12" s="35" t="s">
        <v>2118</v>
      </c>
      <c r="X12" s="35" t="str">
        <f t="shared" si="8"/>
        <v>přímá hmoždinka - N/A</v>
      </c>
      <c r="Y12" s="34"/>
      <c r="Z12" s="34"/>
    </row>
    <row r="13" spans="1:31" ht="15">
      <c r="A13" s="34" t="s">
        <v>1101</v>
      </c>
      <c r="B13" s="34" t="s">
        <v>567</v>
      </c>
      <c r="C13" s="34" t="str">
        <f>'Translate&amp;Prices&amp;Logo'!B555</f>
        <v>Naložený</v>
      </c>
      <c r="D13" s="32" t="str">
        <f t="shared" si="0"/>
        <v>úzký_HETTICH_Naložený</v>
      </c>
      <c r="E13" s="34" t="str">
        <f>'Translate&amp;Prices&amp;Logo'!$B$585</f>
        <v>s pružinou bez tlumení</v>
      </c>
      <c r="F13" s="34" t="str">
        <f>'Translate&amp;Prices&amp;Logo'!$B$587</f>
        <v>stříbrná</v>
      </c>
      <c r="G13" s="34" t="str">
        <f t="shared" si="1"/>
        <v>300282 - Naložený s pružinou bez tlumení - stříbrná</v>
      </c>
      <c r="H13" s="35">
        <v>300282</v>
      </c>
      <c r="I13" s="35" t="s">
        <v>1103</v>
      </c>
      <c r="J13" s="35" t="s">
        <v>1103</v>
      </c>
      <c r="K13" s="35">
        <v>106403</v>
      </c>
      <c r="L13" s="35" t="str">
        <f t="shared" si="2"/>
        <v>křížová vrut - 106403</v>
      </c>
      <c r="M13" s="35" t="s">
        <v>2118</v>
      </c>
      <c r="N13" s="35" t="str">
        <f t="shared" si="3"/>
        <v>křížová vrut (excentr) - N/A</v>
      </c>
      <c r="O13" s="35">
        <v>119240</v>
      </c>
      <c r="P13" s="35" t="str">
        <f t="shared" si="4"/>
        <v>křížová euro - 119240</v>
      </c>
      <c r="Q13" s="35">
        <v>136276</v>
      </c>
      <c r="R13" s="35" t="str">
        <f t="shared" si="5"/>
        <v>křížová hmoždinka - 136276</v>
      </c>
      <c r="S13" s="35">
        <v>300319</v>
      </c>
      <c r="T13" s="35" t="str">
        <f t="shared" si="6"/>
        <v>přímá vrut - 300319</v>
      </c>
      <c r="U13" s="35" t="s">
        <v>2118</v>
      </c>
      <c r="V13" s="35" t="str">
        <f t="shared" si="7"/>
        <v>přímá euro - N/A</v>
      </c>
      <c r="W13" s="35" t="s">
        <v>2118</v>
      </c>
      <c r="X13" s="35" t="str">
        <f t="shared" si="8"/>
        <v>přímá hmoždinka - N/A</v>
      </c>
      <c r="Y13" s="34"/>
      <c r="Z13" s="34"/>
    </row>
    <row r="14" spans="1:31" ht="15">
      <c r="A14" s="34" t="s">
        <v>1101</v>
      </c>
      <c r="B14" s="34" t="s">
        <v>567</v>
      </c>
      <c r="C14" s="34" t="str">
        <f>'Translate&amp;Prices&amp;Logo'!B555</f>
        <v>Naložený</v>
      </c>
      <c r="D14" s="32" t="str">
        <f t="shared" si="0"/>
        <v>úzký_HETTICH_Naložený</v>
      </c>
      <c r="E14" s="34" t="str">
        <f>'Translate&amp;Prices&amp;Logo'!$B$586</f>
        <v>tip-on bez pružiny/tlumení</v>
      </c>
      <c r="F14" s="34" t="str">
        <f>'Translate&amp;Prices&amp;Logo'!$B$587</f>
        <v>stříbrná</v>
      </c>
      <c r="G14" s="34" t="str">
        <f t="shared" si="1"/>
        <v>300285 - Naložený tip-on bez pružiny/tlumení - stříbrná</v>
      </c>
      <c r="H14" s="35">
        <v>300285</v>
      </c>
      <c r="I14" s="35" t="s">
        <v>1103</v>
      </c>
      <c r="J14" s="35" t="s">
        <v>1103</v>
      </c>
      <c r="K14" s="35">
        <v>106403</v>
      </c>
      <c r="L14" s="35" t="str">
        <f t="shared" si="2"/>
        <v>křížová vrut - 106403</v>
      </c>
      <c r="M14" s="35" t="s">
        <v>2118</v>
      </c>
      <c r="N14" s="35" t="str">
        <f t="shared" si="3"/>
        <v>křížová vrut (excentr) - N/A</v>
      </c>
      <c r="O14" s="35">
        <v>119240</v>
      </c>
      <c r="P14" s="35" t="str">
        <f t="shared" si="4"/>
        <v>křížová euro - 119240</v>
      </c>
      <c r="Q14" s="35">
        <v>136276</v>
      </c>
      <c r="R14" s="35" t="str">
        <f t="shared" si="5"/>
        <v>křížová hmoždinka - 136276</v>
      </c>
      <c r="S14" s="35">
        <v>300319</v>
      </c>
      <c r="T14" s="35" t="str">
        <f t="shared" si="6"/>
        <v>přímá vrut - 300319</v>
      </c>
      <c r="U14" s="35" t="s">
        <v>2118</v>
      </c>
      <c r="V14" s="35" t="str">
        <f t="shared" si="7"/>
        <v>přímá euro - N/A</v>
      </c>
      <c r="W14" s="35" t="s">
        <v>2118</v>
      </c>
      <c r="X14" s="35" t="str">
        <f t="shared" si="8"/>
        <v>přímá hmoždinka - N/A</v>
      </c>
      <c r="Y14" s="34"/>
      <c r="Z14" s="34"/>
    </row>
    <row r="15" spans="1:31" ht="15">
      <c r="A15" s="37" t="s">
        <v>1101</v>
      </c>
      <c r="B15" s="37" t="s">
        <v>567</v>
      </c>
      <c r="C15" s="37" t="str">
        <f>'Translate&amp;Prices&amp;Logo'!B556</f>
        <v>Polonaložený</v>
      </c>
      <c r="D15" s="32" t="str">
        <f t="shared" si="0"/>
        <v>úzký_HETTICH_Polonaložený</v>
      </c>
      <c r="E15" s="37" t="str">
        <f>'Translate&amp;Prices&amp;Logo'!$B$584</f>
        <v>s pružinou a tlumením</v>
      </c>
      <c r="F15" s="34" t="str">
        <f>'Translate&amp;Prices&amp;Logo'!$B$587</f>
        <v>stříbrná</v>
      </c>
      <c r="G15" s="34" t="str">
        <f t="shared" si="1"/>
        <v>300280 - Polonaložený s pružinou a tlumením - stříbrná</v>
      </c>
      <c r="H15" s="35">
        <v>300280</v>
      </c>
      <c r="I15" s="35" t="s">
        <v>1103</v>
      </c>
      <c r="J15" s="35" t="s">
        <v>1103</v>
      </c>
      <c r="K15" s="35">
        <v>106403</v>
      </c>
      <c r="L15" s="35" t="str">
        <f t="shared" si="2"/>
        <v>křížová vrut - 106403</v>
      </c>
      <c r="M15" s="35" t="s">
        <v>2118</v>
      </c>
      <c r="N15" s="35" t="str">
        <f t="shared" si="3"/>
        <v>křížová vrut (excentr) - N/A</v>
      </c>
      <c r="O15" s="35">
        <v>119240</v>
      </c>
      <c r="P15" s="35" t="str">
        <f t="shared" si="4"/>
        <v>křížová euro - 119240</v>
      </c>
      <c r="Q15" s="35">
        <v>136276</v>
      </c>
      <c r="R15" s="35" t="str">
        <f t="shared" si="5"/>
        <v>křížová hmoždinka - 136276</v>
      </c>
      <c r="S15" s="35">
        <v>300319</v>
      </c>
      <c r="T15" s="35" t="str">
        <f t="shared" si="6"/>
        <v>přímá vrut - 300319</v>
      </c>
      <c r="U15" s="35" t="s">
        <v>2118</v>
      </c>
      <c r="V15" s="35" t="str">
        <f t="shared" si="7"/>
        <v>přímá euro - N/A</v>
      </c>
      <c r="W15" s="35" t="s">
        <v>2118</v>
      </c>
      <c r="X15" s="35" t="str">
        <f t="shared" si="8"/>
        <v>přímá hmoždinka - N/A</v>
      </c>
      <c r="Y15" s="34"/>
      <c r="Z15" s="34"/>
    </row>
    <row r="16" spans="1:31" ht="15">
      <c r="A16" s="37" t="s">
        <v>1101</v>
      </c>
      <c r="B16" s="37" t="s">
        <v>567</v>
      </c>
      <c r="C16" s="37" t="str">
        <f>'Translate&amp;Prices&amp;Logo'!B556</f>
        <v>Polonaložený</v>
      </c>
      <c r="D16" s="32" t="str">
        <f t="shared" si="0"/>
        <v>úzký_HETTICH_Polonaložený</v>
      </c>
      <c r="E16" s="37" t="str">
        <f>'Translate&amp;Prices&amp;Logo'!$B$585</f>
        <v>s pružinou bez tlumení</v>
      </c>
      <c r="F16" s="34" t="str">
        <f>'Translate&amp;Prices&amp;Logo'!$B$587</f>
        <v>stříbrná</v>
      </c>
      <c r="G16" s="34" t="str">
        <f t="shared" si="1"/>
        <v>300283 - Polonaložený s pružinou bez tlumení - stříbrná</v>
      </c>
      <c r="H16" s="35">
        <v>300283</v>
      </c>
      <c r="I16" s="35" t="s">
        <v>1103</v>
      </c>
      <c r="J16" s="35" t="s">
        <v>1103</v>
      </c>
      <c r="K16" s="35">
        <v>106403</v>
      </c>
      <c r="L16" s="35" t="str">
        <f t="shared" si="2"/>
        <v>křížová vrut - 106403</v>
      </c>
      <c r="M16" s="35" t="s">
        <v>2118</v>
      </c>
      <c r="N16" s="35" t="str">
        <f t="shared" si="3"/>
        <v>křížová vrut (excentr) - N/A</v>
      </c>
      <c r="O16" s="35">
        <v>119240</v>
      </c>
      <c r="P16" s="35" t="str">
        <f t="shared" si="4"/>
        <v>křížová euro - 119240</v>
      </c>
      <c r="Q16" s="35">
        <v>136276</v>
      </c>
      <c r="R16" s="35" t="str">
        <f t="shared" si="5"/>
        <v>křížová hmoždinka - 136276</v>
      </c>
      <c r="S16" s="35">
        <v>300319</v>
      </c>
      <c r="T16" s="35" t="str">
        <f t="shared" si="6"/>
        <v>přímá vrut - 300319</v>
      </c>
      <c r="U16" s="35" t="s">
        <v>2118</v>
      </c>
      <c r="V16" s="35" t="str">
        <f t="shared" si="7"/>
        <v>přímá euro - N/A</v>
      </c>
      <c r="W16" s="35" t="s">
        <v>2118</v>
      </c>
      <c r="X16" s="35" t="str">
        <f t="shared" si="8"/>
        <v>přímá hmoždinka - N/A</v>
      </c>
      <c r="Y16" s="34"/>
      <c r="Z16" s="34"/>
    </row>
    <row r="17" spans="1:26" ht="15">
      <c r="A17" s="37" t="s">
        <v>1101</v>
      </c>
      <c r="B17" s="37" t="s">
        <v>567</v>
      </c>
      <c r="C17" s="37" t="str">
        <f>'Translate&amp;Prices&amp;Logo'!B556</f>
        <v>Polonaložený</v>
      </c>
      <c r="D17" s="32" t="str">
        <f t="shared" si="0"/>
        <v>úzký_HETTICH_Polonaložený</v>
      </c>
      <c r="E17" s="37" t="str">
        <f>'Translate&amp;Prices&amp;Logo'!$B$586</f>
        <v>tip-on bez pružiny/tlumení</v>
      </c>
      <c r="F17" s="34" t="str">
        <f>'Translate&amp;Prices&amp;Logo'!$B$587</f>
        <v>stříbrná</v>
      </c>
      <c r="G17" s="34" t="str">
        <f t="shared" si="1"/>
        <v>300286 - Polonaložený tip-on bez pružiny/tlumení - stříbrná</v>
      </c>
      <c r="H17" s="35">
        <v>300286</v>
      </c>
      <c r="I17" s="35" t="s">
        <v>1103</v>
      </c>
      <c r="J17" s="35" t="s">
        <v>1103</v>
      </c>
      <c r="K17" s="35">
        <v>106403</v>
      </c>
      <c r="L17" s="35" t="str">
        <f t="shared" si="2"/>
        <v>křížová vrut - 106403</v>
      </c>
      <c r="M17" s="35" t="s">
        <v>2118</v>
      </c>
      <c r="N17" s="35" t="str">
        <f t="shared" si="3"/>
        <v>křížová vrut (excentr) - N/A</v>
      </c>
      <c r="O17" s="35">
        <v>119240</v>
      </c>
      <c r="P17" s="35" t="str">
        <f t="shared" si="4"/>
        <v>křížová euro - 119240</v>
      </c>
      <c r="Q17" s="35">
        <v>136276</v>
      </c>
      <c r="R17" s="35" t="str">
        <f t="shared" si="5"/>
        <v>křížová hmoždinka - 136276</v>
      </c>
      <c r="S17" s="35">
        <v>300319</v>
      </c>
      <c r="T17" s="35" t="str">
        <f t="shared" si="6"/>
        <v>přímá vrut - 300319</v>
      </c>
      <c r="U17" s="35" t="s">
        <v>2118</v>
      </c>
      <c r="V17" s="35" t="str">
        <f t="shared" si="7"/>
        <v>přímá euro - N/A</v>
      </c>
      <c r="W17" s="35" t="s">
        <v>2118</v>
      </c>
      <c r="X17" s="35" t="str">
        <f t="shared" si="8"/>
        <v>přímá hmoždinka - N/A</v>
      </c>
      <c r="Y17" s="34"/>
      <c r="Z17" s="34"/>
    </row>
    <row r="18" spans="1:26" ht="15">
      <c r="A18" s="34" t="s">
        <v>1101</v>
      </c>
      <c r="B18" s="34" t="s">
        <v>567</v>
      </c>
      <c r="C18" s="34" t="str">
        <f>'Translate&amp;Prices&amp;Logo'!B557</f>
        <v>Vložený</v>
      </c>
      <c r="D18" s="32" t="str">
        <f t="shared" si="0"/>
        <v>úzký_HETTICH_Vložený</v>
      </c>
      <c r="E18" s="34" t="str">
        <f>'Translate&amp;Prices&amp;Logo'!$B$584</f>
        <v>s pružinou a tlumením</v>
      </c>
      <c r="F18" s="34" t="str">
        <f>'Translate&amp;Prices&amp;Logo'!$B$587</f>
        <v>stříbrná</v>
      </c>
      <c r="G18" s="34" t="str">
        <f t="shared" si="1"/>
        <v>300281 - Vložený s pružinou a tlumením - stříbrná</v>
      </c>
      <c r="H18" s="35">
        <v>300281</v>
      </c>
      <c r="I18" s="35" t="s">
        <v>1103</v>
      </c>
      <c r="J18" s="35" t="s">
        <v>1103</v>
      </c>
      <c r="K18" s="35">
        <v>106403</v>
      </c>
      <c r="L18" s="35" t="str">
        <f t="shared" si="2"/>
        <v>křížová vrut - 106403</v>
      </c>
      <c r="M18" s="35" t="s">
        <v>2118</v>
      </c>
      <c r="N18" s="35" t="str">
        <f t="shared" si="3"/>
        <v>křížová vrut (excentr) - N/A</v>
      </c>
      <c r="O18" s="35">
        <v>119240</v>
      </c>
      <c r="P18" s="35" t="str">
        <f t="shared" si="4"/>
        <v>křížová euro - 119240</v>
      </c>
      <c r="Q18" s="35">
        <v>136276</v>
      </c>
      <c r="R18" s="35" t="str">
        <f t="shared" si="5"/>
        <v>křížová hmoždinka - 136276</v>
      </c>
      <c r="S18" s="35">
        <v>300319</v>
      </c>
      <c r="T18" s="35" t="str">
        <f t="shared" si="6"/>
        <v>přímá vrut - 300319</v>
      </c>
      <c r="U18" s="35" t="s">
        <v>2118</v>
      </c>
      <c r="V18" s="35" t="str">
        <f t="shared" si="7"/>
        <v>přímá euro - N/A</v>
      </c>
      <c r="W18" s="35" t="s">
        <v>2118</v>
      </c>
      <c r="X18" s="35" t="str">
        <f t="shared" si="8"/>
        <v>přímá hmoždinka - N/A</v>
      </c>
      <c r="Y18" s="34"/>
      <c r="Z18" s="34"/>
    </row>
    <row r="19" spans="1:26" ht="15">
      <c r="A19" s="34" t="s">
        <v>1101</v>
      </c>
      <c r="B19" s="34" t="s">
        <v>567</v>
      </c>
      <c r="C19" s="34" t="str">
        <f>'Translate&amp;Prices&amp;Logo'!B557</f>
        <v>Vložený</v>
      </c>
      <c r="D19" s="32" t="str">
        <f t="shared" si="0"/>
        <v>úzký_HETTICH_Vložený</v>
      </c>
      <c r="E19" s="34" t="str">
        <f>'Translate&amp;Prices&amp;Logo'!$B$585</f>
        <v>s pružinou bez tlumení</v>
      </c>
      <c r="F19" s="34" t="str">
        <f>'Translate&amp;Prices&amp;Logo'!$B$587</f>
        <v>stříbrná</v>
      </c>
      <c r="G19" s="34" t="str">
        <f t="shared" si="1"/>
        <v>300284 - Vložený s pružinou bez tlumení - stříbrná</v>
      </c>
      <c r="H19" s="35">
        <v>300284</v>
      </c>
      <c r="I19" s="35" t="s">
        <v>1103</v>
      </c>
      <c r="J19" s="35" t="s">
        <v>1103</v>
      </c>
      <c r="K19" s="35">
        <v>106403</v>
      </c>
      <c r="L19" s="35" t="str">
        <f t="shared" si="2"/>
        <v>křížová vrut - 106403</v>
      </c>
      <c r="M19" s="35" t="s">
        <v>2118</v>
      </c>
      <c r="N19" s="35" t="str">
        <f t="shared" si="3"/>
        <v>křížová vrut (excentr) - N/A</v>
      </c>
      <c r="O19" s="35">
        <v>119240</v>
      </c>
      <c r="P19" s="35" t="str">
        <f t="shared" si="4"/>
        <v>křížová euro - 119240</v>
      </c>
      <c r="Q19" s="35">
        <v>136276</v>
      </c>
      <c r="R19" s="35" t="str">
        <f t="shared" si="5"/>
        <v>křížová hmoždinka - 136276</v>
      </c>
      <c r="S19" s="35">
        <v>300319</v>
      </c>
      <c r="T19" s="35" t="str">
        <f t="shared" si="6"/>
        <v>přímá vrut - 300319</v>
      </c>
      <c r="U19" s="35" t="s">
        <v>2118</v>
      </c>
      <c r="V19" s="35" t="str">
        <f t="shared" si="7"/>
        <v>přímá euro - N/A</v>
      </c>
      <c r="W19" s="35" t="s">
        <v>2118</v>
      </c>
      <c r="X19" s="35" t="str">
        <f t="shared" si="8"/>
        <v>přímá hmoždinka - N/A</v>
      </c>
      <c r="Y19" s="34"/>
      <c r="Z19" s="34"/>
    </row>
    <row r="20" spans="1:26" ht="15">
      <c r="A20" s="34" t="s">
        <v>1101</v>
      </c>
      <c r="B20" s="34" t="s">
        <v>567</v>
      </c>
      <c r="C20" s="34" t="str">
        <f>'Translate&amp;Prices&amp;Logo'!B557</f>
        <v>Vložený</v>
      </c>
      <c r="D20" s="32" t="str">
        <f t="shared" si="0"/>
        <v>úzký_HETTICH_Vložený</v>
      </c>
      <c r="E20" s="34" t="str">
        <f>'Translate&amp;Prices&amp;Logo'!$B$586</f>
        <v>tip-on bez pružiny/tlumení</v>
      </c>
      <c r="F20" s="34" t="str">
        <f>'Translate&amp;Prices&amp;Logo'!$B$587</f>
        <v>stříbrná</v>
      </c>
      <c r="G20" s="34" t="str">
        <f t="shared" si="1"/>
        <v>300287 - Vložený tip-on bez pružiny/tlumení - stříbrná</v>
      </c>
      <c r="H20" s="35">
        <v>300287</v>
      </c>
      <c r="I20" s="35" t="s">
        <v>1103</v>
      </c>
      <c r="J20" s="35" t="s">
        <v>1103</v>
      </c>
      <c r="K20" s="35">
        <v>106403</v>
      </c>
      <c r="L20" s="35" t="str">
        <f t="shared" si="2"/>
        <v>křížová vrut - 106403</v>
      </c>
      <c r="M20" s="35" t="s">
        <v>2118</v>
      </c>
      <c r="N20" s="35" t="str">
        <f t="shared" si="3"/>
        <v>křížová vrut (excentr) - N/A</v>
      </c>
      <c r="O20" s="35">
        <v>119240</v>
      </c>
      <c r="P20" s="35" t="str">
        <f t="shared" si="4"/>
        <v>křížová euro - 119240</v>
      </c>
      <c r="Q20" s="35">
        <v>136276</v>
      </c>
      <c r="R20" s="35" t="str">
        <f t="shared" si="5"/>
        <v>křížová hmoždinka - 136276</v>
      </c>
      <c r="S20" s="35">
        <v>300319</v>
      </c>
      <c r="T20" s="35" t="str">
        <f t="shared" si="6"/>
        <v>přímá vrut - 300319</v>
      </c>
      <c r="U20" s="35" t="s">
        <v>2118</v>
      </c>
      <c r="V20" s="35" t="str">
        <f t="shared" si="7"/>
        <v>přímá euro - N/A</v>
      </c>
      <c r="W20" s="35" t="s">
        <v>2118</v>
      </c>
      <c r="X20" s="35" t="str">
        <f t="shared" si="8"/>
        <v>přímá hmoždinka - N/A</v>
      </c>
      <c r="Y20" s="34"/>
      <c r="Z20" s="34"/>
    </row>
    <row r="21" spans="1:26" ht="15">
      <c r="A21" s="37" t="s">
        <v>1101</v>
      </c>
      <c r="B21" s="37" t="s">
        <v>57</v>
      </c>
      <c r="C21" s="37" t="str">
        <f>'Translate&amp;Prices&amp;Logo'!B555</f>
        <v>Naložený</v>
      </c>
      <c r="D21" s="32" t="str">
        <f t="shared" si="0"/>
        <v>úzký_STRONG_Naložený</v>
      </c>
      <c r="E21" s="37" t="str">
        <f>'Translate&amp;Prices&amp;Logo'!$B$584</f>
        <v>s pružinou a tlumením</v>
      </c>
      <c r="F21" s="34" t="str">
        <f>'Translate&amp;Prices&amp;Logo'!$B$587</f>
        <v>stříbrná</v>
      </c>
      <c r="G21" s="34" t="str">
        <f>CONCATENATE(I21," ","-"," ",C21," ",E21," - ",F21)</f>
        <v>92584T - Naložený s pružinou a tlumením - stříbrná</v>
      </c>
      <c r="H21" s="35" t="s">
        <v>1103</v>
      </c>
      <c r="I21" s="35" t="s">
        <v>429</v>
      </c>
      <c r="J21" s="35" t="s">
        <v>1103</v>
      </c>
      <c r="K21" s="35" t="s">
        <v>58</v>
      </c>
      <c r="L21" s="35" t="str">
        <f t="shared" si="2"/>
        <v>křížová vrut - 92590T</v>
      </c>
      <c r="M21" s="35" t="s">
        <v>62</v>
      </c>
      <c r="N21" s="35" t="str">
        <f t="shared" si="3"/>
        <v>křížová vrut (excentr) - 92594T</v>
      </c>
      <c r="O21" s="35" t="s">
        <v>63</v>
      </c>
      <c r="P21" s="35" t="str">
        <f t="shared" si="4"/>
        <v>křížová euro - 92591T</v>
      </c>
      <c r="Q21" s="35" t="s">
        <v>2118</v>
      </c>
      <c r="R21" s="35" t="str">
        <f t="shared" si="5"/>
        <v>křížová hmoždinka - N/A</v>
      </c>
      <c r="S21" s="35" t="s">
        <v>2118</v>
      </c>
      <c r="T21" s="35" t="str">
        <f t="shared" si="6"/>
        <v>přímá vrut - N/A</v>
      </c>
      <c r="U21" s="35" t="s">
        <v>2118</v>
      </c>
      <c r="V21" s="35" t="str">
        <f t="shared" si="7"/>
        <v>přímá euro - N/A</v>
      </c>
      <c r="W21" s="35" t="s">
        <v>2118</v>
      </c>
      <c r="X21" s="35" t="str">
        <f t="shared" si="8"/>
        <v>přímá hmoždinka - N/A</v>
      </c>
      <c r="Y21" s="34"/>
      <c r="Z21" s="34"/>
    </row>
    <row r="22" spans="1:26" ht="15">
      <c r="A22" s="34" t="s">
        <v>1101</v>
      </c>
      <c r="B22" s="34" t="s">
        <v>2348</v>
      </c>
      <c r="C22" s="34" t="str">
        <f>'Translate&amp;Prices&amp;Logo'!B555</f>
        <v>Naložený</v>
      </c>
      <c r="D22" s="32" t="str">
        <f t="shared" si="0"/>
        <v>úzký_STRONGHINGES_Naložený</v>
      </c>
      <c r="E22" s="34" t="str">
        <f>'Translate&amp;Prices&amp;Logo'!$B$584</f>
        <v>s pružinou a tlumením</v>
      </c>
      <c r="F22" s="34" t="str">
        <f>'Translate&amp;Prices&amp;Logo'!$B$587</f>
        <v>stříbrná</v>
      </c>
      <c r="G22" s="34" t="str">
        <f t="shared" ref="G22:G66" si="10">CONCATENATE(I22," ","-"," ",C22," ",E22," - ",F22)</f>
        <v>350863 - Naložený s pružinou a tlumením - stříbrná</v>
      </c>
      <c r="H22" s="35" t="s">
        <v>1103</v>
      </c>
      <c r="I22" s="35">
        <v>350863</v>
      </c>
      <c r="J22" s="35" t="s">
        <v>1103</v>
      </c>
      <c r="K22" s="35">
        <v>92596</v>
      </c>
      <c r="L22" s="35" t="str">
        <f t="shared" si="2"/>
        <v>křížová vrut - 92596</v>
      </c>
      <c r="M22" s="35">
        <v>315856</v>
      </c>
      <c r="N22" s="35" t="str">
        <f t="shared" si="3"/>
        <v>křížová vrut (excentr) - 315856</v>
      </c>
      <c r="O22" s="35">
        <v>92597</v>
      </c>
      <c r="P22" s="35" t="str">
        <f t="shared" si="4"/>
        <v>křížová euro - 92597</v>
      </c>
      <c r="Q22" s="35" t="s">
        <v>2118</v>
      </c>
      <c r="R22" s="35" t="str">
        <f t="shared" si="5"/>
        <v>křížová hmoždinka - N/A</v>
      </c>
      <c r="S22" s="35" t="s">
        <v>2118</v>
      </c>
      <c r="T22" s="35" t="str">
        <f t="shared" si="6"/>
        <v>přímá vrut - N/A</v>
      </c>
      <c r="U22" s="35" t="s">
        <v>2118</v>
      </c>
      <c r="V22" s="35" t="str">
        <f t="shared" si="7"/>
        <v>přímá euro - N/A</v>
      </c>
      <c r="W22" s="35" t="s">
        <v>2118</v>
      </c>
      <c r="X22" s="35" t="str">
        <f t="shared" si="8"/>
        <v>přímá hmoždinka - N/A</v>
      </c>
      <c r="Y22" s="34"/>
      <c r="Z22" s="34"/>
    </row>
    <row r="23" spans="1:26" ht="15">
      <c r="A23" s="34" t="s">
        <v>1101</v>
      </c>
      <c r="B23" s="34" t="s">
        <v>2348</v>
      </c>
      <c r="C23" s="34" t="str">
        <f>'Translate&amp;Prices&amp;Logo'!B555</f>
        <v>Naložený</v>
      </c>
      <c r="D23" s="32" t="str">
        <f t="shared" si="0"/>
        <v>úzký_STRONGHINGES_Naložený</v>
      </c>
      <c r="E23" s="34" t="str">
        <f>'Translate&amp;Prices&amp;Logo'!$B$586</f>
        <v>tip-on bez pružiny/tlumení</v>
      </c>
      <c r="F23" s="34" t="str">
        <f>'Translate&amp;Prices&amp;Logo'!$B$587</f>
        <v>stříbrná</v>
      </c>
      <c r="G23" s="34" t="str">
        <f t="shared" si="10"/>
        <v>350864 - Naložený tip-on bez pružiny/tlumení - stříbrná</v>
      </c>
      <c r="H23" s="35" t="s">
        <v>1103</v>
      </c>
      <c r="I23" s="35">
        <v>350864</v>
      </c>
      <c r="J23" s="35" t="s">
        <v>1103</v>
      </c>
      <c r="K23" s="35">
        <v>92596</v>
      </c>
      <c r="L23" s="35" t="str">
        <f t="shared" si="2"/>
        <v>křížová vrut - 92596</v>
      </c>
      <c r="M23" s="35">
        <v>315856</v>
      </c>
      <c r="N23" s="35" t="str">
        <f t="shared" si="3"/>
        <v>křížová vrut (excentr) - 315856</v>
      </c>
      <c r="O23" s="35">
        <v>92597</v>
      </c>
      <c r="P23" s="35" t="str">
        <f t="shared" si="4"/>
        <v>křížová euro - 92597</v>
      </c>
      <c r="Q23" s="35" t="s">
        <v>2118</v>
      </c>
      <c r="R23" s="35" t="str">
        <f t="shared" si="5"/>
        <v>křížová hmoždinka - N/A</v>
      </c>
      <c r="S23" s="35" t="s">
        <v>2118</v>
      </c>
      <c r="T23" s="35" t="str">
        <f t="shared" si="6"/>
        <v>přímá vrut - N/A</v>
      </c>
      <c r="U23" s="35" t="s">
        <v>2118</v>
      </c>
      <c r="V23" s="35" t="str">
        <f t="shared" si="7"/>
        <v>přímá euro - N/A</v>
      </c>
      <c r="W23" s="35" t="s">
        <v>2118</v>
      </c>
      <c r="X23" s="35" t="str">
        <f t="shared" si="8"/>
        <v>přímá hmoždinka - N/A</v>
      </c>
      <c r="Y23" s="34"/>
      <c r="Z23" s="34"/>
    </row>
    <row r="24" spans="1:26" ht="15">
      <c r="A24" s="37" t="s">
        <v>1105</v>
      </c>
      <c r="B24" s="37" t="s">
        <v>2</v>
      </c>
      <c r="C24" s="37" t="str">
        <f>'Translate&amp;Prices&amp;Logo'!B555</f>
        <v>Naložený</v>
      </c>
      <c r="D24" s="32" t="str">
        <f t="shared" si="0"/>
        <v>široký_BLUM_Naložený</v>
      </c>
      <c r="E24" s="37" t="str">
        <f>'Translate&amp;Prices&amp;Logo'!$B$584</f>
        <v>s pružinou a tlumením</v>
      </c>
      <c r="F24" s="34" t="str">
        <f>'Translate&amp;Prices&amp;Logo'!$B$587</f>
        <v>stříbrná</v>
      </c>
      <c r="G24" s="34" t="str">
        <f t="shared" si="10"/>
        <v>12047 - Naložený s pružinou a tlumením - stříbrná</v>
      </c>
      <c r="H24" s="35" t="s">
        <v>1103</v>
      </c>
      <c r="I24" s="35">
        <v>12047</v>
      </c>
      <c r="J24" s="35" t="s">
        <v>1103</v>
      </c>
      <c r="K24" s="35">
        <v>12306</v>
      </c>
      <c r="L24" s="35" t="str">
        <f t="shared" si="2"/>
        <v>křížová vrut - 12306</v>
      </c>
      <c r="M24" s="35" t="s">
        <v>2118</v>
      </c>
      <c r="N24" s="35" t="str">
        <f t="shared" si="3"/>
        <v>křížová vrut (excentr) - N/A</v>
      </c>
      <c r="O24" s="35">
        <v>12318</v>
      </c>
      <c r="P24" s="35" t="str">
        <f t="shared" si="4"/>
        <v>křížová euro - 12318</v>
      </c>
      <c r="Q24" s="35">
        <v>12302</v>
      </c>
      <c r="R24" s="35" t="str">
        <f t="shared" si="5"/>
        <v>křížová hmoždinka - 12302</v>
      </c>
      <c r="S24" s="35">
        <v>203387</v>
      </c>
      <c r="T24" s="35" t="str">
        <f t="shared" si="6"/>
        <v>přímá vrut - 203387</v>
      </c>
      <c r="U24" s="35">
        <v>346624</v>
      </c>
      <c r="V24" s="35" t="str">
        <f t="shared" si="7"/>
        <v>přímá euro - 346624</v>
      </c>
      <c r="W24" s="35">
        <v>211476</v>
      </c>
      <c r="X24" s="35" t="str">
        <f t="shared" si="8"/>
        <v>přímá hmoždinka - 211476</v>
      </c>
      <c r="Y24" s="34"/>
      <c r="Z24" s="34"/>
    </row>
    <row r="25" spans="1:26" ht="16.350000000000001" customHeight="1">
      <c r="A25" s="37" t="s">
        <v>1105</v>
      </c>
      <c r="B25" s="37" t="s">
        <v>2</v>
      </c>
      <c r="C25" s="37" t="str">
        <f>'Translate&amp;Prices&amp;Logo'!B555</f>
        <v>Naložený</v>
      </c>
      <c r="D25" s="32" t="str">
        <f t="shared" si="0"/>
        <v>široký_BLUM_Naložený</v>
      </c>
      <c r="E25" s="37" t="str">
        <f>'Translate&amp;Prices&amp;Logo'!$B$584</f>
        <v>s pružinou a tlumením</v>
      </c>
      <c r="F25" s="34" t="str">
        <f>'Translate&amp;Prices&amp;Logo'!$B$588</f>
        <v>černá</v>
      </c>
      <c r="G25" s="34" t="str">
        <f t="shared" si="10"/>
        <v>306317 - Naložený s pružinou a tlumením - černá</v>
      </c>
      <c r="H25" s="35" t="s">
        <v>1103</v>
      </c>
      <c r="I25" s="35">
        <v>306317</v>
      </c>
      <c r="J25" s="35" t="s">
        <v>1103</v>
      </c>
      <c r="K25" s="35">
        <v>458360</v>
      </c>
      <c r="L25" s="35" t="str">
        <f t="shared" si="2"/>
        <v>křížová vrut - 458360</v>
      </c>
      <c r="M25" s="35" t="s">
        <v>2118</v>
      </c>
      <c r="N25" s="35" t="str">
        <f t="shared" si="3"/>
        <v>křížová vrut (excentr) - N/A</v>
      </c>
      <c r="O25" s="35" t="s">
        <v>2118</v>
      </c>
      <c r="P25" s="35" t="str">
        <f t="shared" si="4"/>
        <v>křížová euro - N/A</v>
      </c>
      <c r="Q25" s="35">
        <v>347124</v>
      </c>
      <c r="R25" s="35" t="str">
        <f t="shared" si="5"/>
        <v>křížová hmoždinka - 347124</v>
      </c>
      <c r="S25" s="35">
        <v>306320</v>
      </c>
      <c r="T25" s="35" t="str">
        <f t="shared" si="6"/>
        <v>přímá vrut - 306320</v>
      </c>
      <c r="U25" s="35" t="s">
        <v>2118</v>
      </c>
      <c r="V25" s="35" t="str">
        <f t="shared" si="7"/>
        <v>přímá euro - N/A</v>
      </c>
      <c r="W25" s="35">
        <v>409651</v>
      </c>
      <c r="X25" s="35" t="str">
        <f t="shared" si="8"/>
        <v>přímá hmoždinka - 409651</v>
      </c>
      <c r="Y25" s="34"/>
      <c r="Z25" s="34"/>
    </row>
    <row r="26" spans="1:26" ht="16.350000000000001" customHeight="1">
      <c r="A26" s="37" t="s">
        <v>1105</v>
      </c>
      <c r="B26" s="37" t="s">
        <v>2</v>
      </c>
      <c r="C26" s="37" t="str">
        <f>'Translate&amp;Prices&amp;Logo'!B555</f>
        <v>Naložený</v>
      </c>
      <c r="D26" s="32" t="str">
        <f t="shared" si="0"/>
        <v>široký_BLUM_Naložený</v>
      </c>
      <c r="E26" s="37" t="str">
        <f>'Translate&amp;Prices&amp;Logo'!$B$585</f>
        <v>s pružinou bez tlumení</v>
      </c>
      <c r="F26" s="34" t="str">
        <f>'Translate&amp;Prices&amp;Logo'!$B$587</f>
        <v>stříbrná</v>
      </c>
      <c r="G26" s="34" t="str">
        <f t="shared" si="10"/>
        <v>12052 - Naložený s pružinou bez tlumení - stříbrná</v>
      </c>
      <c r="H26" s="35" t="s">
        <v>1103</v>
      </c>
      <c r="I26" s="35">
        <v>12052</v>
      </c>
      <c r="J26" s="35" t="s">
        <v>1103</v>
      </c>
      <c r="K26" s="35">
        <v>12306</v>
      </c>
      <c r="L26" s="35" t="str">
        <f t="shared" si="2"/>
        <v>křížová vrut - 12306</v>
      </c>
      <c r="M26" s="35" t="s">
        <v>2118</v>
      </c>
      <c r="N26" s="35" t="str">
        <f t="shared" si="3"/>
        <v>křížová vrut (excentr) - N/A</v>
      </c>
      <c r="O26" s="35">
        <v>12318</v>
      </c>
      <c r="P26" s="35" t="str">
        <f t="shared" si="4"/>
        <v>křížová euro - 12318</v>
      </c>
      <c r="Q26" s="35">
        <v>12302</v>
      </c>
      <c r="R26" s="35" t="str">
        <f t="shared" si="5"/>
        <v>křížová hmoždinka - 12302</v>
      </c>
      <c r="S26" s="35">
        <v>203387</v>
      </c>
      <c r="T26" s="35" t="str">
        <f t="shared" si="6"/>
        <v>přímá vrut - 203387</v>
      </c>
      <c r="U26" s="35">
        <v>346624</v>
      </c>
      <c r="V26" s="35" t="str">
        <f t="shared" si="7"/>
        <v>přímá euro - 346624</v>
      </c>
      <c r="W26" s="35">
        <v>211476</v>
      </c>
      <c r="X26" s="35" t="str">
        <f t="shared" si="8"/>
        <v>přímá hmoždinka - 211476</v>
      </c>
      <c r="Y26" s="34"/>
      <c r="Z26" s="34"/>
    </row>
    <row r="27" spans="1:26" ht="16.350000000000001" customHeight="1">
      <c r="A27" s="37" t="s">
        <v>1105</v>
      </c>
      <c r="B27" s="37" t="s">
        <v>2</v>
      </c>
      <c r="C27" s="37" t="str">
        <f>'Translate&amp;Prices&amp;Logo'!B555</f>
        <v>Naložený</v>
      </c>
      <c r="D27" s="32" t="str">
        <f t="shared" si="0"/>
        <v>široký_BLUM_Naložený</v>
      </c>
      <c r="E27" s="37" t="str">
        <f>'Translate&amp;Prices&amp;Logo'!$B$586</f>
        <v>tip-on bez pružiny/tlumení</v>
      </c>
      <c r="F27" s="34" t="str">
        <f>'Translate&amp;Prices&amp;Logo'!$B$587</f>
        <v>stříbrná</v>
      </c>
      <c r="G27" s="34" t="str">
        <f t="shared" si="10"/>
        <v>226668 - Naložený tip-on bez pružiny/tlumení - stříbrná</v>
      </c>
      <c r="H27" s="35" t="s">
        <v>1103</v>
      </c>
      <c r="I27" s="35">
        <v>226668</v>
      </c>
      <c r="J27" s="35" t="s">
        <v>1103</v>
      </c>
      <c r="K27" s="35">
        <v>12306</v>
      </c>
      <c r="L27" s="35" t="str">
        <f t="shared" si="2"/>
        <v>křížová vrut - 12306</v>
      </c>
      <c r="M27" s="35" t="s">
        <v>2118</v>
      </c>
      <c r="N27" s="35" t="str">
        <f t="shared" si="3"/>
        <v>křížová vrut (excentr) - N/A</v>
      </c>
      <c r="O27" s="35">
        <v>12318</v>
      </c>
      <c r="P27" s="35" t="str">
        <f t="shared" si="4"/>
        <v>křížová euro - 12318</v>
      </c>
      <c r="Q27" s="35">
        <v>12302</v>
      </c>
      <c r="R27" s="35" t="str">
        <f t="shared" si="5"/>
        <v>křížová hmoždinka - 12302</v>
      </c>
      <c r="S27" s="35">
        <v>203387</v>
      </c>
      <c r="T27" s="35" t="str">
        <f t="shared" si="6"/>
        <v>přímá vrut - 203387</v>
      </c>
      <c r="U27" s="35">
        <v>346624</v>
      </c>
      <c r="V27" s="35" t="str">
        <f t="shared" si="7"/>
        <v>přímá euro - 346624</v>
      </c>
      <c r="W27" s="35">
        <v>211476</v>
      </c>
      <c r="X27" s="35" t="str">
        <f t="shared" si="8"/>
        <v>přímá hmoždinka - 211476</v>
      </c>
      <c r="Y27" s="34"/>
      <c r="Z27" s="34"/>
    </row>
    <row r="28" spans="1:26" ht="16.350000000000001" customHeight="1">
      <c r="A28" s="37" t="s">
        <v>1105</v>
      </c>
      <c r="B28" s="37" t="s">
        <v>2</v>
      </c>
      <c r="C28" s="37" t="str">
        <f>'Translate&amp;Prices&amp;Logo'!B555</f>
        <v>Naložený</v>
      </c>
      <c r="D28" s="32" t="str">
        <f t="shared" si="0"/>
        <v>široký_BLUM_Naložený</v>
      </c>
      <c r="E28" s="37" t="str">
        <f>'Translate&amp;Prices&amp;Logo'!$B$586</f>
        <v>tip-on bez pružiny/tlumení</v>
      </c>
      <c r="F28" s="34" t="s">
        <v>2564</v>
      </c>
      <c r="G28" s="34" t="str">
        <f>CONCATENATE(H28," ","-"," ",C28," ",E28," - ",F28)</f>
        <v>318173 - Naložený tip-on bez pružiny/tlumení - onyx</v>
      </c>
      <c r="H28" s="35">
        <v>318173</v>
      </c>
      <c r="Q28" s="35">
        <v>347124</v>
      </c>
      <c r="R28" s="35" t="str">
        <f t="shared" si="5"/>
        <v>křížová hmoždinka - 347124</v>
      </c>
      <c r="S28" s="35">
        <v>306320</v>
      </c>
      <c r="T28" s="35" t="str">
        <f t="shared" ref="T28" si="11">CONCATENATE($S$1," - ",S28)</f>
        <v>přímá vrut - 306320</v>
      </c>
      <c r="X28" s="35"/>
      <c r="Y28" s="34"/>
      <c r="Z28" s="34"/>
    </row>
    <row r="29" spans="1:26" ht="16.350000000000001" customHeight="1">
      <c r="A29" s="34" t="s">
        <v>1105</v>
      </c>
      <c r="B29" s="34" t="s">
        <v>2</v>
      </c>
      <c r="C29" s="34" t="str">
        <f>'Translate&amp;Prices&amp;Logo'!B556</f>
        <v>Polonaložený</v>
      </c>
      <c r="D29" s="32" t="str">
        <f t="shared" si="0"/>
        <v>široký_BLUM_Polonaložený</v>
      </c>
      <c r="E29" s="34" t="str">
        <f>'Translate&amp;Prices&amp;Logo'!$B$584</f>
        <v>s pružinou a tlumením</v>
      </c>
      <c r="F29" s="34" t="str">
        <f>'Translate&amp;Prices&amp;Logo'!$B$587</f>
        <v>stříbrná</v>
      </c>
      <c r="G29" s="34" t="str">
        <f t="shared" si="10"/>
        <v>12048 - Polonaložený s pružinou a tlumením - stříbrná</v>
      </c>
      <c r="H29" s="35" t="s">
        <v>1103</v>
      </c>
      <c r="I29" s="35">
        <v>12048</v>
      </c>
      <c r="J29" s="35" t="s">
        <v>1103</v>
      </c>
      <c r="K29" s="35">
        <v>12306</v>
      </c>
      <c r="L29" s="35" t="str">
        <f t="shared" si="2"/>
        <v>křížová vrut - 12306</v>
      </c>
      <c r="M29" s="35" t="s">
        <v>2118</v>
      </c>
      <c r="N29" s="35" t="str">
        <f t="shared" si="3"/>
        <v>křížová vrut (excentr) - N/A</v>
      </c>
      <c r="O29" s="35">
        <v>12318</v>
      </c>
      <c r="P29" s="35" t="str">
        <f t="shared" si="4"/>
        <v>křížová euro - 12318</v>
      </c>
      <c r="Q29" s="35">
        <v>12302</v>
      </c>
      <c r="R29" s="35" t="str">
        <f t="shared" si="5"/>
        <v>křížová hmoždinka - 12302</v>
      </c>
      <c r="S29" s="35">
        <v>203387</v>
      </c>
      <c r="T29" s="35" t="str">
        <f t="shared" si="6"/>
        <v>přímá vrut - 203387</v>
      </c>
      <c r="U29" s="35">
        <v>346624</v>
      </c>
      <c r="V29" s="35" t="str">
        <f t="shared" si="7"/>
        <v>přímá euro - 346624</v>
      </c>
      <c r="W29" s="35">
        <v>211476</v>
      </c>
      <c r="X29" s="35" t="str">
        <f t="shared" si="8"/>
        <v>přímá hmoždinka - 211476</v>
      </c>
      <c r="Y29" s="34"/>
      <c r="Z29" s="34"/>
    </row>
    <row r="30" spans="1:26" ht="16.350000000000001" customHeight="1">
      <c r="A30" s="34" t="s">
        <v>1105</v>
      </c>
      <c r="B30" s="34" t="s">
        <v>2</v>
      </c>
      <c r="C30" s="34" t="str">
        <f>'Translate&amp;Prices&amp;Logo'!B556</f>
        <v>Polonaložený</v>
      </c>
      <c r="D30" s="32" t="str">
        <f t="shared" si="0"/>
        <v>široký_BLUM_Polonaložený</v>
      </c>
      <c r="E30" s="34" t="str">
        <f>'Translate&amp;Prices&amp;Logo'!$B$584</f>
        <v>s pružinou a tlumením</v>
      </c>
      <c r="F30" s="34" t="str">
        <f>'Translate&amp;Prices&amp;Logo'!$B$588</f>
        <v>černá</v>
      </c>
      <c r="G30" s="34" t="str">
        <f t="shared" si="10"/>
        <v>306318 - Polonaložený s pružinou a tlumením - černá</v>
      </c>
      <c r="H30" s="35" t="s">
        <v>1103</v>
      </c>
      <c r="I30" s="35">
        <v>306318</v>
      </c>
      <c r="J30" s="35" t="s">
        <v>1103</v>
      </c>
      <c r="K30" s="35">
        <v>458360</v>
      </c>
      <c r="L30" s="35" t="str">
        <f t="shared" si="2"/>
        <v>křížová vrut - 458360</v>
      </c>
      <c r="M30" s="35" t="s">
        <v>2118</v>
      </c>
      <c r="N30" s="35" t="str">
        <f t="shared" si="3"/>
        <v>křížová vrut (excentr) - N/A</v>
      </c>
      <c r="O30" s="35" t="s">
        <v>2118</v>
      </c>
      <c r="P30" s="35" t="str">
        <f t="shared" si="4"/>
        <v>křížová euro - N/A</v>
      </c>
      <c r="Q30" s="35">
        <v>347124</v>
      </c>
      <c r="R30" s="35" t="str">
        <f t="shared" si="5"/>
        <v>křížová hmoždinka - 347124</v>
      </c>
      <c r="S30" s="35">
        <v>306320</v>
      </c>
      <c r="T30" s="35" t="str">
        <f t="shared" si="6"/>
        <v>přímá vrut - 306320</v>
      </c>
      <c r="U30" s="35" t="s">
        <v>2118</v>
      </c>
      <c r="V30" s="35" t="str">
        <f t="shared" si="7"/>
        <v>přímá euro - N/A</v>
      </c>
      <c r="W30" s="35">
        <v>409651</v>
      </c>
      <c r="X30" s="35" t="str">
        <f t="shared" si="8"/>
        <v>přímá hmoždinka - 409651</v>
      </c>
      <c r="Y30" s="34"/>
      <c r="Z30" s="34"/>
    </row>
    <row r="31" spans="1:26" ht="16.350000000000001" customHeight="1">
      <c r="A31" s="34" t="s">
        <v>1105</v>
      </c>
      <c r="B31" s="34" t="s">
        <v>2</v>
      </c>
      <c r="C31" s="34" t="str">
        <f>'Translate&amp;Prices&amp;Logo'!B556</f>
        <v>Polonaložený</v>
      </c>
      <c r="D31" s="32" t="str">
        <f t="shared" si="0"/>
        <v>široký_BLUM_Polonaložený</v>
      </c>
      <c r="E31" s="34" t="str">
        <f>'Translate&amp;Prices&amp;Logo'!$B$585</f>
        <v>s pružinou bez tlumení</v>
      </c>
      <c r="F31" s="34" t="str">
        <f>'Translate&amp;Prices&amp;Logo'!$B$587</f>
        <v>stříbrná</v>
      </c>
      <c r="G31" s="34" t="str">
        <f t="shared" si="10"/>
        <v>12053 - Polonaložený s pružinou bez tlumení - stříbrná</v>
      </c>
      <c r="H31" s="35" t="s">
        <v>1103</v>
      </c>
      <c r="I31" s="35">
        <v>12053</v>
      </c>
      <c r="J31" s="35" t="s">
        <v>1103</v>
      </c>
      <c r="K31" s="35">
        <v>12306</v>
      </c>
      <c r="L31" s="35" t="str">
        <f t="shared" si="2"/>
        <v>křížová vrut - 12306</v>
      </c>
      <c r="M31" s="35" t="s">
        <v>2118</v>
      </c>
      <c r="N31" s="35" t="str">
        <f t="shared" si="3"/>
        <v>křížová vrut (excentr) - N/A</v>
      </c>
      <c r="O31" s="35">
        <v>12318</v>
      </c>
      <c r="P31" s="35" t="str">
        <f t="shared" si="4"/>
        <v>křížová euro - 12318</v>
      </c>
      <c r="Q31" s="35">
        <v>12302</v>
      </c>
      <c r="R31" s="35" t="str">
        <f t="shared" si="5"/>
        <v>křížová hmoždinka - 12302</v>
      </c>
      <c r="S31" s="35">
        <v>203387</v>
      </c>
      <c r="T31" s="35" t="str">
        <f t="shared" si="6"/>
        <v>přímá vrut - 203387</v>
      </c>
      <c r="U31" s="35">
        <v>346624</v>
      </c>
      <c r="V31" s="35" t="str">
        <f t="shared" si="7"/>
        <v>přímá euro - 346624</v>
      </c>
      <c r="W31" s="35">
        <v>211476</v>
      </c>
      <c r="X31" s="35" t="str">
        <f t="shared" si="8"/>
        <v>přímá hmoždinka - 211476</v>
      </c>
      <c r="Y31" s="34"/>
      <c r="Z31" s="34"/>
    </row>
    <row r="32" spans="1:26" ht="16.350000000000001" customHeight="1">
      <c r="A32" s="34" t="s">
        <v>1105</v>
      </c>
      <c r="B32" s="34" t="s">
        <v>2</v>
      </c>
      <c r="C32" s="34" t="str">
        <f>'Translate&amp;Prices&amp;Logo'!B556</f>
        <v>Polonaložený</v>
      </c>
      <c r="D32" s="32" t="str">
        <f t="shared" si="0"/>
        <v>široký_BLUM_Polonaložený</v>
      </c>
      <c r="E32" s="34" t="str">
        <f>'Translate&amp;Prices&amp;Logo'!$B$586</f>
        <v>tip-on bez pružiny/tlumení</v>
      </c>
      <c r="F32" s="34" t="str">
        <f>'Translate&amp;Prices&amp;Logo'!$B$587</f>
        <v>stříbrná</v>
      </c>
      <c r="G32" s="34" t="str">
        <f t="shared" si="10"/>
        <v>226670 - Polonaložený tip-on bez pružiny/tlumení - stříbrná</v>
      </c>
      <c r="H32" s="35" t="s">
        <v>1103</v>
      </c>
      <c r="I32" s="35">
        <v>226670</v>
      </c>
      <c r="J32" s="35" t="s">
        <v>1103</v>
      </c>
      <c r="K32" s="35">
        <v>12306</v>
      </c>
      <c r="L32" s="35" t="str">
        <f t="shared" si="2"/>
        <v>křížová vrut - 12306</v>
      </c>
      <c r="M32" s="35" t="s">
        <v>2118</v>
      </c>
      <c r="N32" s="35" t="str">
        <f t="shared" si="3"/>
        <v>křížová vrut (excentr) - N/A</v>
      </c>
      <c r="O32" s="35">
        <v>12318</v>
      </c>
      <c r="P32" s="35" t="str">
        <f t="shared" si="4"/>
        <v>křížová euro - 12318</v>
      </c>
      <c r="Q32" s="35">
        <v>12302</v>
      </c>
      <c r="R32" s="35" t="str">
        <f t="shared" si="5"/>
        <v>křížová hmoždinka - 12302</v>
      </c>
      <c r="S32" s="35">
        <v>203387</v>
      </c>
      <c r="T32" s="35" t="str">
        <f t="shared" si="6"/>
        <v>přímá vrut - 203387</v>
      </c>
      <c r="U32" s="35">
        <v>346624</v>
      </c>
      <c r="V32" s="35" t="str">
        <f t="shared" si="7"/>
        <v>přímá euro - 346624</v>
      </c>
      <c r="W32" s="35">
        <v>211476</v>
      </c>
      <c r="X32" s="35" t="str">
        <f t="shared" si="8"/>
        <v>přímá hmoždinka - 211476</v>
      </c>
      <c r="Y32" s="34"/>
      <c r="Z32" s="34"/>
    </row>
    <row r="33" spans="1:26" ht="16.350000000000001" customHeight="1">
      <c r="A33" s="37" t="s">
        <v>1105</v>
      </c>
      <c r="B33" s="37" t="s">
        <v>2</v>
      </c>
      <c r="C33" s="37" t="str">
        <f>'Translate&amp;Prices&amp;Logo'!B557</f>
        <v>Vložený</v>
      </c>
      <c r="D33" s="32" t="str">
        <f t="shared" si="0"/>
        <v>široký_BLUM_Vložený</v>
      </c>
      <c r="E33" s="37" t="str">
        <f>'Translate&amp;Prices&amp;Logo'!$B$584</f>
        <v>s pružinou a tlumením</v>
      </c>
      <c r="F33" s="34" t="str">
        <f>'Translate&amp;Prices&amp;Logo'!$B$587</f>
        <v>stříbrná</v>
      </c>
      <c r="G33" s="34" t="str">
        <f t="shared" si="10"/>
        <v>12049 - Vložený s pružinou a tlumením - stříbrná</v>
      </c>
      <c r="H33" s="35" t="s">
        <v>1103</v>
      </c>
      <c r="I33" s="35">
        <v>12049</v>
      </c>
      <c r="J33" s="35" t="s">
        <v>1103</v>
      </c>
      <c r="K33" s="35">
        <v>12306</v>
      </c>
      <c r="L33" s="35" t="str">
        <f t="shared" si="2"/>
        <v>křížová vrut - 12306</v>
      </c>
      <c r="M33" s="35" t="s">
        <v>2118</v>
      </c>
      <c r="N33" s="35" t="str">
        <f t="shared" si="3"/>
        <v>křížová vrut (excentr) - N/A</v>
      </c>
      <c r="O33" s="35">
        <v>12318</v>
      </c>
      <c r="P33" s="35" t="str">
        <f t="shared" si="4"/>
        <v>křížová euro - 12318</v>
      </c>
      <c r="Q33" s="35">
        <v>12302</v>
      </c>
      <c r="R33" s="35" t="str">
        <f t="shared" si="5"/>
        <v>křížová hmoždinka - 12302</v>
      </c>
      <c r="S33" s="35">
        <v>203387</v>
      </c>
      <c r="T33" s="35" t="str">
        <f t="shared" si="6"/>
        <v>přímá vrut - 203387</v>
      </c>
      <c r="U33" s="35">
        <v>346624</v>
      </c>
      <c r="V33" s="35" t="str">
        <f t="shared" si="7"/>
        <v>přímá euro - 346624</v>
      </c>
      <c r="W33" s="35">
        <v>211476</v>
      </c>
      <c r="X33" s="35" t="str">
        <f t="shared" si="8"/>
        <v>přímá hmoždinka - 211476</v>
      </c>
      <c r="Y33" s="34"/>
      <c r="Z33" s="34"/>
    </row>
    <row r="34" spans="1:26" ht="16.350000000000001" customHeight="1">
      <c r="A34" s="37" t="s">
        <v>1105</v>
      </c>
      <c r="B34" s="37" t="s">
        <v>2</v>
      </c>
      <c r="C34" s="37" t="str">
        <f>'Translate&amp;Prices&amp;Logo'!B557</f>
        <v>Vložený</v>
      </c>
      <c r="D34" s="32" t="str">
        <f t="shared" si="0"/>
        <v>široký_BLUM_Vložený</v>
      </c>
      <c r="E34" s="37" t="str">
        <f>'Translate&amp;Prices&amp;Logo'!$B$584</f>
        <v>s pružinou a tlumením</v>
      </c>
      <c r="F34" s="34" t="str">
        <f>'Translate&amp;Prices&amp;Logo'!$B$588</f>
        <v>černá</v>
      </c>
      <c r="G34" s="34" t="str">
        <f t="shared" si="10"/>
        <v>306319 - Vložený s pružinou a tlumením - černá</v>
      </c>
      <c r="H34" s="35" t="s">
        <v>1103</v>
      </c>
      <c r="I34" s="35">
        <v>306319</v>
      </c>
      <c r="J34" s="35" t="s">
        <v>1103</v>
      </c>
      <c r="K34" s="35">
        <v>458360</v>
      </c>
      <c r="L34" s="35" t="str">
        <f t="shared" si="2"/>
        <v>křížová vrut - 458360</v>
      </c>
      <c r="M34" s="35" t="s">
        <v>2118</v>
      </c>
      <c r="N34" s="35" t="str">
        <f t="shared" si="3"/>
        <v>křížová vrut (excentr) - N/A</v>
      </c>
      <c r="O34" s="35" t="s">
        <v>2118</v>
      </c>
      <c r="P34" s="35" t="str">
        <f t="shared" si="4"/>
        <v>křížová euro - N/A</v>
      </c>
      <c r="Q34" s="35">
        <v>347124</v>
      </c>
      <c r="R34" s="35" t="str">
        <f t="shared" si="5"/>
        <v>křížová hmoždinka - 347124</v>
      </c>
      <c r="S34" s="35">
        <v>306320</v>
      </c>
      <c r="T34" s="35" t="str">
        <f t="shared" si="6"/>
        <v>přímá vrut - 306320</v>
      </c>
      <c r="U34" s="35" t="s">
        <v>2118</v>
      </c>
      <c r="V34" s="35" t="str">
        <f t="shared" si="7"/>
        <v>přímá euro - N/A</v>
      </c>
      <c r="W34" s="35">
        <v>409651</v>
      </c>
      <c r="X34" s="35" t="str">
        <f t="shared" si="8"/>
        <v>přímá hmoždinka - 409651</v>
      </c>
      <c r="Y34" s="34"/>
      <c r="Z34" s="34"/>
    </row>
    <row r="35" spans="1:26" ht="16.350000000000001" customHeight="1">
      <c r="A35" s="37" t="s">
        <v>1105</v>
      </c>
      <c r="B35" s="37" t="s">
        <v>2</v>
      </c>
      <c r="C35" s="37" t="str">
        <f>'Translate&amp;Prices&amp;Logo'!B557</f>
        <v>Vložený</v>
      </c>
      <c r="D35" s="32" t="str">
        <f t="shared" si="0"/>
        <v>široký_BLUM_Vložený</v>
      </c>
      <c r="E35" s="37" t="str">
        <f>'Translate&amp;Prices&amp;Logo'!$B$585</f>
        <v>s pružinou bez tlumení</v>
      </c>
      <c r="F35" s="34" t="str">
        <f>'Translate&amp;Prices&amp;Logo'!$B$587</f>
        <v>stříbrná</v>
      </c>
      <c r="G35" s="34" t="str">
        <f t="shared" si="10"/>
        <v>12059 - Vložený s pružinou bez tlumení - stříbrná</v>
      </c>
      <c r="H35" s="35" t="s">
        <v>1103</v>
      </c>
      <c r="I35" s="35">
        <v>12059</v>
      </c>
      <c r="J35" s="35" t="s">
        <v>1103</v>
      </c>
      <c r="K35" s="35">
        <v>12306</v>
      </c>
      <c r="L35" s="35" t="str">
        <f t="shared" si="2"/>
        <v>křížová vrut - 12306</v>
      </c>
      <c r="M35" s="35" t="s">
        <v>2118</v>
      </c>
      <c r="N35" s="35" t="str">
        <f t="shared" si="3"/>
        <v>křížová vrut (excentr) - N/A</v>
      </c>
      <c r="O35" s="35">
        <v>12318</v>
      </c>
      <c r="P35" s="35" t="str">
        <f t="shared" si="4"/>
        <v>křížová euro - 12318</v>
      </c>
      <c r="Q35" s="35">
        <v>12302</v>
      </c>
      <c r="R35" s="35" t="str">
        <f t="shared" si="5"/>
        <v>křížová hmoždinka - 12302</v>
      </c>
      <c r="S35" s="35">
        <v>203387</v>
      </c>
      <c r="T35" s="35" t="str">
        <f t="shared" si="6"/>
        <v>přímá vrut - 203387</v>
      </c>
      <c r="U35" s="35">
        <v>346624</v>
      </c>
      <c r="V35" s="35" t="str">
        <f t="shared" si="7"/>
        <v>přímá euro - 346624</v>
      </c>
      <c r="W35" s="35">
        <v>211476</v>
      </c>
      <c r="X35" s="35" t="str">
        <f t="shared" si="8"/>
        <v>přímá hmoždinka - 211476</v>
      </c>
      <c r="Y35" s="34"/>
      <c r="Z35" s="34"/>
    </row>
    <row r="36" spans="1:26" ht="15">
      <c r="A36" s="37" t="s">
        <v>1105</v>
      </c>
      <c r="B36" s="37" t="s">
        <v>2</v>
      </c>
      <c r="C36" s="37" t="str">
        <f>'Translate&amp;Prices&amp;Logo'!B557</f>
        <v>Vložený</v>
      </c>
      <c r="D36" s="32" t="str">
        <f t="shared" si="0"/>
        <v>široký_BLUM_Vložený</v>
      </c>
      <c r="E36" s="37" t="str">
        <f>'Translate&amp;Prices&amp;Logo'!$B$586</f>
        <v>tip-on bez pružiny/tlumení</v>
      </c>
      <c r="F36" s="34" t="str">
        <f>'Translate&amp;Prices&amp;Logo'!$B$587</f>
        <v>stříbrná</v>
      </c>
      <c r="G36" s="34" t="str">
        <f t="shared" si="10"/>
        <v>226671 - Vložený tip-on bez pružiny/tlumení - stříbrná</v>
      </c>
      <c r="H36" s="35" t="s">
        <v>1103</v>
      </c>
      <c r="I36" s="35">
        <v>226671</v>
      </c>
      <c r="J36" s="35" t="s">
        <v>1103</v>
      </c>
      <c r="K36" s="35">
        <v>12306</v>
      </c>
      <c r="L36" s="35" t="str">
        <f t="shared" si="2"/>
        <v>křížová vrut - 12306</v>
      </c>
      <c r="M36" s="35" t="s">
        <v>2118</v>
      </c>
      <c r="N36" s="35" t="str">
        <f t="shared" si="3"/>
        <v>křížová vrut (excentr) - N/A</v>
      </c>
      <c r="O36" s="35">
        <v>12318</v>
      </c>
      <c r="P36" s="35" t="str">
        <f t="shared" si="4"/>
        <v>křížová euro - 12318</v>
      </c>
      <c r="Q36" s="35">
        <v>12302</v>
      </c>
      <c r="R36" s="35" t="str">
        <f t="shared" si="5"/>
        <v>křížová hmoždinka - 12302</v>
      </c>
      <c r="S36" s="35">
        <v>203387</v>
      </c>
      <c r="T36" s="35" t="str">
        <f t="shared" si="6"/>
        <v>přímá vrut - 203387</v>
      </c>
      <c r="U36" s="35">
        <v>346624</v>
      </c>
      <c r="V36" s="35" t="str">
        <f t="shared" si="7"/>
        <v>přímá euro - 346624</v>
      </c>
      <c r="W36" s="35">
        <v>211476</v>
      </c>
      <c r="X36" s="35" t="str">
        <f t="shared" si="8"/>
        <v>přímá hmoždinka - 211476</v>
      </c>
      <c r="Y36" s="34"/>
      <c r="Z36" s="34"/>
    </row>
    <row r="37" spans="1:26" ht="15">
      <c r="A37" s="34" t="s">
        <v>1105</v>
      </c>
      <c r="B37" s="34" t="s">
        <v>567</v>
      </c>
      <c r="C37" s="34" t="str">
        <f>'Translate&amp;Prices&amp;Logo'!B555</f>
        <v>Naložený</v>
      </c>
      <c r="D37" s="32" t="str">
        <f t="shared" si="0"/>
        <v>široký_HETTICH_Naložený</v>
      </c>
      <c r="E37" s="34" t="str">
        <f>'Translate&amp;Prices&amp;Logo'!$B$584</f>
        <v>s pružinou a tlumením</v>
      </c>
      <c r="F37" s="34" t="str">
        <f>'Translate&amp;Prices&amp;Logo'!$B$587</f>
        <v>stříbrná</v>
      </c>
      <c r="G37" s="34" t="str">
        <f t="shared" si="10"/>
        <v>104717 - Naložený s pružinou a tlumením - stříbrná</v>
      </c>
      <c r="H37" s="35" t="s">
        <v>1103</v>
      </c>
      <c r="I37" s="35">
        <v>104717</v>
      </c>
      <c r="J37" s="35" t="s">
        <v>1103</v>
      </c>
      <c r="K37" s="35">
        <v>106403</v>
      </c>
      <c r="L37" s="35" t="str">
        <f t="shared" si="2"/>
        <v>křížová vrut - 106403</v>
      </c>
      <c r="M37" s="35" t="s">
        <v>2118</v>
      </c>
      <c r="N37" s="35" t="str">
        <f t="shared" si="3"/>
        <v>křížová vrut (excentr) - N/A</v>
      </c>
      <c r="O37" s="35">
        <v>119240</v>
      </c>
      <c r="P37" s="35" t="str">
        <f t="shared" si="4"/>
        <v>křížová euro - 119240</v>
      </c>
      <c r="Q37" s="35">
        <v>136276</v>
      </c>
      <c r="R37" s="35" t="str">
        <f t="shared" si="5"/>
        <v>křížová hmoždinka - 136276</v>
      </c>
      <c r="S37" s="35">
        <v>300319</v>
      </c>
      <c r="T37" s="35" t="str">
        <f t="shared" si="6"/>
        <v>přímá vrut - 300319</v>
      </c>
      <c r="U37" s="35" t="s">
        <v>2118</v>
      </c>
      <c r="V37" s="35" t="str">
        <f t="shared" si="7"/>
        <v>přímá euro - N/A</v>
      </c>
      <c r="W37" s="35" t="s">
        <v>2118</v>
      </c>
      <c r="X37" s="35" t="str">
        <f t="shared" si="8"/>
        <v>přímá hmoždinka - N/A</v>
      </c>
      <c r="Y37" s="34"/>
      <c r="Z37" s="34"/>
    </row>
    <row r="38" spans="1:26" ht="15">
      <c r="A38" s="34" t="s">
        <v>1105</v>
      </c>
      <c r="B38" s="34" t="s">
        <v>567</v>
      </c>
      <c r="C38" s="34" t="str">
        <f>'Translate&amp;Prices&amp;Logo'!B555</f>
        <v>Naložený</v>
      </c>
      <c r="D38" s="32" t="str">
        <f t="shared" si="0"/>
        <v>široký_HETTICH_Naložený</v>
      </c>
      <c r="E38" s="34" t="str">
        <f>'Translate&amp;Prices&amp;Logo'!$B$584</f>
        <v>s pružinou a tlumením</v>
      </c>
      <c r="F38" s="34" t="str">
        <f>'Translate&amp;Prices&amp;Logo'!$B$588</f>
        <v>černá</v>
      </c>
      <c r="G38" s="34" t="str">
        <f t="shared" si="10"/>
        <v>344691 - Naložený s pružinou a tlumením - černá</v>
      </c>
      <c r="H38" s="35" t="s">
        <v>1103</v>
      </c>
      <c r="I38" s="35">
        <v>344691</v>
      </c>
      <c r="J38" s="35" t="s">
        <v>1103</v>
      </c>
      <c r="K38" s="35" t="s">
        <v>2118</v>
      </c>
      <c r="L38" s="35" t="str">
        <f t="shared" si="2"/>
        <v>křížová vrut - N/A</v>
      </c>
      <c r="M38" s="35" t="s">
        <v>2118</v>
      </c>
      <c r="N38" s="35" t="str">
        <f t="shared" si="3"/>
        <v>křížová vrut (excentr) - N/A</v>
      </c>
      <c r="O38" s="35">
        <v>344727</v>
      </c>
      <c r="P38" s="35" t="str">
        <f t="shared" si="4"/>
        <v>křížová euro - 344727</v>
      </c>
      <c r="Q38" s="35">
        <v>344727</v>
      </c>
      <c r="R38" s="35" t="str">
        <f t="shared" si="5"/>
        <v>křížová hmoždinka - 344727</v>
      </c>
      <c r="S38" s="35">
        <v>397949</v>
      </c>
      <c r="T38" s="35" t="str">
        <f t="shared" si="6"/>
        <v>přímá vrut - 397949</v>
      </c>
      <c r="U38" s="35" t="s">
        <v>2118</v>
      </c>
      <c r="V38" s="35" t="str">
        <f t="shared" si="7"/>
        <v>přímá euro - N/A</v>
      </c>
      <c r="W38" s="35" t="s">
        <v>2118</v>
      </c>
      <c r="X38" s="35" t="str">
        <f t="shared" si="8"/>
        <v>přímá hmoždinka - N/A</v>
      </c>
      <c r="Y38" s="34"/>
      <c r="Z38" s="34"/>
    </row>
    <row r="39" spans="1:26" ht="15">
      <c r="A39" s="34" t="s">
        <v>1105</v>
      </c>
      <c r="B39" s="34" t="s">
        <v>567</v>
      </c>
      <c r="C39" s="34" t="str">
        <f>'Translate&amp;Prices&amp;Logo'!B555</f>
        <v>Naložený</v>
      </c>
      <c r="D39" s="32" t="str">
        <f t="shared" si="0"/>
        <v>široký_HETTICH_Naložený</v>
      </c>
      <c r="E39" s="34" t="str">
        <f>'Translate&amp;Prices&amp;Logo'!$B$585</f>
        <v>s pružinou bez tlumení</v>
      </c>
      <c r="F39" s="34" t="str">
        <f>'Translate&amp;Prices&amp;Logo'!$B$587</f>
        <v>stříbrná</v>
      </c>
      <c r="G39" s="34" t="str">
        <f t="shared" si="10"/>
        <v>232346 - Naložený s pružinou bez tlumení - stříbrná</v>
      </c>
      <c r="H39" s="35" t="s">
        <v>1103</v>
      </c>
      <c r="I39" s="35">
        <v>232346</v>
      </c>
      <c r="J39" s="35" t="s">
        <v>1103</v>
      </c>
      <c r="K39" s="35">
        <v>106403</v>
      </c>
      <c r="L39" s="35" t="str">
        <f t="shared" si="2"/>
        <v>křížová vrut - 106403</v>
      </c>
      <c r="M39" s="35" t="s">
        <v>2118</v>
      </c>
      <c r="N39" s="35" t="str">
        <f t="shared" si="3"/>
        <v>křížová vrut (excentr) - N/A</v>
      </c>
      <c r="O39" s="35">
        <v>119240</v>
      </c>
      <c r="P39" s="35" t="str">
        <f t="shared" si="4"/>
        <v>křížová euro - 119240</v>
      </c>
      <c r="Q39" s="35">
        <v>136276</v>
      </c>
      <c r="R39" s="35" t="str">
        <f t="shared" si="5"/>
        <v>křížová hmoždinka - 136276</v>
      </c>
      <c r="S39" s="35">
        <v>300319</v>
      </c>
      <c r="T39" s="35" t="str">
        <f t="shared" si="6"/>
        <v>přímá vrut - 300319</v>
      </c>
      <c r="U39" s="35" t="s">
        <v>2118</v>
      </c>
      <c r="V39" s="35" t="str">
        <f t="shared" si="7"/>
        <v>přímá euro - N/A</v>
      </c>
      <c r="W39" s="35" t="s">
        <v>2118</v>
      </c>
      <c r="X39" s="35" t="str">
        <f t="shared" si="8"/>
        <v>přímá hmoždinka - N/A</v>
      </c>
      <c r="Y39" s="34"/>
      <c r="Z39" s="34"/>
    </row>
    <row r="40" spans="1:26" ht="15">
      <c r="A40" s="34" t="s">
        <v>1105</v>
      </c>
      <c r="B40" s="34" t="s">
        <v>567</v>
      </c>
      <c r="C40" s="34" t="str">
        <f>'Translate&amp;Prices&amp;Logo'!B555</f>
        <v>Naložený</v>
      </c>
      <c r="D40" s="32" t="str">
        <f t="shared" si="0"/>
        <v>široký_HETTICH_Naložený</v>
      </c>
      <c r="E40" s="34" t="str">
        <f>'Translate&amp;Prices&amp;Logo'!$B$586</f>
        <v>tip-on bez pružiny/tlumení</v>
      </c>
      <c r="F40" s="34" t="str">
        <f>'Translate&amp;Prices&amp;Logo'!$B$587</f>
        <v>stříbrná</v>
      </c>
      <c r="G40" s="34" t="str">
        <f t="shared" si="10"/>
        <v>245723 - Naložený tip-on bez pružiny/tlumení - stříbrná</v>
      </c>
      <c r="H40" s="35" t="s">
        <v>1103</v>
      </c>
      <c r="I40" s="35">
        <v>245723</v>
      </c>
      <c r="J40" s="35" t="s">
        <v>1103</v>
      </c>
      <c r="K40" s="35">
        <v>106403</v>
      </c>
      <c r="L40" s="35" t="str">
        <f t="shared" si="2"/>
        <v>křížová vrut - 106403</v>
      </c>
      <c r="M40" s="35" t="s">
        <v>2118</v>
      </c>
      <c r="N40" s="35" t="str">
        <f t="shared" si="3"/>
        <v>křížová vrut (excentr) - N/A</v>
      </c>
      <c r="O40" s="35">
        <v>119240</v>
      </c>
      <c r="P40" s="35" t="str">
        <f t="shared" si="4"/>
        <v>křížová euro - 119240</v>
      </c>
      <c r="Q40" s="35">
        <v>136276</v>
      </c>
      <c r="R40" s="35" t="str">
        <f t="shared" si="5"/>
        <v>křížová hmoždinka - 136276</v>
      </c>
      <c r="S40" s="35">
        <v>300319</v>
      </c>
      <c r="T40" s="35" t="str">
        <f t="shared" si="6"/>
        <v>přímá vrut - 300319</v>
      </c>
      <c r="U40" s="35" t="s">
        <v>2118</v>
      </c>
      <c r="V40" s="35" t="str">
        <f t="shared" si="7"/>
        <v>přímá euro - N/A</v>
      </c>
      <c r="W40" s="35" t="s">
        <v>2118</v>
      </c>
      <c r="X40" s="35" t="str">
        <f t="shared" si="8"/>
        <v>přímá hmoždinka - N/A</v>
      </c>
      <c r="Y40" s="34"/>
      <c r="Z40" s="34"/>
    </row>
    <row r="41" spans="1:26" ht="15">
      <c r="A41" s="34" t="s">
        <v>1105</v>
      </c>
      <c r="B41" s="34" t="s">
        <v>567</v>
      </c>
      <c r="C41" s="34" t="str">
        <f>'Translate&amp;Prices&amp;Logo'!B555</f>
        <v>Naložený</v>
      </c>
      <c r="D41" s="32" t="str">
        <f t="shared" si="0"/>
        <v>široký_HETTICH_Naložený</v>
      </c>
      <c r="E41" s="34" t="str">
        <f>'Translate&amp;Prices&amp;Logo'!$B$586</f>
        <v>tip-on bez pružiny/tlumení</v>
      </c>
      <c r="F41" s="34" t="str">
        <f>'Translate&amp;Prices&amp;Logo'!$B$588</f>
        <v>černá</v>
      </c>
      <c r="G41" s="34" t="str">
        <f t="shared" si="10"/>
        <v>344694 - Naložený tip-on bez pružiny/tlumení - černá</v>
      </c>
      <c r="H41" s="35" t="s">
        <v>1103</v>
      </c>
      <c r="I41" s="35">
        <v>344694</v>
      </c>
      <c r="J41" s="35" t="s">
        <v>1103</v>
      </c>
      <c r="K41" s="35" t="s">
        <v>2118</v>
      </c>
      <c r="L41" s="35" t="str">
        <f t="shared" si="2"/>
        <v>křížová vrut - N/A</v>
      </c>
      <c r="M41" s="35" t="s">
        <v>2118</v>
      </c>
      <c r="N41" s="35" t="str">
        <f t="shared" si="3"/>
        <v>křížová vrut (excentr) - N/A</v>
      </c>
      <c r="O41" s="35" t="s">
        <v>2118</v>
      </c>
      <c r="P41" s="35" t="str">
        <f t="shared" si="4"/>
        <v>křížová euro - N/A</v>
      </c>
      <c r="Q41" s="35">
        <v>344727</v>
      </c>
      <c r="R41" s="35" t="str">
        <f t="shared" si="5"/>
        <v>křížová hmoždinka - 344727</v>
      </c>
      <c r="S41" s="35">
        <v>397949</v>
      </c>
      <c r="T41" s="35" t="str">
        <f t="shared" si="6"/>
        <v>přímá vrut - 397949</v>
      </c>
      <c r="U41" s="35" t="s">
        <v>2118</v>
      </c>
      <c r="V41" s="35" t="str">
        <f t="shared" si="7"/>
        <v>přímá euro - N/A</v>
      </c>
      <c r="W41" s="35" t="s">
        <v>2118</v>
      </c>
      <c r="X41" s="35" t="str">
        <f t="shared" si="8"/>
        <v>přímá hmoždinka - N/A</v>
      </c>
      <c r="Y41" s="34"/>
      <c r="Z41" s="34"/>
    </row>
    <row r="42" spans="1:26" ht="15">
      <c r="A42" s="37" t="s">
        <v>1105</v>
      </c>
      <c r="B42" s="37" t="s">
        <v>567</v>
      </c>
      <c r="C42" s="37" t="str">
        <f>'Translate&amp;Prices&amp;Logo'!B556</f>
        <v>Polonaložený</v>
      </c>
      <c r="D42" s="32" t="str">
        <f t="shared" si="0"/>
        <v>široký_HETTICH_Polonaložený</v>
      </c>
      <c r="E42" s="37" t="str">
        <f>'Translate&amp;Prices&amp;Logo'!$B$584</f>
        <v>s pružinou a tlumením</v>
      </c>
      <c r="F42" s="34" t="str">
        <f>'Translate&amp;Prices&amp;Logo'!$B$587</f>
        <v>stříbrná</v>
      </c>
      <c r="G42" s="34" t="str">
        <f t="shared" si="10"/>
        <v>104718 - Polonaložený s pružinou a tlumením - stříbrná</v>
      </c>
      <c r="H42" s="35" t="s">
        <v>1103</v>
      </c>
      <c r="I42" s="35">
        <v>104718</v>
      </c>
      <c r="J42" s="35" t="s">
        <v>1103</v>
      </c>
      <c r="K42" s="35">
        <v>106403</v>
      </c>
      <c r="L42" s="35" t="str">
        <f t="shared" si="2"/>
        <v>křížová vrut - 106403</v>
      </c>
      <c r="M42" s="35" t="s">
        <v>2118</v>
      </c>
      <c r="N42" s="35" t="str">
        <f t="shared" si="3"/>
        <v>křížová vrut (excentr) - N/A</v>
      </c>
      <c r="O42" s="35">
        <v>119240</v>
      </c>
      <c r="P42" s="35" t="str">
        <f t="shared" si="4"/>
        <v>křížová euro - 119240</v>
      </c>
      <c r="Q42" s="35">
        <v>136276</v>
      </c>
      <c r="R42" s="35" t="str">
        <f t="shared" si="5"/>
        <v>křížová hmoždinka - 136276</v>
      </c>
      <c r="S42" s="35">
        <v>300319</v>
      </c>
      <c r="T42" s="35" t="str">
        <f t="shared" si="6"/>
        <v>přímá vrut - 300319</v>
      </c>
      <c r="U42" s="35" t="s">
        <v>2118</v>
      </c>
      <c r="V42" s="35" t="str">
        <f t="shared" si="7"/>
        <v>přímá euro - N/A</v>
      </c>
      <c r="W42" s="35" t="s">
        <v>2118</v>
      </c>
      <c r="X42" s="35" t="str">
        <f t="shared" si="8"/>
        <v>přímá hmoždinka - N/A</v>
      </c>
      <c r="Y42" s="34"/>
      <c r="Z42" s="34"/>
    </row>
    <row r="43" spans="1:26" ht="15">
      <c r="A43" s="37" t="s">
        <v>1105</v>
      </c>
      <c r="B43" s="37" t="s">
        <v>567</v>
      </c>
      <c r="C43" s="37" t="str">
        <f>'Translate&amp;Prices&amp;Logo'!B556</f>
        <v>Polonaložený</v>
      </c>
      <c r="D43" s="32" t="str">
        <f t="shared" si="0"/>
        <v>široký_HETTICH_Polonaložený</v>
      </c>
      <c r="E43" s="37" t="str">
        <f>'Translate&amp;Prices&amp;Logo'!$B$584</f>
        <v>s pružinou a tlumením</v>
      </c>
      <c r="F43" s="34" t="str">
        <f>'Translate&amp;Prices&amp;Logo'!$B$588</f>
        <v>černá</v>
      </c>
      <c r="G43" s="34" t="str">
        <f t="shared" si="10"/>
        <v>344692 - Polonaložený s pružinou a tlumením - černá</v>
      </c>
      <c r="H43" s="35" t="s">
        <v>1103</v>
      </c>
      <c r="I43" s="35">
        <v>344692</v>
      </c>
      <c r="J43" s="35" t="s">
        <v>1103</v>
      </c>
      <c r="K43" s="35" t="s">
        <v>2118</v>
      </c>
      <c r="L43" s="35" t="str">
        <f t="shared" si="2"/>
        <v>křížová vrut - N/A</v>
      </c>
      <c r="M43" s="35" t="s">
        <v>2118</v>
      </c>
      <c r="N43" s="35" t="str">
        <f t="shared" si="3"/>
        <v>křížová vrut (excentr) - N/A</v>
      </c>
      <c r="O43" s="35" t="s">
        <v>2118</v>
      </c>
      <c r="P43" s="35" t="str">
        <f t="shared" si="4"/>
        <v>křížová euro - N/A</v>
      </c>
      <c r="Q43" s="35">
        <v>344727</v>
      </c>
      <c r="R43" s="35" t="str">
        <f t="shared" si="5"/>
        <v>křížová hmoždinka - 344727</v>
      </c>
      <c r="S43" s="35">
        <v>397949</v>
      </c>
      <c r="T43" s="35" t="str">
        <f t="shared" si="6"/>
        <v>přímá vrut - 397949</v>
      </c>
      <c r="U43" s="35" t="s">
        <v>2118</v>
      </c>
      <c r="V43" s="35" t="str">
        <f t="shared" si="7"/>
        <v>přímá euro - N/A</v>
      </c>
      <c r="W43" s="35" t="s">
        <v>2118</v>
      </c>
      <c r="X43" s="35" t="str">
        <f t="shared" si="8"/>
        <v>přímá hmoždinka - N/A</v>
      </c>
      <c r="Y43" s="34"/>
      <c r="Z43" s="34"/>
    </row>
    <row r="44" spans="1:26" ht="15">
      <c r="A44" s="37" t="s">
        <v>1105</v>
      </c>
      <c r="B44" s="37" t="s">
        <v>567</v>
      </c>
      <c r="C44" s="37" t="str">
        <f>'Translate&amp;Prices&amp;Logo'!B556</f>
        <v>Polonaložený</v>
      </c>
      <c r="D44" s="32" t="str">
        <f t="shared" si="0"/>
        <v>široký_HETTICH_Polonaložený</v>
      </c>
      <c r="E44" s="37" t="str">
        <f>'Translate&amp;Prices&amp;Logo'!$B$585</f>
        <v>s pružinou bez tlumení</v>
      </c>
      <c r="F44" s="34" t="str">
        <f>'Translate&amp;Prices&amp;Logo'!$B$587</f>
        <v>stříbrná</v>
      </c>
      <c r="G44" s="34" t="str">
        <f t="shared" si="10"/>
        <v>232347 - Polonaložený s pružinou bez tlumení - stříbrná</v>
      </c>
      <c r="H44" s="35" t="s">
        <v>1103</v>
      </c>
      <c r="I44" s="35">
        <v>232347</v>
      </c>
      <c r="J44" s="35" t="s">
        <v>1103</v>
      </c>
      <c r="K44" s="35">
        <v>106403</v>
      </c>
      <c r="L44" s="35" t="str">
        <f t="shared" si="2"/>
        <v>křížová vrut - 106403</v>
      </c>
      <c r="M44" s="35" t="s">
        <v>2118</v>
      </c>
      <c r="N44" s="35" t="str">
        <f t="shared" si="3"/>
        <v>křížová vrut (excentr) - N/A</v>
      </c>
      <c r="O44" s="35">
        <v>119240</v>
      </c>
      <c r="P44" s="35" t="str">
        <f t="shared" si="4"/>
        <v>křížová euro - 119240</v>
      </c>
      <c r="Q44" s="35">
        <v>136276</v>
      </c>
      <c r="R44" s="35" t="str">
        <f t="shared" si="5"/>
        <v>křížová hmoždinka - 136276</v>
      </c>
      <c r="S44" s="35">
        <v>300319</v>
      </c>
      <c r="T44" s="35" t="str">
        <f t="shared" si="6"/>
        <v>přímá vrut - 300319</v>
      </c>
      <c r="U44" s="35" t="s">
        <v>2118</v>
      </c>
      <c r="V44" s="35" t="str">
        <f t="shared" si="7"/>
        <v>přímá euro - N/A</v>
      </c>
      <c r="W44" s="35" t="s">
        <v>2118</v>
      </c>
      <c r="X44" s="35" t="str">
        <f t="shared" si="8"/>
        <v>přímá hmoždinka - N/A</v>
      </c>
      <c r="Y44" s="34"/>
      <c r="Z44" s="34"/>
    </row>
    <row r="45" spans="1:26" ht="15">
      <c r="A45" s="37" t="s">
        <v>1105</v>
      </c>
      <c r="B45" s="37" t="s">
        <v>567</v>
      </c>
      <c r="C45" s="37" t="str">
        <f>'Translate&amp;Prices&amp;Logo'!B556</f>
        <v>Polonaložený</v>
      </c>
      <c r="D45" s="32" t="str">
        <f t="shared" si="0"/>
        <v>široký_HETTICH_Polonaložený</v>
      </c>
      <c r="E45" s="37" t="str">
        <f>'Translate&amp;Prices&amp;Logo'!$B$586</f>
        <v>tip-on bez pružiny/tlumení</v>
      </c>
      <c r="F45" s="34" t="str">
        <f>'Translate&amp;Prices&amp;Logo'!$B$587</f>
        <v>stříbrná</v>
      </c>
      <c r="G45" s="34" t="str">
        <f t="shared" si="10"/>
        <v>245724 - Polonaložený tip-on bez pružiny/tlumení - stříbrná</v>
      </c>
      <c r="H45" s="35" t="s">
        <v>1103</v>
      </c>
      <c r="I45" s="35">
        <v>245724</v>
      </c>
      <c r="J45" s="35" t="s">
        <v>1103</v>
      </c>
      <c r="K45" s="35">
        <v>106403</v>
      </c>
      <c r="L45" s="35" t="str">
        <f t="shared" si="2"/>
        <v>křížová vrut - 106403</v>
      </c>
      <c r="M45" s="35" t="s">
        <v>2118</v>
      </c>
      <c r="N45" s="35" t="str">
        <f t="shared" si="3"/>
        <v>křížová vrut (excentr) - N/A</v>
      </c>
      <c r="O45" s="35">
        <v>119240</v>
      </c>
      <c r="P45" s="35" t="str">
        <f t="shared" si="4"/>
        <v>křížová euro - 119240</v>
      </c>
      <c r="Q45" s="35">
        <v>136276</v>
      </c>
      <c r="R45" s="35" t="str">
        <f t="shared" si="5"/>
        <v>křížová hmoždinka - 136276</v>
      </c>
      <c r="S45" s="35">
        <v>300319</v>
      </c>
      <c r="T45" s="35" t="str">
        <f t="shared" si="6"/>
        <v>přímá vrut - 300319</v>
      </c>
      <c r="U45" s="35" t="s">
        <v>2118</v>
      </c>
      <c r="V45" s="35" t="str">
        <f t="shared" si="7"/>
        <v>přímá euro - N/A</v>
      </c>
      <c r="W45" s="35" t="s">
        <v>2118</v>
      </c>
      <c r="X45" s="35" t="str">
        <f t="shared" si="8"/>
        <v>přímá hmoždinka - N/A</v>
      </c>
      <c r="Y45" s="34"/>
      <c r="Z45" s="34"/>
    </row>
    <row r="46" spans="1:26" ht="15">
      <c r="A46" s="37" t="s">
        <v>1105</v>
      </c>
      <c r="B46" s="37" t="s">
        <v>567</v>
      </c>
      <c r="C46" s="37" t="str">
        <f>'Translate&amp;Prices&amp;Logo'!B556</f>
        <v>Polonaložený</v>
      </c>
      <c r="D46" s="32" t="str">
        <f t="shared" si="0"/>
        <v>široký_HETTICH_Polonaložený</v>
      </c>
      <c r="E46" s="37" t="str">
        <f>'Translate&amp;Prices&amp;Logo'!$B$586</f>
        <v>tip-on bez pružiny/tlumení</v>
      </c>
      <c r="F46" s="34" t="str">
        <f>'Translate&amp;Prices&amp;Logo'!$B$588</f>
        <v>černá</v>
      </c>
      <c r="G46" s="34" t="str">
        <f t="shared" si="10"/>
        <v>344695 - Polonaložený tip-on bez pružiny/tlumení - černá</v>
      </c>
      <c r="H46" s="35" t="s">
        <v>1103</v>
      </c>
      <c r="I46" s="35">
        <v>344695</v>
      </c>
      <c r="J46" s="35" t="s">
        <v>1103</v>
      </c>
      <c r="K46" s="35" t="s">
        <v>2118</v>
      </c>
      <c r="L46" s="35" t="str">
        <f t="shared" si="2"/>
        <v>křížová vrut - N/A</v>
      </c>
      <c r="M46" s="35" t="s">
        <v>2118</v>
      </c>
      <c r="N46" s="35" t="str">
        <f t="shared" si="3"/>
        <v>křížová vrut (excentr) - N/A</v>
      </c>
      <c r="O46" s="35" t="s">
        <v>2118</v>
      </c>
      <c r="P46" s="35" t="str">
        <f t="shared" si="4"/>
        <v>křížová euro - N/A</v>
      </c>
      <c r="Q46" s="35">
        <v>344727</v>
      </c>
      <c r="R46" s="35" t="str">
        <f t="shared" si="5"/>
        <v>křížová hmoždinka - 344727</v>
      </c>
      <c r="S46" s="35">
        <v>397949</v>
      </c>
      <c r="T46" s="35" t="str">
        <f t="shared" si="6"/>
        <v>přímá vrut - 397949</v>
      </c>
      <c r="U46" s="35" t="s">
        <v>2118</v>
      </c>
      <c r="V46" s="35" t="str">
        <f t="shared" si="7"/>
        <v>přímá euro - N/A</v>
      </c>
      <c r="W46" s="35" t="s">
        <v>2118</v>
      </c>
      <c r="X46" s="35" t="str">
        <f t="shared" si="8"/>
        <v>přímá hmoždinka - N/A</v>
      </c>
      <c r="Y46" s="34"/>
      <c r="Z46" s="34"/>
    </row>
    <row r="47" spans="1:26" ht="15">
      <c r="A47" s="34" t="s">
        <v>1105</v>
      </c>
      <c r="B47" s="34" t="s">
        <v>567</v>
      </c>
      <c r="C47" s="34" t="str">
        <f>'Translate&amp;Prices&amp;Logo'!B557</f>
        <v>Vložený</v>
      </c>
      <c r="D47" s="32" t="str">
        <f t="shared" si="0"/>
        <v>široký_HETTICH_Vložený</v>
      </c>
      <c r="E47" s="34" t="str">
        <f>'Translate&amp;Prices&amp;Logo'!$B$584</f>
        <v>s pružinou a tlumením</v>
      </c>
      <c r="F47" s="34" t="str">
        <f>'Translate&amp;Prices&amp;Logo'!$B$587</f>
        <v>stříbrná</v>
      </c>
      <c r="G47" s="34" t="str">
        <f t="shared" si="10"/>
        <v>104719 - Vložený s pružinou a tlumením - stříbrná</v>
      </c>
      <c r="H47" s="35" t="s">
        <v>1103</v>
      </c>
      <c r="I47" s="35">
        <v>104719</v>
      </c>
      <c r="J47" s="35" t="s">
        <v>1103</v>
      </c>
      <c r="K47" s="35">
        <v>106403</v>
      </c>
      <c r="L47" s="35" t="str">
        <f t="shared" si="2"/>
        <v>křížová vrut - 106403</v>
      </c>
      <c r="M47" s="35" t="s">
        <v>2118</v>
      </c>
      <c r="N47" s="35" t="str">
        <f t="shared" si="3"/>
        <v>křížová vrut (excentr) - N/A</v>
      </c>
      <c r="O47" s="35">
        <v>119240</v>
      </c>
      <c r="P47" s="35" t="str">
        <f t="shared" si="4"/>
        <v>křížová euro - 119240</v>
      </c>
      <c r="Q47" s="35">
        <v>136276</v>
      </c>
      <c r="R47" s="35" t="str">
        <f t="shared" si="5"/>
        <v>křížová hmoždinka - 136276</v>
      </c>
      <c r="S47" s="35">
        <v>300319</v>
      </c>
      <c r="T47" s="35" t="str">
        <f t="shared" si="6"/>
        <v>přímá vrut - 300319</v>
      </c>
      <c r="U47" s="35" t="s">
        <v>2118</v>
      </c>
      <c r="V47" s="35" t="str">
        <f t="shared" si="7"/>
        <v>přímá euro - N/A</v>
      </c>
      <c r="W47" s="35" t="s">
        <v>2118</v>
      </c>
      <c r="X47" s="35" t="str">
        <f t="shared" si="8"/>
        <v>přímá hmoždinka - N/A</v>
      </c>
      <c r="Y47" s="34"/>
      <c r="Z47" s="34"/>
    </row>
    <row r="48" spans="1:26" ht="15">
      <c r="A48" s="34" t="s">
        <v>1105</v>
      </c>
      <c r="B48" s="34" t="s">
        <v>567</v>
      </c>
      <c r="C48" s="34" t="str">
        <f>'Translate&amp;Prices&amp;Logo'!B557</f>
        <v>Vložený</v>
      </c>
      <c r="D48" s="32" t="str">
        <f t="shared" si="0"/>
        <v>široký_HETTICH_Vložený</v>
      </c>
      <c r="E48" s="34" t="str">
        <f>'Translate&amp;Prices&amp;Logo'!$B$584</f>
        <v>s pružinou a tlumením</v>
      </c>
      <c r="F48" s="34" t="str">
        <f>'Translate&amp;Prices&amp;Logo'!$B$588</f>
        <v>černá</v>
      </c>
      <c r="G48" s="34" t="str">
        <f t="shared" si="10"/>
        <v>344693 - Vložený s pružinou a tlumením - černá</v>
      </c>
      <c r="H48" s="35" t="s">
        <v>1103</v>
      </c>
      <c r="I48" s="35">
        <v>344693</v>
      </c>
      <c r="J48" s="35" t="s">
        <v>1103</v>
      </c>
      <c r="K48" s="35" t="s">
        <v>2118</v>
      </c>
      <c r="L48" s="35" t="str">
        <f t="shared" si="2"/>
        <v>křížová vrut - N/A</v>
      </c>
      <c r="M48" s="35" t="s">
        <v>2118</v>
      </c>
      <c r="N48" s="35" t="str">
        <f t="shared" si="3"/>
        <v>křížová vrut (excentr) - N/A</v>
      </c>
      <c r="O48" s="35" t="s">
        <v>2118</v>
      </c>
      <c r="P48" s="35" t="str">
        <f t="shared" si="4"/>
        <v>křížová euro - N/A</v>
      </c>
      <c r="Q48" s="35">
        <v>344727</v>
      </c>
      <c r="R48" s="35" t="str">
        <f t="shared" si="5"/>
        <v>křížová hmoždinka - 344727</v>
      </c>
      <c r="S48" s="35">
        <v>397949</v>
      </c>
      <c r="T48" s="35" t="str">
        <f t="shared" si="6"/>
        <v>přímá vrut - 397949</v>
      </c>
      <c r="U48" s="35" t="s">
        <v>2118</v>
      </c>
      <c r="V48" s="35" t="str">
        <f t="shared" si="7"/>
        <v>přímá euro - N/A</v>
      </c>
      <c r="W48" s="35" t="s">
        <v>2118</v>
      </c>
      <c r="X48" s="35" t="str">
        <f t="shared" si="8"/>
        <v>přímá hmoždinka - N/A</v>
      </c>
      <c r="Y48" s="34"/>
      <c r="Z48" s="34"/>
    </row>
    <row r="49" spans="1:26" ht="15">
      <c r="A49" s="34" t="s">
        <v>1105</v>
      </c>
      <c r="B49" s="34" t="s">
        <v>567</v>
      </c>
      <c r="C49" s="34" t="str">
        <f>'Translate&amp;Prices&amp;Logo'!B557</f>
        <v>Vložený</v>
      </c>
      <c r="D49" s="32" t="str">
        <f t="shared" si="0"/>
        <v>široký_HETTICH_Vložený</v>
      </c>
      <c r="E49" s="34" t="str">
        <f>'Translate&amp;Prices&amp;Logo'!$B$585</f>
        <v>s pružinou bez tlumení</v>
      </c>
      <c r="F49" s="34" t="str">
        <f>'Translate&amp;Prices&amp;Logo'!$B$587</f>
        <v>stříbrná</v>
      </c>
      <c r="G49" s="34" t="str">
        <f t="shared" si="10"/>
        <v>232348 - Vložený s pružinou bez tlumení - stříbrná</v>
      </c>
      <c r="H49" s="35" t="s">
        <v>1103</v>
      </c>
      <c r="I49" s="35">
        <v>232348</v>
      </c>
      <c r="J49" s="35" t="s">
        <v>1103</v>
      </c>
      <c r="K49" s="35">
        <v>106403</v>
      </c>
      <c r="L49" s="35" t="str">
        <f t="shared" si="2"/>
        <v>křížová vrut - 106403</v>
      </c>
      <c r="M49" s="35" t="s">
        <v>2118</v>
      </c>
      <c r="N49" s="35" t="str">
        <f t="shared" si="3"/>
        <v>křížová vrut (excentr) - N/A</v>
      </c>
      <c r="O49" s="35">
        <v>119240</v>
      </c>
      <c r="P49" s="35" t="str">
        <f t="shared" si="4"/>
        <v>křížová euro - 119240</v>
      </c>
      <c r="Q49" s="35">
        <v>136276</v>
      </c>
      <c r="R49" s="35" t="str">
        <f t="shared" si="5"/>
        <v>křížová hmoždinka - 136276</v>
      </c>
      <c r="S49" s="35">
        <v>300319</v>
      </c>
      <c r="T49" s="35" t="str">
        <f t="shared" si="6"/>
        <v>přímá vrut - 300319</v>
      </c>
      <c r="U49" s="35" t="s">
        <v>2118</v>
      </c>
      <c r="V49" s="35" t="str">
        <f t="shared" si="7"/>
        <v>přímá euro - N/A</v>
      </c>
      <c r="W49" s="35" t="s">
        <v>2118</v>
      </c>
      <c r="X49" s="35" t="str">
        <f t="shared" si="8"/>
        <v>přímá hmoždinka - N/A</v>
      </c>
      <c r="Y49" s="34"/>
      <c r="Z49" s="34"/>
    </row>
    <row r="50" spans="1:26" ht="15">
      <c r="A50" s="34" t="s">
        <v>1105</v>
      </c>
      <c r="B50" s="34" t="s">
        <v>567</v>
      </c>
      <c r="C50" s="34" t="str">
        <f>'Translate&amp;Prices&amp;Logo'!B557</f>
        <v>Vložený</v>
      </c>
      <c r="D50" s="32" t="str">
        <f t="shared" si="0"/>
        <v>široký_HETTICH_Vložený</v>
      </c>
      <c r="E50" s="34" t="str">
        <f>'Translate&amp;Prices&amp;Logo'!$B$586</f>
        <v>tip-on bez pružiny/tlumení</v>
      </c>
      <c r="F50" s="34" t="str">
        <f>'Translate&amp;Prices&amp;Logo'!$B$587</f>
        <v>stříbrná</v>
      </c>
      <c r="G50" s="34" t="str">
        <f t="shared" si="10"/>
        <v>245725 - Vložený tip-on bez pružiny/tlumení - stříbrná</v>
      </c>
      <c r="H50" s="35" t="s">
        <v>1103</v>
      </c>
      <c r="I50" s="35">
        <v>245725</v>
      </c>
      <c r="J50" s="35" t="s">
        <v>1103</v>
      </c>
      <c r="K50" s="35">
        <v>106403</v>
      </c>
      <c r="L50" s="35" t="str">
        <f t="shared" si="2"/>
        <v>křížová vrut - 106403</v>
      </c>
      <c r="M50" s="35" t="s">
        <v>2118</v>
      </c>
      <c r="N50" s="35" t="str">
        <f t="shared" si="3"/>
        <v>křížová vrut (excentr) - N/A</v>
      </c>
      <c r="O50" s="35">
        <v>119240</v>
      </c>
      <c r="P50" s="35" t="str">
        <f t="shared" si="4"/>
        <v>křížová euro - 119240</v>
      </c>
      <c r="Q50" s="35">
        <v>136276</v>
      </c>
      <c r="R50" s="35" t="str">
        <f t="shared" si="5"/>
        <v>křížová hmoždinka - 136276</v>
      </c>
      <c r="S50" s="35">
        <v>300319</v>
      </c>
      <c r="T50" s="35" t="str">
        <f t="shared" si="6"/>
        <v>přímá vrut - 300319</v>
      </c>
      <c r="U50" s="35" t="s">
        <v>2118</v>
      </c>
      <c r="V50" s="35" t="str">
        <f t="shared" si="7"/>
        <v>přímá euro - N/A</v>
      </c>
      <c r="W50" s="35" t="s">
        <v>2118</v>
      </c>
      <c r="X50" s="35" t="str">
        <f t="shared" si="8"/>
        <v>přímá hmoždinka - N/A</v>
      </c>
      <c r="Y50" s="34"/>
      <c r="Z50" s="34"/>
    </row>
    <row r="51" spans="1:26" ht="15">
      <c r="A51" s="34" t="s">
        <v>1105</v>
      </c>
      <c r="B51" s="34" t="s">
        <v>567</v>
      </c>
      <c r="C51" s="34" t="str">
        <f>'Translate&amp;Prices&amp;Logo'!B557</f>
        <v>Vložený</v>
      </c>
      <c r="D51" s="32" t="str">
        <f t="shared" si="0"/>
        <v>široký_HETTICH_Vložený</v>
      </c>
      <c r="E51" s="34" t="str">
        <f>'Translate&amp;Prices&amp;Logo'!$B$586</f>
        <v>tip-on bez pružiny/tlumení</v>
      </c>
      <c r="F51" s="34" t="str">
        <f>'Translate&amp;Prices&amp;Logo'!$B$588</f>
        <v>černá</v>
      </c>
      <c r="G51" s="34" t="str">
        <f t="shared" si="10"/>
        <v>344696 - Vložený tip-on bez pružiny/tlumení - černá</v>
      </c>
      <c r="H51" s="35" t="s">
        <v>1103</v>
      </c>
      <c r="I51" s="35">
        <v>344696</v>
      </c>
      <c r="J51" s="35" t="s">
        <v>1103</v>
      </c>
      <c r="K51" s="35" t="s">
        <v>2118</v>
      </c>
      <c r="L51" s="35" t="str">
        <f t="shared" si="2"/>
        <v>křížová vrut - N/A</v>
      </c>
      <c r="M51" s="35" t="s">
        <v>2118</v>
      </c>
      <c r="N51" s="35" t="str">
        <f t="shared" si="3"/>
        <v>křížová vrut (excentr) - N/A</v>
      </c>
      <c r="O51" s="35" t="s">
        <v>2118</v>
      </c>
      <c r="P51" s="35" t="str">
        <f t="shared" si="4"/>
        <v>křížová euro - N/A</v>
      </c>
      <c r="Q51" s="35">
        <v>344727</v>
      </c>
      <c r="R51" s="35" t="str">
        <f t="shared" si="5"/>
        <v>křížová hmoždinka - 344727</v>
      </c>
      <c r="S51" s="35">
        <v>397949</v>
      </c>
      <c r="T51" s="35" t="str">
        <f t="shared" si="6"/>
        <v>přímá vrut - 397949</v>
      </c>
      <c r="U51" s="35" t="s">
        <v>2118</v>
      </c>
      <c r="V51" s="35" t="str">
        <f t="shared" si="7"/>
        <v>přímá euro - N/A</v>
      </c>
      <c r="W51" s="35" t="s">
        <v>2118</v>
      </c>
      <c r="X51" s="35" t="str">
        <f t="shared" si="8"/>
        <v>přímá hmoždinka - N/A</v>
      </c>
      <c r="Y51" s="34"/>
      <c r="Z51" s="34"/>
    </row>
    <row r="52" spans="1:26" ht="15">
      <c r="A52" s="37" t="s">
        <v>1105</v>
      </c>
      <c r="B52" s="37" t="s">
        <v>57</v>
      </c>
      <c r="C52" s="37" t="str">
        <f>'Translate&amp;Prices&amp;Logo'!B555</f>
        <v>Naložený</v>
      </c>
      <c r="D52" s="32" t="str">
        <f t="shared" si="0"/>
        <v>široký_STRONG_Naložený</v>
      </c>
      <c r="E52" s="37" t="str">
        <f>'Translate&amp;Prices&amp;Logo'!$B$584</f>
        <v>s pružinou a tlumením</v>
      </c>
      <c r="F52" s="34" t="str">
        <f>'Translate&amp;Prices&amp;Logo'!$B$587</f>
        <v>stříbrná</v>
      </c>
      <c r="G52" s="34" t="str">
        <f t="shared" si="10"/>
        <v>92580T - Naložený s pružinou a tlumením - stříbrná</v>
      </c>
      <c r="H52" s="35" t="s">
        <v>1103</v>
      </c>
      <c r="I52" s="35" t="s">
        <v>59</v>
      </c>
      <c r="J52" s="35" t="s">
        <v>1103</v>
      </c>
      <c r="K52" s="35" t="s">
        <v>58</v>
      </c>
      <c r="L52" s="35" t="str">
        <f>CONCATENATE($K$1," - ",K52)</f>
        <v>křížová vrut - 92590T</v>
      </c>
      <c r="M52" s="35" t="s">
        <v>62</v>
      </c>
      <c r="N52" s="35" t="str">
        <f t="shared" si="3"/>
        <v>křížová vrut (excentr) - 92594T</v>
      </c>
      <c r="O52" s="35" t="s">
        <v>63</v>
      </c>
      <c r="P52" s="35" t="str">
        <f t="shared" si="4"/>
        <v>křížová euro - 92591T</v>
      </c>
      <c r="Q52" s="35" t="s">
        <v>2118</v>
      </c>
      <c r="R52" s="35" t="str">
        <f t="shared" si="5"/>
        <v>křížová hmoždinka - N/A</v>
      </c>
      <c r="S52" s="35" t="s">
        <v>2118</v>
      </c>
      <c r="T52" s="35" t="str">
        <f t="shared" si="6"/>
        <v>přímá vrut - N/A</v>
      </c>
      <c r="U52" s="35" t="s">
        <v>2118</v>
      </c>
      <c r="V52" s="35" t="str">
        <f t="shared" si="7"/>
        <v>přímá euro - N/A</v>
      </c>
      <c r="W52" s="35" t="s">
        <v>2118</v>
      </c>
      <c r="X52" s="35" t="str">
        <f t="shared" si="8"/>
        <v>přímá hmoždinka - N/A</v>
      </c>
      <c r="Y52" s="34"/>
      <c r="Z52" s="34"/>
    </row>
    <row r="53" spans="1:26" ht="15">
      <c r="A53" s="37" t="s">
        <v>1105</v>
      </c>
      <c r="B53" s="37" t="s">
        <v>57</v>
      </c>
      <c r="C53" s="37" t="str">
        <f>'Translate&amp;Prices&amp;Logo'!B555</f>
        <v>Naložený</v>
      </c>
      <c r="D53" s="32" t="str">
        <f t="shared" si="0"/>
        <v>široký_STRONG_Naložený</v>
      </c>
      <c r="E53" s="37" t="str">
        <f>'Translate&amp;Prices&amp;Logo'!$B$585</f>
        <v>s pružinou bez tlumení</v>
      </c>
      <c r="F53" s="34" t="str">
        <f>'Translate&amp;Prices&amp;Logo'!$B$587</f>
        <v>stříbrná</v>
      </c>
      <c r="G53" s="34" t="str">
        <f t="shared" si="10"/>
        <v>198818 - Naložený s pružinou bez tlumení - stříbrná</v>
      </c>
      <c r="H53" s="35" t="s">
        <v>1103</v>
      </c>
      <c r="I53" s="35">
        <v>198818</v>
      </c>
      <c r="J53" s="35" t="s">
        <v>1103</v>
      </c>
      <c r="K53" s="35" t="s">
        <v>58</v>
      </c>
      <c r="L53" s="35" t="str">
        <f>CONCATENATE($K$1," - ",K53)</f>
        <v>křížová vrut - 92590T</v>
      </c>
      <c r="M53" s="35" t="s">
        <v>62</v>
      </c>
      <c r="N53" s="35" t="str">
        <f t="shared" si="3"/>
        <v>křížová vrut (excentr) - 92594T</v>
      </c>
      <c r="O53" s="35" t="s">
        <v>63</v>
      </c>
      <c r="P53" s="35" t="str">
        <f t="shared" si="4"/>
        <v>křížová euro - 92591T</v>
      </c>
      <c r="Q53" s="35" t="s">
        <v>2118</v>
      </c>
      <c r="R53" s="35" t="str">
        <f t="shared" si="5"/>
        <v>křížová hmoždinka - N/A</v>
      </c>
      <c r="S53" s="35" t="s">
        <v>2118</v>
      </c>
      <c r="T53" s="35" t="str">
        <f t="shared" si="6"/>
        <v>přímá vrut - N/A</v>
      </c>
      <c r="U53" s="35" t="s">
        <v>2118</v>
      </c>
      <c r="V53" s="35" t="str">
        <f t="shared" si="7"/>
        <v>přímá euro - N/A</v>
      </c>
      <c r="W53" s="35" t="s">
        <v>2118</v>
      </c>
      <c r="X53" s="35" t="str">
        <f t="shared" si="8"/>
        <v>přímá hmoždinka - N/A</v>
      </c>
      <c r="Y53" s="34"/>
      <c r="Z53" s="34"/>
    </row>
    <row r="54" spans="1:26" ht="15">
      <c r="A54" s="34" t="s">
        <v>1105</v>
      </c>
      <c r="B54" s="34" t="s">
        <v>57</v>
      </c>
      <c r="C54" s="34" t="str">
        <f>'Translate&amp;Prices&amp;Logo'!B556</f>
        <v>Polonaložený</v>
      </c>
      <c r="D54" s="32" t="str">
        <f t="shared" si="0"/>
        <v>široký_STRONG_Polonaložený</v>
      </c>
      <c r="E54" s="34" t="str">
        <f>'Translate&amp;Prices&amp;Logo'!$B$584</f>
        <v>s pružinou a tlumením</v>
      </c>
      <c r="F54" s="34" t="str">
        <f>'Translate&amp;Prices&amp;Logo'!$B$587</f>
        <v>stříbrná</v>
      </c>
      <c r="G54" s="34" t="str">
        <f t="shared" si="10"/>
        <v>92581T - Polonaložený s pružinou a tlumením - stříbrná</v>
      </c>
      <c r="H54" s="35" t="s">
        <v>1103</v>
      </c>
      <c r="I54" s="35" t="s">
        <v>60</v>
      </c>
      <c r="J54" s="35" t="s">
        <v>1103</v>
      </c>
      <c r="K54" s="35" t="s">
        <v>58</v>
      </c>
      <c r="L54" s="35" t="str">
        <f>CONCATENATE($K$1," - ",K54)</f>
        <v>křížová vrut - 92590T</v>
      </c>
      <c r="M54" s="35" t="s">
        <v>62</v>
      </c>
      <c r="N54" s="35" t="str">
        <f t="shared" si="3"/>
        <v>křížová vrut (excentr) - 92594T</v>
      </c>
      <c r="O54" s="35" t="s">
        <v>63</v>
      </c>
      <c r="P54" s="35" t="str">
        <f t="shared" si="4"/>
        <v>křížová euro - 92591T</v>
      </c>
      <c r="Q54" s="35" t="s">
        <v>2118</v>
      </c>
      <c r="R54" s="35" t="str">
        <f t="shared" si="5"/>
        <v>křížová hmoždinka - N/A</v>
      </c>
      <c r="S54" s="35" t="s">
        <v>2118</v>
      </c>
      <c r="T54" s="35" t="str">
        <f t="shared" si="6"/>
        <v>přímá vrut - N/A</v>
      </c>
      <c r="U54" s="35" t="s">
        <v>2118</v>
      </c>
      <c r="V54" s="35" t="str">
        <f t="shared" si="7"/>
        <v>přímá euro - N/A</v>
      </c>
      <c r="W54" s="35" t="s">
        <v>2118</v>
      </c>
      <c r="X54" s="35" t="str">
        <f t="shared" si="8"/>
        <v>přímá hmoždinka - N/A</v>
      </c>
      <c r="Y54" s="34"/>
      <c r="Z54" s="34"/>
    </row>
    <row r="55" spans="1:26" ht="15">
      <c r="A55" s="34" t="s">
        <v>1105</v>
      </c>
      <c r="B55" s="34" t="s">
        <v>57</v>
      </c>
      <c r="C55" s="34" t="str">
        <f>'Translate&amp;Prices&amp;Logo'!B556</f>
        <v>Polonaložený</v>
      </c>
      <c r="D55" s="32" t="str">
        <f t="shared" si="0"/>
        <v>široký_STRONG_Polonaložený</v>
      </c>
      <c r="E55" s="34" t="str">
        <f>'Translate&amp;Prices&amp;Logo'!$B$585</f>
        <v>s pružinou bez tlumení</v>
      </c>
      <c r="F55" s="34" t="str">
        <f>'Translate&amp;Prices&amp;Logo'!$B$587</f>
        <v>stříbrná</v>
      </c>
      <c r="G55" s="34" t="str">
        <f t="shared" si="10"/>
        <v>198819 - Polonaložený s pružinou bez tlumení - stříbrná</v>
      </c>
      <c r="H55" s="35" t="s">
        <v>1103</v>
      </c>
      <c r="I55" s="35">
        <v>198819</v>
      </c>
      <c r="J55" s="35" t="s">
        <v>1103</v>
      </c>
      <c r="K55" s="35" t="s">
        <v>58</v>
      </c>
      <c r="L55" s="35" t="str">
        <f>CONCATENATE($K$1," - ",K55)</f>
        <v>křížová vrut - 92590T</v>
      </c>
      <c r="M55" s="35" t="s">
        <v>62</v>
      </c>
      <c r="N55" s="35" t="str">
        <f t="shared" si="3"/>
        <v>křížová vrut (excentr) - 92594T</v>
      </c>
      <c r="O55" s="35" t="s">
        <v>63</v>
      </c>
      <c r="P55" s="35" t="str">
        <f t="shared" si="4"/>
        <v>křížová euro - 92591T</v>
      </c>
      <c r="Q55" s="35" t="s">
        <v>2118</v>
      </c>
      <c r="R55" s="35" t="str">
        <f t="shared" si="5"/>
        <v>křížová hmoždinka - N/A</v>
      </c>
      <c r="S55" s="35" t="s">
        <v>2118</v>
      </c>
      <c r="T55" s="35" t="str">
        <f t="shared" si="6"/>
        <v>přímá vrut - N/A</v>
      </c>
      <c r="U55" s="35" t="s">
        <v>2118</v>
      </c>
      <c r="V55" s="35" t="str">
        <f t="shared" si="7"/>
        <v>přímá euro - N/A</v>
      </c>
      <c r="W55" s="35" t="s">
        <v>2118</v>
      </c>
      <c r="X55" s="35" t="str">
        <f t="shared" si="8"/>
        <v>přímá hmoždinka - N/A</v>
      </c>
      <c r="Y55" s="34"/>
      <c r="Z55" s="34"/>
    </row>
    <row r="56" spans="1:26" ht="15">
      <c r="A56" s="37" t="s">
        <v>1105</v>
      </c>
      <c r="B56" s="37" t="s">
        <v>57</v>
      </c>
      <c r="C56" s="37" t="str">
        <f>'Translate&amp;Prices&amp;Logo'!B557</f>
        <v>Vložený</v>
      </c>
      <c r="D56" s="32" t="str">
        <f t="shared" si="0"/>
        <v>široký_STRONG_Vložený</v>
      </c>
      <c r="E56" s="37" t="str">
        <f>'Translate&amp;Prices&amp;Logo'!$B$584</f>
        <v>s pružinou a tlumením</v>
      </c>
      <c r="F56" s="34" t="str">
        <f>'Translate&amp;Prices&amp;Logo'!$B$587</f>
        <v>stříbrná</v>
      </c>
      <c r="G56" s="34" t="str">
        <f t="shared" si="10"/>
        <v>92582T - Vložený s pružinou a tlumením - stříbrná</v>
      </c>
      <c r="H56" s="35" t="s">
        <v>1103</v>
      </c>
      <c r="I56" s="35" t="s">
        <v>61</v>
      </c>
      <c r="J56" s="35" t="s">
        <v>1103</v>
      </c>
      <c r="K56" s="35" t="s">
        <v>77</v>
      </c>
      <c r="L56" s="35" t="str">
        <f t="shared" si="2"/>
        <v>křížová vrut - 92592T</v>
      </c>
      <c r="M56" s="35">
        <v>397954</v>
      </c>
      <c r="N56" s="35" t="str">
        <f t="shared" si="3"/>
        <v>křížová vrut (excentr) - 397954</v>
      </c>
      <c r="O56" s="35" t="s">
        <v>76</v>
      </c>
      <c r="P56" s="35" t="str">
        <f t="shared" si="4"/>
        <v>křížová euro - 92593T</v>
      </c>
      <c r="Q56" s="35" t="s">
        <v>2118</v>
      </c>
      <c r="R56" s="35" t="str">
        <f t="shared" si="5"/>
        <v>křížová hmoždinka - N/A</v>
      </c>
      <c r="S56" s="35" t="s">
        <v>2118</v>
      </c>
      <c r="T56" s="35" t="str">
        <f t="shared" si="6"/>
        <v>přímá vrut - N/A</v>
      </c>
      <c r="U56" s="35" t="s">
        <v>2118</v>
      </c>
      <c r="V56" s="35" t="str">
        <f t="shared" si="7"/>
        <v>přímá euro - N/A</v>
      </c>
      <c r="W56" s="35" t="s">
        <v>2118</v>
      </c>
      <c r="X56" s="35" t="str">
        <f t="shared" si="8"/>
        <v>přímá hmoždinka - N/A</v>
      </c>
      <c r="Y56" s="34"/>
      <c r="Z56" s="34"/>
    </row>
    <row r="57" spans="1:26" ht="15">
      <c r="A57" s="37" t="s">
        <v>1105</v>
      </c>
      <c r="B57" s="37" t="s">
        <v>57</v>
      </c>
      <c r="C57" s="37" t="str">
        <f>'Translate&amp;Prices&amp;Logo'!B557</f>
        <v>Vložený</v>
      </c>
      <c r="D57" s="32" t="str">
        <f t="shared" si="0"/>
        <v>široký_STRONG_Vložený</v>
      </c>
      <c r="E57" s="37" t="str">
        <f>'Translate&amp;Prices&amp;Logo'!$B$585</f>
        <v>s pružinou bez tlumení</v>
      </c>
      <c r="F57" s="34" t="str">
        <f>'Translate&amp;Prices&amp;Logo'!$B$587</f>
        <v>stříbrná</v>
      </c>
      <c r="G57" s="34" t="str">
        <f t="shared" si="10"/>
        <v>198820 - Vložený s pružinou bez tlumení - stříbrná</v>
      </c>
      <c r="H57" s="35" t="s">
        <v>1103</v>
      </c>
      <c r="I57" s="35">
        <v>198820</v>
      </c>
      <c r="J57" s="35" t="s">
        <v>1103</v>
      </c>
      <c r="K57" s="35" t="s">
        <v>77</v>
      </c>
      <c r="L57" s="35" t="str">
        <f t="shared" si="2"/>
        <v>křížová vrut - 92592T</v>
      </c>
      <c r="M57" s="35">
        <v>397954</v>
      </c>
      <c r="N57" s="35" t="str">
        <f t="shared" si="3"/>
        <v>křížová vrut (excentr) - 397954</v>
      </c>
      <c r="O57" s="35" t="s">
        <v>76</v>
      </c>
      <c r="P57" s="35" t="str">
        <f t="shared" si="4"/>
        <v>křížová euro - 92593T</v>
      </c>
      <c r="Q57" s="35" t="s">
        <v>2118</v>
      </c>
      <c r="R57" s="35" t="str">
        <f t="shared" si="5"/>
        <v>křížová hmoždinka - N/A</v>
      </c>
      <c r="S57" s="35" t="s">
        <v>2118</v>
      </c>
      <c r="T57" s="35" t="str">
        <f t="shared" si="6"/>
        <v>přímá vrut - N/A</v>
      </c>
      <c r="U57" s="35" t="s">
        <v>2118</v>
      </c>
      <c r="V57" s="35" t="str">
        <f t="shared" si="7"/>
        <v>přímá euro - N/A</v>
      </c>
      <c r="W57" s="35" t="s">
        <v>2118</v>
      </c>
      <c r="X57" s="35" t="str">
        <f t="shared" si="8"/>
        <v>přímá hmoždinka - N/A</v>
      </c>
      <c r="Y57" s="34"/>
      <c r="Z57" s="34"/>
    </row>
    <row r="58" spans="1:26" ht="15">
      <c r="A58" s="34" t="s">
        <v>1105</v>
      </c>
      <c r="B58" s="34" t="s">
        <v>2348</v>
      </c>
      <c r="C58" s="34" t="str">
        <f>'Translate&amp;Prices&amp;Logo'!B555</f>
        <v>Naložený</v>
      </c>
      <c r="D58" s="32" t="str">
        <f t="shared" si="0"/>
        <v>široký_STRONGHINGES_Naložený</v>
      </c>
      <c r="E58" s="34" t="str">
        <f>'Translate&amp;Prices&amp;Logo'!$B$584</f>
        <v>s pružinou a tlumením</v>
      </c>
      <c r="F58" s="34" t="str">
        <f>'Translate&amp;Prices&amp;Logo'!$B$587</f>
        <v>stříbrná</v>
      </c>
      <c r="G58" s="34" t="str">
        <f t="shared" si="10"/>
        <v>350827 - Naložený s pružinou a tlumením - stříbrná</v>
      </c>
      <c r="H58" s="35" t="s">
        <v>1103</v>
      </c>
      <c r="I58" s="35">
        <v>350827</v>
      </c>
      <c r="J58" s="35" t="s">
        <v>1103</v>
      </c>
      <c r="K58" s="35">
        <v>92596</v>
      </c>
      <c r="L58" s="35" t="str">
        <f t="shared" si="2"/>
        <v>křížová vrut - 92596</v>
      </c>
      <c r="M58" s="35">
        <v>315856</v>
      </c>
      <c r="N58" s="35" t="str">
        <f t="shared" si="3"/>
        <v>křížová vrut (excentr) - 315856</v>
      </c>
      <c r="O58" s="35">
        <v>92597</v>
      </c>
      <c r="P58" s="35" t="str">
        <f t="shared" si="4"/>
        <v>křížová euro - 92597</v>
      </c>
      <c r="Q58" s="35" t="s">
        <v>2118</v>
      </c>
      <c r="R58" s="35" t="str">
        <f t="shared" si="5"/>
        <v>křížová hmoždinka - N/A</v>
      </c>
      <c r="S58" s="35" t="s">
        <v>2118</v>
      </c>
      <c r="T58" s="35" t="str">
        <f t="shared" si="6"/>
        <v>přímá vrut - N/A</v>
      </c>
      <c r="U58" s="35" t="s">
        <v>2118</v>
      </c>
      <c r="V58" s="35" t="str">
        <f t="shared" si="7"/>
        <v>přímá euro - N/A</v>
      </c>
      <c r="W58" s="35" t="s">
        <v>2118</v>
      </c>
      <c r="X58" s="35" t="str">
        <f t="shared" si="8"/>
        <v>přímá hmoždinka - N/A</v>
      </c>
      <c r="Y58" s="34"/>
      <c r="Z58" s="34"/>
    </row>
    <row r="59" spans="1:26" ht="15">
      <c r="A59" s="34" t="s">
        <v>1105</v>
      </c>
      <c r="B59" s="34" t="s">
        <v>2348</v>
      </c>
      <c r="C59" s="34" t="str">
        <f>'Translate&amp;Prices&amp;Logo'!B555</f>
        <v>Naložený</v>
      </c>
      <c r="D59" s="32" t="str">
        <f t="shared" si="0"/>
        <v>široký_STRONGHINGES_Naložený</v>
      </c>
      <c r="E59" s="34" t="str">
        <f>'Translate&amp;Prices&amp;Logo'!$B$585</f>
        <v>s pružinou bez tlumení</v>
      </c>
      <c r="F59" s="34" t="str">
        <f>'Translate&amp;Prices&amp;Logo'!$B$587</f>
        <v>stříbrná</v>
      </c>
      <c r="G59" s="34" t="str">
        <f t="shared" si="10"/>
        <v>350834 - Naložený s pružinou bez tlumení - stříbrná</v>
      </c>
      <c r="H59" s="35" t="s">
        <v>1103</v>
      </c>
      <c r="I59" s="35">
        <v>350834</v>
      </c>
      <c r="J59" s="35" t="s">
        <v>1103</v>
      </c>
      <c r="K59" s="35">
        <v>92596</v>
      </c>
      <c r="L59" s="35" t="str">
        <f t="shared" si="2"/>
        <v>křížová vrut - 92596</v>
      </c>
      <c r="M59" s="35">
        <v>315856</v>
      </c>
      <c r="N59" s="35" t="str">
        <f t="shared" si="3"/>
        <v>křížová vrut (excentr) - 315856</v>
      </c>
      <c r="O59" s="35">
        <v>92597</v>
      </c>
      <c r="P59" s="35" t="str">
        <f t="shared" si="4"/>
        <v>křížová euro - 92597</v>
      </c>
      <c r="Q59" s="35" t="s">
        <v>2118</v>
      </c>
      <c r="R59" s="35" t="str">
        <f t="shared" si="5"/>
        <v>křížová hmoždinka - N/A</v>
      </c>
      <c r="S59" s="35" t="s">
        <v>2118</v>
      </c>
      <c r="T59" s="35" t="str">
        <f t="shared" si="6"/>
        <v>přímá vrut - N/A</v>
      </c>
      <c r="U59" s="35" t="s">
        <v>2118</v>
      </c>
      <c r="V59" s="35" t="str">
        <f t="shared" si="7"/>
        <v>přímá euro - N/A</v>
      </c>
      <c r="W59" s="35" t="s">
        <v>2118</v>
      </c>
      <c r="X59" s="35" t="str">
        <f t="shared" si="8"/>
        <v>přímá hmoždinka - N/A</v>
      </c>
      <c r="Y59" s="34"/>
      <c r="Z59" s="34"/>
    </row>
    <row r="60" spans="1:26" ht="15">
      <c r="A60" s="34" t="s">
        <v>1105</v>
      </c>
      <c r="B60" s="34" t="s">
        <v>2348</v>
      </c>
      <c r="C60" s="34" t="str">
        <f>'Translate&amp;Prices&amp;Logo'!B555</f>
        <v>Naložený</v>
      </c>
      <c r="D60" s="32" t="str">
        <f t="shared" si="0"/>
        <v>široký_STRONGHINGES_Naložený</v>
      </c>
      <c r="E60" s="34" t="str">
        <f>'Translate&amp;Prices&amp;Logo'!$B$586</f>
        <v>tip-on bez pružiny/tlumení</v>
      </c>
      <c r="F60" s="34" t="str">
        <f>'Translate&amp;Prices&amp;Logo'!$B$587</f>
        <v>stříbrná</v>
      </c>
      <c r="G60" s="34" t="str">
        <f t="shared" si="10"/>
        <v>350837 - Naložený tip-on bez pružiny/tlumení - stříbrná</v>
      </c>
      <c r="H60" s="35" t="s">
        <v>1103</v>
      </c>
      <c r="I60" s="35">
        <v>350837</v>
      </c>
      <c r="J60" s="35" t="s">
        <v>1103</v>
      </c>
      <c r="K60" s="35">
        <v>92596</v>
      </c>
      <c r="L60" s="35" t="str">
        <f t="shared" si="2"/>
        <v>křížová vrut - 92596</v>
      </c>
      <c r="M60" s="35">
        <v>315856</v>
      </c>
      <c r="N60" s="35" t="str">
        <f t="shared" si="3"/>
        <v>křížová vrut (excentr) - 315856</v>
      </c>
      <c r="O60" s="35">
        <v>92597</v>
      </c>
      <c r="P60" s="35" t="str">
        <f t="shared" si="4"/>
        <v>křížová euro - 92597</v>
      </c>
      <c r="Q60" s="35" t="s">
        <v>2118</v>
      </c>
      <c r="R60" s="35" t="str">
        <f t="shared" si="5"/>
        <v>křížová hmoždinka - N/A</v>
      </c>
      <c r="S60" s="35" t="s">
        <v>2118</v>
      </c>
      <c r="T60" s="35" t="str">
        <f t="shared" si="6"/>
        <v>přímá vrut - N/A</v>
      </c>
      <c r="U60" s="35" t="s">
        <v>2118</v>
      </c>
      <c r="V60" s="35" t="str">
        <f t="shared" si="7"/>
        <v>přímá euro - N/A</v>
      </c>
      <c r="W60" s="35" t="s">
        <v>2118</v>
      </c>
      <c r="X60" s="35" t="str">
        <f t="shared" si="8"/>
        <v>přímá hmoždinka - N/A</v>
      </c>
      <c r="Y60" s="34"/>
      <c r="Z60" s="34"/>
    </row>
    <row r="61" spans="1:26" ht="15">
      <c r="A61" s="37" t="s">
        <v>1105</v>
      </c>
      <c r="B61" s="34" t="s">
        <v>2348</v>
      </c>
      <c r="C61" s="37" t="str">
        <f>'Translate&amp;Prices&amp;Logo'!B556</f>
        <v>Polonaložený</v>
      </c>
      <c r="D61" s="32" t="str">
        <f t="shared" si="0"/>
        <v>široký_STRONGHINGES_Polonaložený</v>
      </c>
      <c r="E61" s="37" t="str">
        <f>'Translate&amp;Prices&amp;Logo'!$B$584</f>
        <v>s pružinou a tlumením</v>
      </c>
      <c r="F61" s="34" t="str">
        <f>'Translate&amp;Prices&amp;Logo'!$B$587</f>
        <v>stříbrná</v>
      </c>
      <c r="G61" s="34" t="str">
        <f t="shared" si="10"/>
        <v>350828 - Polonaložený s pružinou a tlumením - stříbrná</v>
      </c>
      <c r="H61" s="35" t="s">
        <v>1103</v>
      </c>
      <c r="I61" s="35">
        <v>350828</v>
      </c>
      <c r="J61" s="35" t="s">
        <v>1103</v>
      </c>
      <c r="K61" s="35">
        <v>92596</v>
      </c>
      <c r="L61" s="35" t="str">
        <f t="shared" si="2"/>
        <v>křížová vrut - 92596</v>
      </c>
      <c r="M61" s="35">
        <v>315856</v>
      </c>
      <c r="N61" s="35" t="str">
        <f t="shared" si="3"/>
        <v>křížová vrut (excentr) - 315856</v>
      </c>
      <c r="O61" s="35">
        <v>92597</v>
      </c>
      <c r="P61" s="35" t="str">
        <f t="shared" si="4"/>
        <v>křížová euro - 92597</v>
      </c>
      <c r="Q61" s="35" t="s">
        <v>2118</v>
      </c>
      <c r="R61" s="35" t="str">
        <f t="shared" si="5"/>
        <v>křížová hmoždinka - N/A</v>
      </c>
      <c r="S61" s="35" t="s">
        <v>2118</v>
      </c>
      <c r="T61" s="35" t="str">
        <f t="shared" si="6"/>
        <v>přímá vrut - N/A</v>
      </c>
      <c r="U61" s="35" t="s">
        <v>2118</v>
      </c>
      <c r="V61" s="35" t="str">
        <f t="shared" si="7"/>
        <v>přímá euro - N/A</v>
      </c>
      <c r="W61" s="35" t="s">
        <v>2118</v>
      </c>
      <c r="X61" s="35" t="str">
        <f t="shared" si="8"/>
        <v>přímá hmoždinka - N/A</v>
      </c>
      <c r="Y61" s="34"/>
      <c r="Z61" s="34"/>
    </row>
    <row r="62" spans="1:26" ht="15">
      <c r="A62" s="37" t="s">
        <v>1105</v>
      </c>
      <c r="B62" s="34" t="s">
        <v>2348</v>
      </c>
      <c r="C62" s="37" t="str">
        <f>'Translate&amp;Prices&amp;Logo'!B556</f>
        <v>Polonaložený</v>
      </c>
      <c r="D62" s="32" t="str">
        <f t="shared" si="0"/>
        <v>široký_STRONGHINGES_Polonaložený</v>
      </c>
      <c r="E62" s="37" t="str">
        <f>'Translate&amp;Prices&amp;Logo'!$B$585</f>
        <v>s pružinou bez tlumení</v>
      </c>
      <c r="F62" s="34" t="str">
        <f>'Translate&amp;Prices&amp;Logo'!$B$587</f>
        <v>stříbrná</v>
      </c>
      <c r="G62" s="34" t="str">
        <f t="shared" si="10"/>
        <v>350835 - Polonaložený s pružinou bez tlumení - stříbrná</v>
      </c>
      <c r="H62" s="35" t="s">
        <v>1103</v>
      </c>
      <c r="I62" s="35">
        <v>350835</v>
      </c>
      <c r="J62" s="35" t="s">
        <v>1103</v>
      </c>
      <c r="K62" s="35">
        <v>92596</v>
      </c>
      <c r="L62" s="35" t="str">
        <f t="shared" si="2"/>
        <v>křížová vrut - 92596</v>
      </c>
      <c r="M62" s="35">
        <v>315856</v>
      </c>
      <c r="N62" s="35" t="str">
        <f t="shared" si="3"/>
        <v>křížová vrut (excentr) - 315856</v>
      </c>
      <c r="O62" s="35">
        <v>92597</v>
      </c>
      <c r="P62" s="35" t="str">
        <f t="shared" si="4"/>
        <v>křížová euro - 92597</v>
      </c>
      <c r="Q62" s="35" t="s">
        <v>2118</v>
      </c>
      <c r="R62" s="35" t="str">
        <f t="shared" si="5"/>
        <v>křížová hmoždinka - N/A</v>
      </c>
      <c r="S62" s="35" t="s">
        <v>2118</v>
      </c>
      <c r="T62" s="35" t="str">
        <f t="shared" si="6"/>
        <v>přímá vrut - N/A</v>
      </c>
      <c r="U62" s="35" t="s">
        <v>2118</v>
      </c>
      <c r="V62" s="35" t="str">
        <f t="shared" si="7"/>
        <v>přímá euro - N/A</v>
      </c>
      <c r="W62" s="35" t="s">
        <v>2118</v>
      </c>
      <c r="X62" s="35" t="str">
        <f t="shared" si="8"/>
        <v>přímá hmoždinka - N/A</v>
      </c>
      <c r="Y62" s="34"/>
      <c r="Z62" s="34"/>
    </row>
    <row r="63" spans="1:26" ht="15">
      <c r="A63" s="37" t="s">
        <v>1105</v>
      </c>
      <c r="B63" s="34" t="s">
        <v>2348</v>
      </c>
      <c r="C63" s="37" t="str">
        <f>'Translate&amp;Prices&amp;Logo'!B556</f>
        <v>Polonaložený</v>
      </c>
      <c r="D63" s="32" t="str">
        <f t="shared" si="0"/>
        <v>široký_STRONGHINGES_Polonaložený</v>
      </c>
      <c r="E63" s="37" t="str">
        <f>'Translate&amp;Prices&amp;Logo'!$B$586</f>
        <v>tip-on bez pružiny/tlumení</v>
      </c>
      <c r="F63" s="34" t="str">
        <f>'Translate&amp;Prices&amp;Logo'!$B$587</f>
        <v>stříbrná</v>
      </c>
      <c r="G63" s="34" t="str">
        <f t="shared" si="10"/>
        <v>350838 - Polonaložený tip-on bez pružiny/tlumení - stříbrná</v>
      </c>
      <c r="H63" s="35" t="s">
        <v>1103</v>
      </c>
      <c r="I63" s="35">
        <v>350838</v>
      </c>
      <c r="J63" s="35" t="s">
        <v>1103</v>
      </c>
      <c r="K63" s="35">
        <v>92596</v>
      </c>
      <c r="L63" s="35" t="str">
        <f t="shared" si="2"/>
        <v>křížová vrut - 92596</v>
      </c>
      <c r="M63" s="35">
        <v>315856</v>
      </c>
      <c r="N63" s="35" t="str">
        <f t="shared" si="3"/>
        <v>křížová vrut (excentr) - 315856</v>
      </c>
      <c r="O63" s="35">
        <v>92597</v>
      </c>
      <c r="P63" s="35" t="str">
        <f t="shared" si="4"/>
        <v>křížová euro - 92597</v>
      </c>
      <c r="Q63" s="35" t="s">
        <v>2118</v>
      </c>
      <c r="R63" s="35" t="str">
        <f t="shared" si="5"/>
        <v>křížová hmoždinka - N/A</v>
      </c>
      <c r="S63" s="35" t="s">
        <v>2118</v>
      </c>
      <c r="T63" s="35" t="str">
        <f t="shared" si="6"/>
        <v>přímá vrut - N/A</v>
      </c>
      <c r="U63" s="35" t="s">
        <v>2118</v>
      </c>
      <c r="V63" s="35" t="str">
        <f t="shared" si="7"/>
        <v>přímá euro - N/A</v>
      </c>
      <c r="W63" s="35" t="s">
        <v>2118</v>
      </c>
      <c r="X63" s="35" t="str">
        <f t="shared" si="8"/>
        <v>přímá hmoždinka - N/A</v>
      </c>
      <c r="Y63" s="34"/>
      <c r="Z63" s="34"/>
    </row>
    <row r="64" spans="1:26" ht="15">
      <c r="A64" s="34" t="s">
        <v>1105</v>
      </c>
      <c r="B64" s="34" t="s">
        <v>2348</v>
      </c>
      <c r="C64" s="34" t="str">
        <f>'Translate&amp;Prices&amp;Logo'!B557</f>
        <v>Vložený</v>
      </c>
      <c r="D64" s="32" t="str">
        <f t="shared" si="0"/>
        <v>široký_STRONGHINGES_Vložený</v>
      </c>
      <c r="E64" s="34" t="str">
        <f>'Translate&amp;Prices&amp;Logo'!$B$584</f>
        <v>s pružinou a tlumením</v>
      </c>
      <c r="F64" s="34" t="str">
        <f>'Translate&amp;Prices&amp;Logo'!$B$587</f>
        <v>stříbrná</v>
      </c>
      <c r="G64" s="34" t="str">
        <f t="shared" si="10"/>
        <v>350829 - Vložený s pružinou a tlumením - stříbrná</v>
      </c>
      <c r="H64" s="35" t="s">
        <v>1103</v>
      </c>
      <c r="I64" s="35">
        <v>350829</v>
      </c>
      <c r="J64" s="35" t="s">
        <v>1103</v>
      </c>
      <c r="K64" s="35">
        <v>92598</v>
      </c>
      <c r="L64" s="35" t="str">
        <f t="shared" si="2"/>
        <v>křížová vrut - 92598</v>
      </c>
      <c r="M64" s="35">
        <v>350868</v>
      </c>
      <c r="N64" s="35" t="str">
        <f t="shared" si="3"/>
        <v>křížová vrut (excentr) - 350868</v>
      </c>
      <c r="O64" s="35">
        <v>92599</v>
      </c>
      <c r="P64" s="35" t="str">
        <f t="shared" si="4"/>
        <v>křížová euro - 92599</v>
      </c>
      <c r="Q64" s="35" t="s">
        <v>2118</v>
      </c>
      <c r="R64" s="35" t="str">
        <f t="shared" si="5"/>
        <v>křížová hmoždinka - N/A</v>
      </c>
      <c r="S64" s="35" t="s">
        <v>2118</v>
      </c>
      <c r="T64" s="35" t="str">
        <f t="shared" si="6"/>
        <v>přímá vrut - N/A</v>
      </c>
      <c r="U64" s="35" t="s">
        <v>2118</v>
      </c>
      <c r="V64" s="35" t="str">
        <f t="shared" si="7"/>
        <v>přímá euro - N/A</v>
      </c>
      <c r="W64" s="35" t="s">
        <v>2118</v>
      </c>
      <c r="X64" s="35" t="str">
        <f t="shared" si="8"/>
        <v>přímá hmoždinka - N/A</v>
      </c>
      <c r="Y64" s="34"/>
      <c r="Z64" s="34"/>
    </row>
    <row r="65" spans="1:26" ht="15">
      <c r="A65" s="34" t="s">
        <v>1105</v>
      </c>
      <c r="B65" s="34" t="s">
        <v>2348</v>
      </c>
      <c r="C65" s="34" t="str">
        <f>'Translate&amp;Prices&amp;Logo'!B557</f>
        <v>Vložený</v>
      </c>
      <c r="D65" s="32" t="str">
        <f t="shared" si="0"/>
        <v>široký_STRONGHINGES_Vložený</v>
      </c>
      <c r="E65" s="34" t="str">
        <f>'Translate&amp;Prices&amp;Logo'!$B$585</f>
        <v>s pružinou bez tlumení</v>
      </c>
      <c r="F65" s="34" t="str">
        <f>'Translate&amp;Prices&amp;Logo'!$B$587</f>
        <v>stříbrná</v>
      </c>
      <c r="G65" s="34" t="str">
        <f t="shared" si="10"/>
        <v>350836 - Vložený s pružinou bez tlumení - stříbrná</v>
      </c>
      <c r="H65" s="35" t="s">
        <v>1103</v>
      </c>
      <c r="I65" s="35">
        <v>350836</v>
      </c>
      <c r="J65" s="35" t="s">
        <v>1103</v>
      </c>
      <c r="K65" s="35">
        <v>92598</v>
      </c>
      <c r="L65" s="35" t="str">
        <f t="shared" si="2"/>
        <v>křížová vrut - 92598</v>
      </c>
      <c r="M65" s="35">
        <v>350868</v>
      </c>
      <c r="N65" s="35" t="str">
        <f t="shared" si="3"/>
        <v>křížová vrut (excentr) - 350868</v>
      </c>
      <c r="O65" s="35">
        <v>92599</v>
      </c>
      <c r="P65" s="35" t="str">
        <f t="shared" si="4"/>
        <v>křížová euro - 92599</v>
      </c>
      <c r="Q65" s="35" t="s">
        <v>2118</v>
      </c>
      <c r="R65" s="35" t="str">
        <f t="shared" si="5"/>
        <v>křížová hmoždinka - N/A</v>
      </c>
      <c r="S65" s="35" t="s">
        <v>2118</v>
      </c>
      <c r="T65" s="35" t="str">
        <f t="shared" si="6"/>
        <v>přímá vrut - N/A</v>
      </c>
      <c r="U65" s="35" t="s">
        <v>2118</v>
      </c>
      <c r="V65" s="35" t="str">
        <f t="shared" si="7"/>
        <v>přímá euro - N/A</v>
      </c>
      <c r="W65" s="35" t="s">
        <v>2118</v>
      </c>
      <c r="X65" s="35" t="str">
        <f t="shared" si="8"/>
        <v>přímá hmoždinka - N/A</v>
      </c>
      <c r="Y65" s="34"/>
      <c r="Z65" s="34"/>
    </row>
    <row r="66" spans="1:26" ht="15">
      <c r="A66" s="34" t="s">
        <v>1105</v>
      </c>
      <c r="B66" s="34" t="s">
        <v>2348</v>
      </c>
      <c r="C66" s="34" t="str">
        <f>'Translate&amp;Prices&amp;Logo'!B557</f>
        <v>Vložený</v>
      </c>
      <c r="D66" s="32" t="str">
        <f t="shared" si="0"/>
        <v>široký_STRONGHINGES_Vložený</v>
      </c>
      <c r="E66" s="34" t="str">
        <f>'Translate&amp;Prices&amp;Logo'!$B$586</f>
        <v>tip-on bez pružiny/tlumení</v>
      </c>
      <c r="F66" s="34" t="str">
        <f>'Translate&amp;Prices&amp;Logo'!$B$587</f>
        <v>stříbrná</v>
      </c>
      <c r="G66" s="34" t="str">
        <f t="shared" si="10"/>
        <v>350839 - Vložený tip-on bez pružiny/tlumení - stříbrná</v>
      </c>
      <c r="H66" s="35" t="s">
        <v>1103</v>
      </c>
      <c r="I66" s="35">
        <v>350839</v>
      </c>
      <c r="J66" s="35" t="s">
        <v>1103</v>
      </c>
      <c r="K66" s="35">
        <v>92598</v>
      </c>
      <c r="L66" s="35" t="str">
        <f t="shared" si="2"/>
        <v>křížová vrut - 92598</v>
      </c>
      <c r="M66" s="35">
        <v>350868</v>
      </c>
      <c r="N66" s="35" t="str">
        <f t="shared" si="3"/>
        <v>křížová vrut (excentr) - 350868</v>
      </c>
      <c r="O66" s="35">
        <v>92599</v>
      </c>
      <c r="P66" s="35" t="str">
        <f t="shared" si="4"/>
        <v>křížová euro - 92599</v>
      </c>
      <c r="Q66" s="35" t="s">
        <v>2118</v>
      </c>
      <c r="R66" s="35" t="str">
        <f t="shared" si="5"/>
        <v>křížová hmoždinka - N/A</v>
      </c>
      <c r="S66" s="35" t="s">
        <v>2118</v>
      </c>
      <c r="T66" s="35" t="str">
        <f t="shared" si="6"/>
        <v>přímá vrut - N/A</v>
      </c>
      <c r="U66" s="35" t="s">
        <v>2118</v>
      </c>
      <c r="V66" s="35" t="str">
        <f t="shared" si="7"/>
        <v>přímá euro - N/A</v>
      </c>
      <c r="W66" s="35" t="s">
        <v>2118</v>
      </c>
      <c r="X66" s="35" t="str">
        <f t="shared" si="8"/>
        <v>přímá hmoždinka - N/A</v>
      </c>
      <c r="Y66" s="34"/>
      <c r="Z66" s="34"/>
    </row>
    <row r="67" spans="1:26" ht="15">
      <c r="X67" s="34"/>
      <c r="Y67" s="34"/>
      <c r="Z67" s="34"/>
    </row>
    <row r="69" spans="1:26" ht="16.350000000000001" customHeight="1">
      <c r="A69" s="37" t="s">
        <v>1163</v>
      </c>
      <c r="B69" s="37" t="s">
        <v>1163</v>
      </c>
      <c r="C69" s="34" t="s">
        <v>113</v>
      </c>
    </row>
    <row r="70" spans="1:26" ht="16.350000000000001" customHeight="1">
      <c r="A70" s="37" t="s">
        <v>1163</v>
      </c>
      <c r="B70" s="37" t="s">
        <v>1163</v>
      </c>
      <c r="C70" s="34" t="s">
        <v>113</v>
      </c>
    </row>
    <row r="71" spans="1:26" ht="16.350000000000001" customHeight="1">
      <c r="A71" s="37" t="s">
        <v>1163</v>
      </c>
      <c r="B71" s="37" t="s">
        <v>1163</v>
      </c>
      <c r="C71" s="34" t="s">
        <v>113</v>
      </c>
    </row>
    <row r="72" spans="1:26" ht="16.350000000000001" customHeight="1">
      <c r="A72" s="37" t="s">
        <v>1163</v>
      </c>
      <c r="B72" s="37" t="s">
        <v>1163</v>
      </c>
      <c r="C72" s="34" t="s">
        <v>113</v>
      </c>
    </row>
    <row r="73" spans="1:26" ht="16.350000000000001" customHeight="1">
      <c r="A73" s="37" t="s">
        <v>1164</v>
      </c>
      <c r="B73" s="37" t="s">
        <v>1164</v>
      </c>
      <c r="C73" s="34" t="s">
        <v>113</v>
      </c>
    </row>
    <row r="74" spans="1:26" ht="16.350000000000001" customHeight="1">
      <c r="A74" s="37" t="s">
        <v>1164</v>
      </c>
      <c r="B74" s="37" t="s">
        <v>1164</v>
      </c>
      <c r="C74" s="34" t="s">
        <v>113</v>
      </c>
    </row>
    <row r="75" spans="1:26" ht="16.350000000000001" customHeight="1">
      <c r="A75" s="37" t="s">
        <v>1165</v>
      </c>
      <c r="B75" s="37" t="s">
        <v>1165</v>
      </c>
      <c r="C75" s="34" t="s">
        <v>113</v>
      </c>
    </row>
    <row r="76" spans="1:26" ht="16.350000000000001" customHeight="1">
      <c r="A76" s="37" t="s">
        <v>1165</v>
      </c>
      <c r="B76" s="37" t="s">
        <v>1165</v>
      </c>
      <c r="C76" s="34" t="s">
        <v>113</v>
      </c>
    </row>
    <row r="77" spans="1:26" ht="16.350000000000001" customHeight="1">
      <c r="A77" s="37" t="s">
        <v>1166</v>
      </c>
      <c r="B77" s="37" t="s">
        <v>1166</v>
      </c>
      <c r="C77" s="34" t="s">
        <v>113</v>
      </c>
    </row>
    <row r="78" spans="1:26" ht="16.350000000000001" customHeight="1">
      <c r="A78" s="37" t="s">
        <v>1166</v>
      </c>
      <c r="B78" s="37" t="s">
        <v>1166</v>
      </c>
      <c r="C78" s="34" t="s">
        <v>113</v>
      </c>
    </row>
    <row r="79" spans="1:26" ht="16.350000000000001" customHeight="1">
      <c r="A79" s="37" t="s">
        <v>1166</v>
      </c>
      <c r="B79" s="37" t="s">
        <v>1166</v>
      </c>
      <c r="C79" s="34" t="s">
        <v>113</v>
      </c>
    </row>
    <row r="80" spans="1:26" ht="16.350000000000001" customHeight="1">
      <c r="A80" s="37" t="s">
        <v>1166</v>
      </c>
      <c r="B80" s="37" t="s">
        <v>1166</v>
      </c>
      <c r="C80" s="34" t="s">
        <v>113</v>
      </c>
    </row>
    <row r="81" spans="1:7" ht="16.350000000000001" customHeight="1">
      <c r="A81" s="37" t="s">
        <v>1167</v>
      </c>
      <c r="B81" s="37" t="s">
        <v>1167</v>
      </c>
      <c r="C81" s="34" t="s">
        <v>113</v>
      </c>
      <c r="G81" s="34" t="s">
        <v>2173</v>
      </c>
    </row>
    <row r="82" spans="1:7" ht="16.350000000000001" customHeight="1">
      <c r="A82" s="37" t="s">
        <v>1167</v>
      </c>
      <c r="B82" s="37" t="s">
        <v>1167</v>
      </c>
      <c r="C82" s="34" t="s">
        <v>113</v>
      </c>
    </row>
    <row r="83" spans="1:7" ht="16.350000000000001" customHeight="1">
      <c r="A83" s="37" t="s">
        <v>1167</v>
      </c>
      <c r="B83" s="37" t="s">
        <v>1167</v>
      </c>
      <c r="C83" s="34" t="s">
        <v>113</v>
      </c>
    </row>
    <row r="84" spans="1:7" ht="16.350000000000001" customHeight="1">
      <c r="A84" s="37" t="s">
        <v>1168</v>
      </c>
      <c r="B84" s="37" t="s">
        <v>1168</v>
      </c>
      <c r="C84" s="34" t="s">
        <v>113</v>
      </c>
    </row>
    <row r="85" spans="1:7" ht="16.350000000000001" customHeight="1">
      <c r="A85" s="37" t="s">
        <v>1168</v>
      </c>
      <c r="B85" s="37" t="s">
        <v>1168</v>
      </c>
      <c r="C85" s="34" t="s">
        <v>113</v>
      </c>
    </row>
    <row r="86" spans="1:7" ht="16.350000000000001" customHeight="1">
      <c r="A86" s="37" t="s">
        <v>1168</v>
      </c>
      <c r="B86" s="37" t="s">
        <v>1168</v>
      </c>
      <c r="C86" s="34" t="s">
        <v>113</v>
      </c>
    </row>
    <row r="87" spans="1:7" ht="16.350000000000001" customHeight="1">
      <c r="A87" s="37" t="s">
        <v>1169</v>
      </c>
      <c r="B87" s="37" t="s">
        <v>1169</v>
      </c>
      <c r="C87" s="34" t="s">
        <v>113</v>
      </c>
    </row>
    <row r="88" spans="1:7" ht="16.350000000000001" customHeight="1">
      <c r="A88" s="37" t="s">
        <v>2349</v>
      </c>
      <c r="B88" s="37" t="s">
        <v>2349</v>
      </c>
      <c r="C88" s="34" t="s">
        <v>113</v>
      </c>
    </row>
    <row r="89" spans="1:7" ht="16.350000000000001" customHeight="1">
      <c r="A89" s="37" t="s">
        <v>2349</v>
      </c>
      <c r="B89" s="37" t="s">
        <v>2349</v>
      </c>
      <c r="C89" s="34" t="s">
        <v>113</v>
      </c>
    </row>
    <row r="90" spans="1:7" ht="16.350000000000001" customHeight="1">
      <c r="A90" s="37" t="s">
        <v>1171</v>
      </c>
      <c r="B90" s="37" t="s">
        <v>1171</v>
      </c>
      <c r="C90" s="34" t="s">
        <v>113</v>
      </c>
    </row>
    <row r="91" spans="1:7" ht="16.350000000000001" customHeight="1">
      <c r="A91" s="37" t="s">
        <v>1171</v>
      </c>
      <c r="B91" s="37" t="s">
        <v>1171</v>
      </c>
      <c r="C91" s="34" t="s">
        <v>113</v>
      </c>
    </row>
    <row r="92" spans="1:7" ht="16.350000000000001" customHeight="1">
      <c r="A92" s="37" t="s">
        <v>1171</v>
      </c>
      <c r="B92" s="37" t="s">
        <v>1171</v>
      </c>
      <c r="C92" s="34" t="s">
        <v>113</v>
      </c>
    </row>
    <row r="93" spans="1:7" ht="16.350000000000001" customHeight="1">
      <c r="A93" s="37" t="s">
        <v>1171</v>
      </c>
      <c r="B93" s="37" t="s">
        <v>1171</v>
      </c>
      <c r="C93" s="34" t="s">
        <v>113</v>
      </c>
    </row>
    <row r="94" spans="1:7" ht="16.350000000000001" customHeight="1">
      <c r="A94" s="37" t="s">
        <v>1172</v>
      </c>
      <c r="B94" s="37" t="s">
        <v>1172</v>
      </c>
      <c r="C94" s="34" t="s">
        <v>113</v>
      </c>
    </row>
    <row r="95" spans="1:7" ht="16.350000000000001" customHeight="1">
      <c r="A95" s="37" t="s">
        <v>1172</v>
      </c>
      <c r="B95" s="37" t="s">
        <v>1172</v>
      </c>
      <c r="C95" s="34" t="s">
        <v>113</v>
      </c>
    </row>
    <row r="96" spans="1:7" ht="16.350000000000001" customHeight="1">
      <c r="A96" s="37" t="s">
        <v>1172</v>
      </c>
      <c r="B96" s="37" t="s">
        <v>1172</v>
      </c>
      <c r="C96" s="34" t="s">
        <v>113</v>
      </c>
    </row>
    <row r="97" spans="1:3" ht="16.350000000000001" customHeight="1">
      <c r="A97" s="37" t="s">
        <v>1172</v>
      </c>
      <c r="B97" s="37" t="s">
        <v>1172</v>
      </c>
      <c r="C97" s="34" t="s">
        <v>113</v>
      </c>
    </row>
    <row r="98" spans="1:3" ht="16.350000000000001" customHeight="1">
      <c r="A98" s="37" t="s">
        <v>1173</v>
      </c>
      <c r="B98" s="37" t="s">
        <v>1173</v>
      </c>
      <c r="C98" s="34" t="s">
        <v>113</v>
      </c>
    </row>
    <row r="99" spans="1:3" ht="16.350000000000001" customHeight="1">
      <c r="A99" s="37" t="s">
        <v>1173</v>
      </c>
      <c r="B99" s="37" t="s">
        <v>1173</v>
      </c>
      <c r="C99" s="34" t="s">
        <v>113</v>
      </c>
    </row>
    <row r="100" spans="1:3" ht="16.350000000000001" customHeight="1">
      <c r="A100" s="37" t="s">
        <v>1173</v>
      </c>
      <c r="B100" s="37" t="s">
        <v>1173</v>
      </c>
      <c r="C100" s="34" t="s">
        <v>113</v>
      </c>
    </row>
    <row r="101" spans="1:3" ht="16.350000000000001" customHeight="1">
      <c r="A101" s="37" t="s">
        <v>1173</v>
      </c>
      <c r="B101" s="37" t="s">
        <v>1173</v>
      </c>
      <c r="C101" s="34" t="s">
        <v>113</v>
      </c>
    </row>
    <row r="102" spans="1:3" ht="16.350000000000001" customHeight="1">
      <c r="A102" s="37" t="s">
        <v>1174</v>
      </c>
      <c r="B102" s="37" t="s">
        <v>1174</v>
      </c>
      <c r="C102" s="34" t="s">
        <v>113</v>
      </c>
    </row>
    <row r="103" spans="1:3" ht="16.350000000000001" customHeight="1">
      <c r="A103" s="37" t="s">
        <v>1174</v>
      </c>
      <c r="B103" s="37" t="s">
        <v>1174</v>
      </c>
      <c r="C103" s="34" t="s">
        <v>113</v>
      </c>
    </row>
    <row r="104" spans="1:3" ht="16.350000000000001" customHeight="1">
      <c r="A104" s="37" t="s">
        <v>1174</v>
      </c>
      <c r="B104" s="37" t="s">
        <v>1174</v>
      </c>
      <c r="C104" s="34" t="s">
        <v>113</v>
      </c>
    </row>
    <row r="105" spans="1:3" ht="16.350000000000001" customHeight="1">
      <c r="A105" s="37" t="s">
        <v>1174</v>
      </c>
      <c r="B105" s="37" t="s">
        <v>1174</v>
      </c>
      <c r="C105" s="34" t="s">
        <v>113</v>
      </c>
    </row>
    <row r="106" spans="1:3" ht="16.350000000000001" customHeight="1">
      <c r="A106" s="37" t="s">
        <v>1174</v>
      </c>
      <c r="B106" s="37" t="s">
        <v>1174</v>
      </c>
      <c r="C106" s="34" t="s">
        <v>113</v>
      </c>
    </row>
    <row r="107" spans="1:3" ht="16.350000000000001" customHeight="1">
      <c r="A107" s="37" t="s">
        <v>1175</v>
      </c>
      <c r="B107" s="37" t="s">
        <v>1175</v>
      </c>
      <c r="C107" s="34" t="s">
        <v>113</v>
      </c>
    </row>
    <row r="108" spans="1:3" ht="16.350000000000001" customHeight="1">
      <c r="A108" s="37" t="s">
        <v>1175</v>
      </c>
      <c r="B108" s="37" t="s">
        <v>1175</v>
      </c>
      <c r="C108" s="34" t="s">
        <v>113</v>
      </c>
    </row>
    <row r="109" spans="1:3" ht="16.350000000000001" customHeight="1">
      <c r="A109" s="37" t="s">
        <v>1175</v>
      </c>
      <c r="B109" s="37" t="s">
        <v>1175</v>
      </c>
      <c r="C109" s="34" t="s">
        <v>113</v>
      </c>
    </row>
    <row r="110" spans="1:3" ht="16.350000000000001" customHeight="1">
      <c r="A110" s="37" t="s">
        <v>1175</v>
      </c>
      <c r="B110" s="37" t="s">
        <v>1175</v>
      </c>
      <c r="C110" s="34" t="s">
        <v>113</v>
      </c>
    </row>
    <row r="111" spans="1:3" ht="16.350000000000001" customHeight="1">
      <c r="A111" s="37" t="s">
        <v>1175</v>
      </c>
      <c r="B111" s="37" t="s">
        <v>1175</v>
      </c>
      <c r="C111" s="34" t="s">
        <v>113</v>
      </c>
    </row>
    <row r="112" spans="1:3" ht="16.350000000000001" customHeight="1">
      <c r="A112" s="37" t="s">
        <v>1176</v>
      </c>
      <c r="B112" s="37" t="s">
        <v>1176</v>
      </c>
      <c r="C112" s="34" t="s">
        <v>113</v>
      </c>
    </row>
    <row r="113" spans="1:3" ht="16.350000000000001" customHeight="1">
      <c r="A113" s="37" t="s">
        <v>1176</v>
      </c>
      <c r="B113" s="37" t="s">
        <v>1176</v>
      </c>
      <c r="C113" s="34" t="s">
        <v>113</v>
      </c>
    </row>
    <row r="114" spans="1:3" ht="16.350000000000001" customHeight="1">
      <c r="A114" s="37" t="s">
        <v>1176</v>
      </c>
      <c r="B114" s="37" t="s">
        <v>1176</v>
      </c>
      <c r="C114" s="34" t="s">
        <v>113</v>
      </c>
    </row>
    <row r="115" spans="1:3" ht="16.350000000000001" customHeight="1">
      <c r="A115" s="37" t="s">
        <v>1176</v>
      </c>
      <c r="B115" s="37" t="s">
        <v>1176</v>
      </c>
      <c r="C115" s="34" t="s">
        <v>113</v>
      </c>
    </row>
    <row r="116" spans="1:3" ht="16.350000000000001" customHeight="1">
      <c r="A116" s="37" t="s">
        <v>1176</v>
      </c>
      <c r="B116" s="37" t="s">
        <v>1176</v>
      </c>
      <c r="C116" s="34" t="s">
        <v>113</v>
      </c>
    </row>
    <row r="117" spans="1:3" ht="16.350000000000001" customHeight="1">
      <c r="A117" s="37" t="s">
        <v>1177</v>
      </c>
      <c r="B117" s="37" t="s">
        <v>1177</v>
      </c>
      <c r="C117" s="34" t="s">
        <v>113</v>
      </c>
    </row>
    <row r="118" spans="1:3" ht="16.350000000000001" customHeight="1">
      <c r="A118" s="37" t="s">
        <v>1177</v>
      </c>
      <c r="B118" s="37" t="s">
        <v>1177</v>
      </c>
      <c r="C118" s="34" t="s">
        <v>113</v>
      </c>
    </row>
    <row r="119" spans="1:3" ht="16.350000000000001" customHeight="1">
      <c r="A119" s="37" t="s">
        <v>1178</v>
      </c>
      <c r="B119" s="37" t="s">
        <v>1178</v>
      </c>
      <c r="C119" s="34" t="s">
        <v>113</v>
      </c>
    </row>
    <row r="120" spans="1:3" ht="16.350000000000001" customHeight="1">
      <c r="A120" s="37" t="s">
        <v>1178</v>
      </c>
      <c r="B120" s="37" t="s">
        <v>1178</v>
      </c>
      <c r="C120" s="34" t="s">
        <v>113</v>
      </c>
    </row>
    <row r="121" spans="1:3" ht="16.350000000000001" customHeight="1">
      <c r="A121" s="37" t="s">
        <v>1179</v>
      </c>
      <c r="B121" s="37" t="s">
        <v>1179</v>
      </c>
      <c r="C121" s="34" t="s">
        <v>113</v>
      </c>
    </row>
    <row r="122" spans="1:3" ht="16.350000000000001" customHeight="1">
      <c r="A122" s="37" t="s">
        <v>1179</v>
      </c>
      <c r="B122" s="37" t="s">
        <v>1179</v>
      </c>
      <c r="C122" s="34" t="s">
        <v>113</v>
      </c>
    </row>
    <row r="123" spans="1:3" ht="16.350000000000001" customHeight="1">
      <c r="A123" s="37" t="s">
        <v>2350</v>
      </c>
      <c r="B123" s="37" t="s">
        <v>2350</v>
      </c>
      <c r="C123" s="34" t="s">
        <v>113</v>
      </c>
    </row>
    <row r="124" spans="1:3" ht="16.350000000000001" customHeight="1">
      <c r="A124" s="37" t="s">
        <v>2350</v>
      </c>
      <c r="B124" s="37" t="s">
        <v>2350</v>
      </c>
      <c r="C124" s="34" t="s">
        <v>113</v>
      </c>
    </row>
    <row r="125" spans="1:3" ht="16.350000000000001" customHeight="1">
      <c r="A125" s="37" t="s">
        <v>2350</v>
      </c>
      <c r="B125" s="37" t="s">
        <v>2350</v>
      </c>
      <c r="C125" s="34" t="s">
        <v>113</v>
      </c>
    </row>
    <row r="126" spans="1:3" ht="16.350000000000001" customHeight="1">
      <c r="A126" s="37" t="s">
        <v>2351</v>
      </c>
      <c r="B126" s="37" t="s">
        <v>2351</v>
      </c>
      <c r="C126" s="34" t="s">
        <v>113</v>
      </c>
    </row>
    <row r="127" spans="1:3" ht="16.350000000000001" customHeight="1">
      <c r="A127" s="37" t="s">
        <v>2351</v>
      </c>
      <c r="B127" s="37" t="s">
        <v>2351</v>
      </c>
      <c r="C127" s="34" t="s">
        <v>113</v>
      </c>
    </row>
    <row r="128" spans="1:3" ht="16.350000000000001" customHeight="1">
      <c r="A128" s="37" t="s">
        <v>2351</v>
      </c>
      <c r="B128" s="37" t="s">
        <v>2351</v>
      </c>
      <c r="C128" s="34" t="s">
        <v>113</v>
      </c>
    </row>
    <row r="129" spans="1:3" ht="16.350000000000001" customHeight="1">
      <c r="A129" s="37" t="s">
        <v>2352</v>
      </c>
      <c r="B129" s="37" t="s">
        <v>2352</v>
      </c>
      <c r="C129" s="34" t="s">
        <v>113</v>
      </c>
    </row>
    <row r="130" spans="1:3" ht="16.350000000000001" customHeight="1">
      <c r="A130" s="37" t="s">
        <v>2352</v>
      </c>
      <c r="B130" s="37" t="s">
        <v>2352</v>
      </c>
      <c r="C130" s="34" t="s">
        <v>113</v>
      </c>
    </row>
    <row r="131" spans="1:3" ht="16.350000000000001" customHeight="1">
      <c r="A131" s="37" t="s">
        <v>2352</v>
      </c>
      <c r="B131" s="37" t="s">
        <v>2352</v>
      </c>
      <c r="C131" s="34" t="s">
        <v>113</v>
      </c>
    </row>
    <row r="132" spans="1:3" ht="16.350000000000001" customHeight="1">
      <c r="A132" s="34" t="s">
        <v>1163</v>
      </c>
      <c r="B132" s="34" t="s">
        <v>1163</v>
      </c>
      <c r="C132" s="34" t="s">
        <v>114</v>
      </c>
    </row>
    <row r="133" spans="1:3" ht="16.350000000000001" customHeight="1">
      <c r="A133" s="34" t="s">
        <v>1163</v>
      </c>
      <c r="B133" s="34" t="s">
        <v>1163</v>
      </c>
      <c r="C133" s="34" t="s">
        <v>114</v>
      </c>
    </row>
    <row r="134" spans="1:3" ht="16.350000000000001" customHeight="1">
      <c r="A134" s="34" t="s">
        <v>1163</v>
      </c>
      <c r="B134" s="34" t="s">
        <v>1163</v>
      </c>
      <c r="C134" s="34" t="s">
        <v>114</v>
      </c>
    </row>
    <row r="135" spans="1:3" ht="16.350000000000001" customHeight="1">
      <c r="A135" s="34" t="s">
        <v>1163</v>
      </c>
      <c r="B135" s="34" t="s">
        <v>1163</v>
      </c>
      <c r="C135" s="34" t="s">
        <v>114</v>
      </c>
    </row>
    <row r="136" spans="1:3" ht="16.350000000000001" customHeight="1">
      <c r="A136" s="34" t="s">
        <v>1164</v>
      </c>
      <c r="B136" s="34" t="s">
        <v>1164</v>
      </c>
      <c r="C136" s="34" t="s">
        <v>114</v>
      </c>
    </row>
    <row r="137" spans="1:3" ht="16.350000000000001" customHeight="1">
      <c r="A137" s="34" t="s">
        <v>1164</v>
      </c>
      <c r="B137" s="34" t="s">
        <v>1164</v>
      </c>
      <c r="C137" s="34" t="s">
        <v>114</v>
      </c>
    </row>
    <row r="138" spans="1:3" ht="16.350000000000001" customHeight="1">
      <c r="A138" s="34" t="s">
        <v>1165</v>
      </c>
      <c r="B138" s="34" t="s">
        <v>1165</v>
      </c>
      <c r="C138" s="34" t="s">
        <v>114</v>
      </c>
    </row>
    <row r="139" spans="1:3" ht="16.350000000000001" customHeight="1">
      <c r="A139" s="34" t="s">
        <v>1165</v>
      </c>
      <c r="B139" s="34" t="s">
        <v>1165</v>
      </c>
      <c r="C139" s="34" t="s">
        <v>114</v>
      </c>
    </row>
    <row r="140" spans="1:3" ht="16.350000000000001" customHeight="1">
      <c r="A140" s="34" t="s">
        <v>1166</v>
      </c>
      <c r="B140" s="34" t="s">
        <v>1166</v>
      </c>
      <c r="C140" s="34" t="s">
        <v>114</v>
      </c>
    </row>
    <row r="141" spans="1:3" ht="16.350000000000001" customHeight="1">
      <c r="A141" s="34" t="s">
        <v>1166</v>
      </c>
      <c r="B141" s="34" t="s">
        <v>1166</v>
      </c>
      <c r="C141" s="34" t="s">
        <v>114</v>
      </c>
    </row>
    <row r="142" spans="1:3" ht="16.350000000000001" customHeight="1">
      <c r="A142" s="34" t="s">
        <v>1166</v>
      </c>
      <c r="B142" s="34" t="s">
        <v>1166</v>
      </c>
      <c r="C142" s="34" t="s">
        <v>114</v>
      </c>
    </row>
    <row r="143" spans="1:3" ht="16.350000000000001" customHeight="1">
      <c r="A143" s="34" t="s">
        <v>1166</v>
      </c>
      <c r="B143" s="34" t="s">
        <v>1166</v>
      </c>
      <c r="C143" s="34" t="s">
        <v>114</v>
      </c>
    </row>
    <row r="144" spans="1:3" ht="16.350000000000001" customHeight="1">
      <c r="A144" s="34" t="s">
        <v>1167</v>
      </c>
      <c r="B144" s="34" t="s">
        <v>1167</v>
      </c>
      <c r="C144" s="34" t="s">
        <v>114</v>
      </c>
    </row>
    <row r="145" spans="1:3" ht="16.350000000000001" customHeight="1">
      <c r="A145" s="34" t="s">
        <v>1167</v>
      </c>
      <c r="B145" s="34" t="s">
        <v>1167</v>
      </c>
      <c r="C145" s="34" t="s">
        <v>114</v>
      </c>
    </row>
    <row r="146" spans="1:3" ht="16.350000000000001" customHeight="1">
      <c r="A146" s="34" t="s">
        <v>1167</v>
      </c>
      <c r="B146" s="34" t="s">
        <v>1167</v>
      </c>
      <c r="C146" s="34" t="s">
        <v>114</v>
      </c>
    </row>
    <row r="147" spans="1:3" ht="16.350000000000001" customHeight="1">
      <c r="A147" s="34" t="s">
        <v>1168</v>
      </c>
      <c r="B147" s="34" t="s">
        <v>1168</v>
      </c>
      <c r="C147" s="34" t="s">
        <v>114</v>
      </c>
    </row>
    <row r="148" spans="1:3" ht="16.350000000000001" customHeight="1">
      <c r="A148" s="34" t="s">
        <v>1168</v>
      </c>
      <c r="B148" s="34" t="s">
        <v>1168</v>
      </c>
      <c r="C148" s="34" t="s">
        <v>114</v>
      </c>
    </row>
    <row r="149" spans="1:3" ht="16.350000000000001" customHeight="1">
      <c r="A149" s="34" t="s">
        <v>1168</v>
      </c>
      <c r="B149" s="34" t="s">
        <v>1168</v>
      </c>
      <c r="C149" s="34" t="s">
        <v>114</v>
      </c>
    </row>
    <row r="150" spans="1:3" ht="16.350000000000001" customHeight="1">
      <c r="A150" s="34" t="s">
        <v>1169</v>
      </c>
      <c r="B150" s="34" t="s">
        <v>1169</v>
      </c>
      <c r="C150" s="34" t="s">
        <v>114</v>
      </c>
    </row>
    <row r="151" spans="1:3" ht="16.350000000000001" customHeight="1">
      <c r="A151" s="34" t="s">
        <v>2349</v>
      </c>
      <c r="B151" s="34" t="s">
        <v>2349</v>
      </c>
      <c r="C151" s="34" t="s">
        <v>114</v>
      </c>
    </row>
    <row r="152" spans="1:3" ht="16.350000000000001" customHeight="1">
      <c r="A152" s="34" t="s">
        <v>2349</v>
      </c>
      <c r="B152" s="34" t="s">
        <v>2349</v>
      </c>
      <c r="C152" s="34" t="s">
        <v>114</v>
      </c>
    </row>
    <row r="153" spans="1:3" ht="16.350000000000001" customHeight="1">
      <c r="A153" s="34" t="s">
        <v>1171</v>
      </c>
      <c r="B153" s="34" t="s">
        <v>1171</v>
      </c>
      <c r="C153" s="34" t="s">
        <v>114</v>
      </c>
    </row>
    <row r="154" spans="1:3" ht="16.350000000000001" customHeight="1">
      <c r="A154" s="34" t="s">
        <v>1171</v>
      </c>
      <c r="B154" s="34" t="s">
        <v>1171</v>
      </c>
      <c r="C154" s="34" t="s">
        <v>114</v>
      </c>
    </row>
    <row r="155" spans="1:3" ht="16.350000000000001" customHeight="1">
      <c r="A155" s="34" t="s">
        <v>1171</v>
      </c>
      <c r="B155" s="34" t="s">
        <v>1171</v>
      </c>
      <c r="C155" s="34" t="s">
        <v>114</v>
      </c>
    </row>
    <row r="156" spans="1:3" ht="16.350000000000001" customHeight="1">
      <c r="A156" s="34" t="s">
        <v>1171</v>
      </c>
      <c r="B156" s="34" t="s">
        <v>1171</v>
      </c>
      <c r="C156" s="34" t="s">
        <v>114</v>
      </c>
    </row>
    <row r="157" spans="1:3" ht="16.350000000000001" customHeight="1">
      <c r="A157" s="34" t="s">
        <v>1172</v>
      </c>
      <c r="B157" s="34" t="s">
        <v>1172</v>
      </c>
      <c r="C157" s="34" t="s">
        <v>114</v>
      </c>
    </row>
    <row r="158" spans="1:3" ht="16.350000000000001" customHeight="1">
      <c r="A158" s="34" t="s">
        <v>1172</v>
      </c>
      <c r="B158" s="34" t="s">
        <v>1172</v>
      </c>
      <c r="C158" s="34" t="s">
        <v>114</v>
      </c>
    </row>
    <row r="159" spans="1:3" ht="16.350000000000001" customHeight="1">
      <c r="A159" s="34" t="s">
        <v>1172</v>
      </c>
      <c r="B159" s="34" t="s">
        <v>1172</v>
      </c>
      <c r="C159" s="34" t="s">
        <v>114</v>
      </c>
    </row>
    <row r="160" spans="1:3" ht="16.350000000000001" customHeight="1">
      <c r="A160" s="34" t="s">
        <v>1172</v>
      </c>
      <c r="B160" s="34" t="s">
        <v>1172</v>
      </c>
      <c r="C160" s="34" t="s">
        <v>114</v>
      </c>
    </row>
    <row r="161" spans="1:3" ht="16.350000000000001" customHeight="1">
      <c r="A161" s="34" t="s">
        <v>1173</v>
      </c>
      <c r="B161" s="34" t="s">
        <v>1173</v>
      </c>
      <c r="C161" s="34" t="s">
        <v>114</v>
      </c>
    </row>
    <row r="162" spans="1:3" ht="16.350000000000001" customHeight="1">
      <c r="A162" s="34" t="s">
        <v>1173</v>
      </c>
      <c r="B162" s="34" t="s">
        <v>1173</v>
      </c>
      <c r="C162" s="34" t="s">
        <v>114</v>
      </c>
    </row>
    <row r="163" spans="1:3" ht="16.350000000000001" customHeight="1">
      <c r="A163" s="34" t="s">
        <v>1173</v>
      </c>
      <c r="B163" s="34" t="s">
        <v>1173</v>
      </c>
      <c r="C163" s="34" t="s">
        <v>114</v>
      </c>
    </row>
    <row r="164" spans="1:3" ht="16.350000000000001" customHeight="1">
      <c r="A164" s="34" t="s">
        <v>1173</v>
      </c>
      <c r="B164" s="34" t="s">
        <v>1173</v>
      </c>
      <c r="C164" s="34" t="s">
        <v>114</v>
      </c>
    </row>
    <row r="165" spans="1:3" ht="16.350000000000001" customHeight="1">
      <c r="A165" s="34" t="s">
        <v>1174</v>
      </c>
      <c r="B165" s="34" t="s">
        <v>1174</v>
      </c>
      <c r="C165" s="34" t="s">
        <v>114</v>
      </c>
    </row>
    <row r="166" spans="1:3" ht="16.350000000000001" customHeight="1">
      <c r="A166" s="34" t="s">
        <v>1174</v>
      </c>
      <c r="B166" s="34" t="s">
        <v>1174</v>
      </c>
      <c r="C166" s="34" t="s">
        <v>114</v>
      </c>
    </row>
    <row r="167" spans="1:3" ht="16.350000000000001" customHeight="1">
      <c r="A167" s="34" t="s">
        <v>1174</v>
      </c>
      <c r="B167" s="34" t="s">
        <v>1174</v>
      </c>
      <c r="C167" s="34" t="s">
        <v>114</v>
      </c>
    </row>
    <row r="168" spans="1:3" ht="16.350000000000001" customHeight="1">
      <c r="A168" s="34" t="s">
        <v>1174</v>
      </c>
      <c r="B168" s="34" t="s">
        <v>1174</v>
      </c>
      <c r="C168" s="34" t="s">
        <v>114</v>
      </c>
    </row>
    <row r="169" spans="1:3" ht="16.350000000000001" customHeight="1">
      <c r="A169" s="34" t="s">
        <v>1174</v>
      </c>
      <c r="B169" s="34" t="s">
        <v>1174</v>
      </c>
      <c r="C169" s="34" t="s">
        <v>114</v>
      </c>
    </row>
    <row r="170" spans="1:3" ht="16.350000000000001" customHeight="1">
      <c r="A170" s="34" t="s">
        <v>1175</v>
      </c>
      <c r="B170" s="34" t="s">
        <v>1175</v>
      </c>
      <c r="C170" s="34" t="s">
        <v>114</v>
      </c>
    </row>
    <row r="171" spans="1:3" ht="16.350000000000001" customHeight="1">
      <c r="A171" s="34" t="s">
        <v>1175</v>
      </c>
      <c r="B171" s="34" t="s">
        <v>1175</v>
      </c>
      <c r="C171" s="34" t="s">
        <v>114</v>
      </c>
    </row>
    <row r="172" spans="1:3" ht="16.350000000000001" customHeight="1">
      <c r="A172" s="34" t="s">
        <v>1175</v>
      </c>
      <c r="B172" s="34" t="s">
        <v>1175</v>
      </c>
      <c r="C172" s="34" t="s">
        <v>114</v>
      </c>
    </row>
    <row r="173" spans="1:3" ht="16.350000000000001" customHeight="1">
      <c r="A173" s="34" t="s">
        <v>1175</v>
      </c>
      <c r="B173" s="34" t="s">
        <v>1175</v>
      </c>
      <c r="C173" s="34" t="s">
        <v>114</v>
      </c>
    </row>
    <row r="174" spans="1:3" ht="16.350000000000001" customHeight="1">
      <c r="A174" s="34" t="s">
        <v>1175</v>
      </c>
      <c r="B174" s="34" t="s">
        <v>1175</v>
      </c>
      <c r="C174" s="34" t="s">
        <v>114</v>
      </c>
    </row>
    <row r="175" spans="1:3" ht="16.350000000000001" customHeight="1">
      <c r="A175" s="34" t="s">
        <v>1176</v>
      </c>
      <c r="B175" s="34" t="s">
        <v>1176</v>
      </c>
      <c r="C175" s="34" t="s">
        <v>114</v>
      </c>
    </row>
    <row r="176" spans="1:3" ht="16.350000000000001" customHeight="1">
      <c r="A176" s="34" t="s">
        <v>1176</v>
      </c>
      <c r="B176" s="34" t="s">
        <v>1176</v>
      </c>
      <c r="C176" s="34" t="s">
        <v>114</v>
      </c>
    </row>
    <row r="177" spans="1:3" ht="16.350000000000001" customHeight="1">
      <c r="A177" s="34" t="s">
        <v>1176</v>
      </c>
      <c r="B177" s="34" t="s">
        <v>1176</v>
      </c>
      <c r="C177" s="34" t="s">
        <v>114</v>
      </c>
    </row>
    <row r="178" spans="1:3" ht="16.350000000000001" customHeight="1">
      <c r="A178" s="34" t="s">
        <v>1176</v>
      </c>
      <c r="B178" s="34" t="s">
        <v>1176</v>
      </c>
      <c r="C178" s="34" t="s">
        <v>114</v>
      </c>
    </row>
    <row r="179" spans="1:3" ht="16.350000000000001" customHeight="1">
      <c r="A179" s="34" t="s">
        <v>1176</v>
      </c>
      <c r="B179" s="34" t="s">
        <v>1176</v>
      </c>
      <c r="C179" s="34" t="s">
        <v>114</v>
      </c>
    </row>
    <row r="180" spans="1:3" ht="16.350000000000001" customHeight="1">
      <c r="A180" s="34" t="s">
        <v>1177</v>
      </c>
      <c r="B180" s="34" t="s">
        <v>1177</v>
      </c>
      <c r="C180" s="34" t="s">
        <v>114</v>
      </c>
    </row>
    <row r="181" spans="1:3" ht="16.350000000000001" customHeight="1">
      <c r="A181" s="34" t="s">
        <v>1177</v>
      </c>
      <c r="B181" s="34" t="s">
        <v>1177</v>
      </c>
      <c r="C181" s="34" t="s">
        <v>114</v>
      </c>
    </row>
    <row r="182" spans="1:3" ht="16.350000000000001" customHeight="1">
      <c r="A182" s="34" t="s">
        <v>1178</v>
      </c>
      <c r="B182" s="34" t="s">
        <v>1178</v>
      </c>
      <c r="C182" s="34" t="s">
        <v>114</v>
      </c>
    </row>
    <row r="183" spans="1:3" ht="16.350000000000001" customHeight="1">
      <c r="A183" s="34" t="s">
        <v>1178</v>
      </c>
      <c r="B183" s="34" t="s">
        <v>1178</v>
      </c>
      <c r="C183" s="34" t="s">
        <v>114</v>
      </c>
    </row>
    <row r="184" spans="1:3" ht="16.350000000000001" customHeight="1">
      <c r="A184" s="34" t="s">
        <v>1179</v>
      </c>
      <c r="B184" s="34" t="s">
        <v>1179</v>
      </c>
      <c r="C184" s="34" t="s">
        <v>114</v>
      </c>
    </row>
    <row r="185" spans="1:3" ht="16.350000000000001" customHeight="1">
      <c r="A185" s="34" t="s">
        <v>1179</v>
      </c>
      <c r="B185" s="34" t="s">
        <v>1179</v>
      </c>
      <c r="C185" s="34" t="s">
        <v>114</v>
      </c>
    </row>
    <row r="186" spans="1:3" ht="16.350000000000001" customHeight="1">
      <c r="A186" s="34" t="s">
        <v>2350</v>
      </c>
      <c r="B186" s="34" t="s">
        <v>2350</v>
      </c>
      <c r="C186" s="34" t="s">
        <v>114</v>
      </c>
    </row>
    <row r="187" spans="1:3" ht="16.350000000000001" customHeight="1">
      <c r="A187" s="34" t="s">
        <v>2350</v>
      </c>
      <c r="B187" s="34" t="s">
        <v>2350</v>
      </c>
      <c r="C187" s="34" t="s">
        <v>114</v>
      </c>
    </row>
    <row r="188" spans="1:3" ht="16.350000000000001" customHeight="1">
      <c r="A188" s="34" t="s">
        <v>2350</v>
      </c>
      <c r="B188" s="34" t="s">
        <v>2350</v>
      </c>
      <c r="C188" s="34" t="s">
        <v>114</v>
      </c>
    </row>
    <row r="189" spans="1:3" ht="16.350000000000001" customHeight="1">
      <c r="A189" s="34" t="s">
        <v>2351</v>
      </c>
      <c r="B189" s="34" t="s">
        <v>2351</v>
      </c>
      <c r="C189" s="34" t="s">
        <v>114</v>
      </c>
    </row>
    <row r="190" spans="1:3" ht="16.350000000000001" customHeight="1">
      <c r="A190" s="34" t="s">
        <v>2351</v>
      </c>
      <c r="B190" s="34" t="s">
        <v>2351</v>
      </c>
      <c r="C190" s="34" t="s">
        <v>114</v>
      </c>
    </row>
    <row r="191" spans="1:3" ht="16.350000000000001" customHeight="1">
      <c r="A191" s="34" t="s">
        <v>2351</v>
      </c>
      <c r="B191" s="34" t="s">
        <v>2351</v>
      </c>
      <c r="C191" s="34" t="s">
        <v>114</v>
      </c>
    </row>
    <row r="192" spans="1:3" ht="16.350000000000001" customHeight="1">
      <c r="A192" s="34" t="s">
        <v>2352</v>
      </c>
      <c r="B192" s="34" t="s">
        <v>2352</v>
      </c>
      <c r="C192" s="34" t="s">
        <v>114</v>
      </c>
    </row>
    <row r="193" spans="1:3" ht="16.350000000000001" customHeight="1">
      <c r="A193" s="34" t="s">
        <v>2352</v>
      </c>
      <c r="B193" s="34" t="s">
        <v>2352</v>
      </c>
      <c r="C193" s="34" t="s">
        <v>114</v>
      </c>
    </row>
    <row r="194" spans="1:3" ht="16.350000000000001" customHeight="1">
      <c r="A194" s="34" t="s">
        <v>2352</v>
      </c>
      <c r="B194" s="34" t="s">
        <v>2352</v>
      </c>
      <c r="C194" s="34" t="s">
        <v>114</v>
      </c>
    </row>
    <row r="195" spans="1:3" ht="16.350000000000001" customHeight="1">
      <c r="A195" s="37" t="s">
        <v>1146</v>
      </c>
      <c r="B195" s="34" t="s">
        <v>1163</v>
      </c>
      <c r="C195" s="34" t="s">
        <v>74</v>
      </c>
    </row>
    <row r="196" spans="1:3" ht="16.350000000000001" customHeight="1">
      <c r="A196" s="37" t="s">
        <v>1146</v>
      </c>
      <c r="B196" s="34" t="s">
        <v>1163</v>
      </c>
      <c r="C196" s="34" t="s">
        <v>74</v>
      </c>
    </row>
    <row r="197" spans="1:3" ht="16.350000000000001" customHeight="1">
      <c r="A197" s="37" t="s">
        <v>1146</v>
      </c>
      <c r="B197" s="34" t="s">
        <v>1163</v>
      </c>
      <c r="C197" s="34" t="s">
        <v>74</v>
      </c>
    </row>
    <row r="198" spans="1:3" ht="16.350000000000001" customHeight="1">
      <c r="A198" s="37" t="s">
        <v>1146</v>
      </c>
      <c r="B198" s="34" t="s">
        <v>1163</v>
      </c>
      <c r="C198" s="34" t="s">
        <v>74</v>
      </c>
    </row>
    <row r="199" spans="1:3" ht="16.350000000000001" customHeight="1">
      <c r="A199" s="37" t="s">
        <v>1147</v>
      </c>
      <c r="B199" s="34" t="s">
        <v>1164</v>
      </c>
      <c r="C199" s="34" t="s">
        <v>74</v>
      </c>
    </row>
    <row r="200" spans="1:3" ht="16.350000000000001" customHeight="1">
      <c r="A200" s="37" t="s">
        <v>1147</v>
      </c>
      <c r="B200" s="34" t="s">
        <v>1164</v>
      </c>
      <c r="C200" s="34" t="s">
        <v>74</v>
      </c>
    </row>
    <row r="201" spans="1:3" ht="16.350000000000001" customHeight="1">
      <c r="A201" s="37" t="s">
        <v>1148</v>
      </c>
      <c r="B201" s="34" t="s">
        <v>1165</v>
      </c>
      <c r="C201" s="34" t="s">
        <v>74</v>
      </c>
    </row>
    <row r="202" spans="1:3" ht="16.350000000000001" customHeight="1">
      <c r="A202" s="37" t="s">
        <v>1148</v>
      </c>
      <c r="B202" s="34" t="s">
        <v>1165</v>
      </c>
      <c r="C202" s="34" t="s">
        <v>74</v>
      </c>
    </row>
    <row r="203" spans="1:3" ht="16.350000000000001" customHeight="1">
      <c r="A203" s="37" t="s">
        <v>1149</v>
      </c>
      <c r="B203" s="34" t="s">
        <v>1166</v>
      </c>
      <c r="C203" s="34" t="s">
        <v>74</v>
      </c>
    </row>
    <row r="204" spans="1:3" ht="16.350000000000001" customHeight="1">
      <c r="A204" s="37" t="s">
        <v>1149</v>
      </c>
      <c r="B204" s="34" t="s">
        <v>1166</v>
      </c>
      <c r="C204" s="34" t="s">
        <v>74</v>
      </c>
    </row>
    <row r="205" spans="1:3" ht="16.350000000000001" customHeight="1">
      <c r="A205" s="37" t="s">
        <v>1149</v>
      </c>
      <c r="B205" s="34" t="s">
        <v>1166</v>
      </c>
      <c r="C205" s="34" t="s">
        <v>74</v>
      </c>
    </row>
    <row r="206" spans="1:3" ht="16.350000000000001" customHeight="1">
      <c r="A206" s="37" t="s">
        <v>1149</v>
      </c>
      <c r="B206" s="34" t="s">
        <v>1166</v>
      </c>
      <c r="C206" s="34" t="s">
        <v>74</v>
      </c>
    </row>
    <row r="207" spans="1:3" ht="16.350000000000001" customHeight="1">
      <c r="A207" s="37" t="s">
        <v>1150</v>
      </c>
      <c r="B207" s="34" t="s">
        <v>1167</v>
      </c>
      <c r="C207" s="34" t="s">
        <v>74</v>
      </c>
    </row>
    <row r="208" spans="1:3" ht="16.350000000000001" customHeight="1">
      <c r="A208" s="37" t="s">
        <v>1150</v>
      </c>
      <c r="B208" s="34" t="s">
        <v>1167</v>
      </c>
      <c r="C208" s="34" t="s">
        <v>74</v>
      </c>
    </row>
    <row r="209" spans="1:3" ht="16.350000000000001" customHeight="1">
      <c r="A209" s="37" t="s">
        <v>1150</v>
      </c>
      <c r="B209" s="34" t="s">
        <v>1167</v>
      </c>
      <c r="C209" s="34" t="s">
        <v>74</v>
      </c>
    </row>
    <row r="210" spans="1:3" ht="16.350000000000001" customHeight="1">
      <c r="A210" s="37" t="s">
        <v>1151</v>
      </c>
      <c r="B210" s="34" t="s">
        <v>1168</v>
      </c>
      <c r="C210" s="34" t="s">
        <v>74</v>
      </c>
    </row>
    <row r="211" spans="1:3" ht="16.350000000000001" customHeight="1">
      <c r="A211" s="37" t="s">
        <v>1151</v>
      </c>
      <c r="B211" s="34" t="s">
        <v>1168</v>
      </c>
      <c r="C211" s="34" t="s">
        <v>74</v>
      </c>
    </row>
    <row r="212" spans="1:3" ht="16.350000000000001" customHeight="1">
      <c r="A212" s="37" t="s">
        <v>1151</v>
      </c>
      <c r="B212" s="34" t="s">
        <v>1168</v>
      </c>
      <c r="C212" s="34" t="s">
        <v>74</v>
      </c>
    </row>
    <row r="213" spans="1:3" ht="16.350000000000001" customHeight="1">
      <c r="A213" s="37" t="s">
        <v>1152</v>
      </c>
      <c r="B213" s="34" t="s">
        <v>1169</v>
      </c>
      <c r="C213" s="34" t="s">
        <v>74</v>
      </c>
    </row>
    <row r="214" spans="1:3" ht="16.350000000000001" customHeight="1">
      <c r="A214" s="37" t="s">
        <v>1153</v>
      </c>
      <c r="B214" s="34" t="s">
        <v>1170</v>
      </c>
      <c r="C214" s="34" t="s">
        <v>74</v>
      </c>
    </row>
    <row r="215" spans="1:3" ht="16.350000000000001" customHeight="1">
      <c r="A215" s="37" t="s">
        <v>1153</v>
      </c>
      <c r="B215" s="34" t="s">
        <v>1170</v>
      </c>
      <c r="C215" s="34" t="s">
        <v>74</v>
      </c>
    </row>
    <row r="216" spans="1:3" ht="16.350000000000001" customHeight="1">
      <c r="A216" s="37" t="s">
        <v>1154</v>
      </c>
      <c r="B216" s="34" t="s">
        <v>1171</v>
      </c>
      <c r="C216" s="34" t="s">
        <v>74</v>
      </c>
    </row>
    <row r="217" spans="1:3" ht="16.350000000000001" customHeight="1">
      <c r="A217" s="37" t="s">
        <v>1154</v>
      </c>
      <c r="B217" s="34" t="s">
        <v>1171</v>
      </c>
      <c r="C217" s="34" t="s">
        <v>74</v>
      </c>
    </row>
    <row r="218" spans="1:3" ht="16.350000000000001" customHeight="1">
      <c r="A218" s="37" t="s">
        <v>1154</v>
      </c>
      <c r="B218" s="34" t="s">
        <v>1171</v>
      </c>
      <c r="C218" s="34" t="s">
        <v>74</v>
      </c>
    </row>
    <row r="219" spans="1:3" ht="16.350000000000001" customHeight="1">
      <c r="A219" s="37" t="s">
        <v>1154</v>
      </c>
      <c r="B219" s="34" t="s">
        <v>1171</v>
      </c>
      <c r="C219" s="34" t="s">
        <v>74</v>
      </c>
    </row>
    <row r="220" spans="1:3" ht="16.350000000000001" customHeight="1">
      <c r="A220" s="37" t="s">
        <v>1155</v>
      </c>
      <c r="B220" s="34" t="s">
        <v>1172</v>
      </c>
      <c r="C220" s="34" t="s">
        <v>74</v>
      </c>
    </row>
    <row r="221" spans="1:3" ht="16.350000000000001" customHeight="1">
      <c r="A221" s="37" t="s">
        <v>1155</v>
      </c>
      <c r="B221" s="34" t="s">
        <v>1172</v>
      </c>
      <c r="C221" s="34" t="s">
        <v>74</v>
      </c>
    </row>
    <row r="222" spans="1:3" ht="16.350000000000001" customHeight="1">
      <c r="A222" s="37" t="s">
        <v>1155</v>
      </c>
      <c r="B222" s="34" t="s">
        <v>1172</v>
      </c>
      <c r="C222" s="34" t="s">
        <v>74</v>
      </c>
    </row>
    <row r="223" spans="1:3" ht="16.350000000000001" customHeight="1">
      <c r="A223" s="37" t="s">
        <v>1155</v>
      </c>
      <c r="B223" s="34" t="s">
        <v>1172</v>
      </c>
      <c r="C223" s="34" t="s">
        <v>74</v>
      </c>
    </row>
    <row r="224" spans="1:3" ht="16.350000000000001" customHeight="1">
      <c r="A224" s="37" t="s">
        <v>1156</v>
      </c>
      <c r="B224" s="34" t="s">
        <v>1173</v>
      </c>
      <c r="C224" s="34" t="s">
        <v>74</v>
      </c>
    </row>
    <row r="225" spans="1:3" ht="16.350000000000001" customHeight="1">
      <c r="A225" s="37" t="s">
        <v>1156</v>
      </c>
      <c r="B225" s="34" t="s">
        <v>1173</v>
      </c>
      <c r="C225" s="34" t="s">
        <v>74</v>
      </c>
    </row>
    <row r="226" spans="1:3" ht="16.350000000000001" customHeight="1">
      <c r="A226" s="37" t="s">
        <v>1156</v>
      </c>
      <c r="B226" s="34" t="s">
        <v>1173</v>
      </c>
      <c r="C226" s="34" t="s">
        <v>74</v>
      </c>
    </row>
    <row r="227" spans="1:3" ht="16.350000000000001" customHeight="1">
      <c r="A227" s="37" t="s">
        <v>1156</v>
      </c>
      <c r="B227" s="34" t="s">
        <v>1173</v>
      </c>
      <c r="C227" s="34" t="s">
        <v>74</v>
      </c>
    </row>
    <row r="228" spans="1:3" ht="16.350000000000001" customHeight="1">
      <c r="A228" s="37" t="s">
        <v>1157</v>
      </c>
      <c r="B228" s="34" t="s">
        <v>1174</v>
      </c>
      <c r="C228" s="34" t="s">
        <v>74</v>
      </c>
    </row>
    <row r="229" spans="1:3" ht="16.350000000000001" customHeight="1">
      <c r="A229" s="37" t="s">
        <v>1157</v>
      </c>
      <c r="B229" s="34" t="s">
        <v>1174</v>
      </c>
      <c r="C229" s="34" t="s">
        <v>74</v>
      </c>
    </row>
    <row r="230" spans="1:3" ht="16.350000000000001" customHeight="1">
      <c r="A230" s="37" t="s">
        <v>1157</v>
      </c>
      <c r="B230" s="34" t="s">
        <v>1174</v>
      </c>
      <c r="C230" s="34" t="s">
        <v>74</v>
      </c>
    </row>
    <row r="231" spans="1:3" ht="16.350000000000001" customHeight="1">
      <c r="A231" s="37" t="s">
        <v>1157</v>
      </c>
      <c r="B231" s="34" t="s">
        <v>1174</v>
      </c>
      <c r="C231" s="34" t="s">
        <v>74</v>
      </c>
    </row>
    <row r="232" spans="1:3" ht="16.350000000000001" customHeight="1">
      <c r="A232" s="37" t="s">
        <v>1157</v>
      </c>
      <c r="B232" s="34" t="s">
        <v>1174</v>
      </c>
      <c r="C232" s="34" t="s">
        <v>74</v>
      </c>
    </row>
    <row r="233" spans="1:3" ht="16.350000000000001" customHeight="1">
      <c r="A233" s="37" t="s">
        <v>1158</v>
      </c>
      <c r="B233" s="34" t="s">
        <v>1175</v>
      </c>
      <c r="C233" s="34" t="s">
        <v>74</v>
      </c>
    </row>
    <row r="234" spans="1:3" ht="16.350000000000001" customHeight="1">
      <c r="A234" s="37" t="s">
        <v>1158</v>
      </c>
      <c r="B234" s="34" t="s">
        <v>1175</v>
      </c>
      <c r="C234" s="34" t="s">
        <v>74</v>
      </c>
    </row>
    <row r="235" spans="1:3" ht="16.350000000000001" customHeight="1">
      <c r="A235" s="37" t="s">
        <v>1158</v>
      </c>
      <c r="B235" s="34" t="s">
        <v>1175</v>
      </c>
      <c r="C235" s="34" t="s">
        <v>74</v>
      </c>
    </row>
    <row r="236" spans="1:3" ht="16.350000000000001" customHeight="1">
      <c r="A236" s="37" t="s">
        <v>1158</v>
      </c>
      <c r="B236" s="34" t="s">
        <v>1175</v>
      </c>
      <c r="C236" s="34" t="s">
        <v>74</v>
      </c>
    </row>
    <row r="237" spans="1:3" ht="16.350000000000001" customHeight="1">
      <c r="A237" s="37" t="s">
        <v>1158</v>
      </c>
      <c r="B237" s="34" t="s">
        <v>1175</v>
      </c>
      <c r="C237" s="34" t="s">
        <v>74</v>
      </c>
    </row>
    <row r="238" spans="1:3" ht="16.350000000000001" customHeight="1">
      <c r="A238" s="37" t="s">
        <v>1159</v>
      </c>
      <c r="B238" s="34" t="s">
        <v>1176</v>
      </c>
      <c r="C238" s="34" t="s">
        <v>74</v>
      </c>
    </row>
    <row r="239" spans="1:3" ht="16.350000000000001" customHeight="1">
      <c r="A239" s="37" t="s">
        <v>1159</v>
      </c>
      <c r="B239" s="34" t="s">
        <v>1176</v>
      </c>
      <c r="C239" s="34" t="s">
        <v>74</v>
      </c>
    </row>
    <row r="240" spans="1:3" ht="16.350000000000001" customHeight="1">
      <c r="A240" s="37" t="s">
        <v>1159</v>
      </c>
      <c r="B240" s="34" t="s">
        <v>1176</v>
      </c>
      <c r="C240" s="34" t="s">
        <v>74</v>
      </c>
    </row>
    <row r="241" spans="1:3" ht="16.350000000000001" customHeight="1">
      <c r="A241" s="37" t="s">
        <v>1159</v>
      </c>
      <c r="B241" s="34" t="s">
        <v>1176</v>
      </c>
      <c r="C241" s="34" t="s">
        <v>74</v>
      </c>
    </row>
    <row r="242" spans="1:3" ht="16.350000000000001" customHeight="1">
      <c r="A242" s="37" t="s">
        <v>1159</v>
      </c>
      <c r="B242" s="34" t="s">
        <v>1176</v>
      </c>
      <c r="C242" s="34" t="s">
        <v>74</v>
      </c>
    </row>
    <row r="243" spans="1:3" ht="16.350000000000001" customHeight="1">
      <c r="A243" s="37" t="s">
        <v>1160</v>
      </c>
      <c r="B243" s="34" t="s">
        <v>1177</v>
      </c>
      <c r="C243" s="34" t="s">
        <v>74</v>
      </c>
    </row>
    <row r="244" spans="1:3" ht="16.350000000000001" customHeight="1">
      <c r="A244" s="37" t="s">
        <v>1160</v>
      </c>
      <c r="B244" s="34" t="s">
        <v>1177</v>
      </c>
      <c r="C244" s="34" t="s">
        <v>74</v>
      </c>
    </row>
    <row r="245" spans="1:3" ht="16.350000000000001" customHeight="1">
      <c r="A245" s="37" t="s">
        <v>1161</v>
      </c>
      <c r="B245" s="34" t="s">
        <v>1178</v>
      </c>
      <c r="C245" s="34" t="s">
        <v>74</v>
      </c>
    </row>
    <row r="246" spans="1:3" ht="16.350000000000001" customHeight="1">
      <c r="A246" s="37" t="s">
        <v>1161</v>
      </c>
      <c r="B246" s="34" t="s">
        <v>1178</v>
      </c>
      <c r="C246" s="34" t="s">
        <v>74</v>
      </c>
    </row>
    <row r="247" spans="1:3" ht="16.350000000000001" customHeight="1">
      <c r="A247" s="37" t="s">
        <v>1162</v>
      </c>
      <c r="B247" s="34" t="s">
        <v>1179</v>
      </c>
      <c r="C247" s="34" t="s">
        <v>74</v>
      </c>
    </row>
    <row r="248" spans="1:3" ht="16.350000000000001" customHeight="1">
      <c r="A248" s="37" t="s">
        <v>1162</v>
      </c>
      <c r="B248" s="34" t="s">
        <v>1179</v>
      </c>
      <c r="C248" s="34" t="s">
        <v>74</v>
      </c>
    </row>
    <row r="249" spans="1:3" ht="16.350000000000001" customHeight="1">
      <c r="A249" s="37" t="s">
        <v>2353</v>
      </c>
      <c r="B249" s="34" t="s">
        <v>2350</v>
      </c>
      <c r="C249" s="34" t="s">
        <v>74</v>
      </c>
    </row>
    <row r="250" spans="1:3" ht="16.350000000000001" customHeight="1">
      <c r="A250" s="37" t="s">
        <v>2353</v>
      </c>
      <c r="B250" s="34" t="s">
        <v>2350</v>
      </c>
      <c r="C250" s="34" t="s">
        <v>74</v>
      </c>
    </row>
    <row r="251" spans="1:3" ht="16.350000000000001" customHeight="1">
      <c r="A251" s="37" t="s">
        <v>2353</v>
      </c>
      <c r="B251" s="34" t="s">
        <v>2350</v>
      </c>
      <c r="C251" s="34" t="s">
        <v>74</v>
      </c>
    </row>
    <row r="252" spans="1:3" ht="16.350000000000001" customHeight="1">
      <c r="A252" s="37" t="s">
        <v>2354</v>
      </c>
      <c r="B252" s="34" t="s">
        <v>2351</v>
      </c>
      <c r="C252" s="34" t="s">
        <v>74</v>
      </c>
    </row>
    <row r="253" spans="1:3" ht="16.350000000000001" customHeight="1">
      <c r="A253" s="37" t="s">
        <v>2354</v>
      </c>
      <c r="B253" s="34" t="s">
        <v>2351</v>
      </c>
      <c r="C253" s="34" t="s">
        <v>74</v>
      </c>
    </row>
    <row r="254" spans="1:3" ht="16.350000000000001" customHeight="1">
      <c r="A254" s="37" t="s">
        <v>2354</v>
      </c>
      <c r="B254" s="34" t="s">
        <v>2351</v>
      </c>
      <c r="C254" s="34" t="s">
        <v>74</v>
      </c>
    </row>
    <row r="255" spans="1:3" ht="16.350000000000001" customHeight="1">
      <c r="A255" s="37" t="s">
        <v>2355</v>
      </c>
      <c r="B255" s="34" t="s">
        <v>2352</v>
      </c>
      <c r="C255" s="34" t="s">
        <v>74</v>
      </c>
    </row>
    <row r="256" spans="1:3" ht="16.350000000000001" customHeight="1">
      <c r="A256" s="37" t="s">
        <v>2355</v>
      </c>
      <c r="B256" s="34" t="s">
        <v>2352</v>
      </c>
      <c r="C256" s="34" t="s">
        <v>74</v>
      </c>
    </row>
    <row r="257" spans="1:4" ht="16.350000000000001" customHeight="1">
      <c r="A257" s="37" t="s">
        <v>2355</v>
      </c>
      <c r="B257" s="34" t="s">
        <v>2352</v>
      </c>
      <c r="C257" s="34" t="s">
        <v>74</v>
      </c>
    </row>
    <row r="258" spans="1:4" ht="16.350000000000001" customHeight="1">
      <c r="A258" s="34" t="s">
        <v>1189</v>
      </c>
      <c r="B258" s="34" t="s">
        <v>1163</v>
      </c>
      <c r="C258" s="34" t="s">
        <v>75</v>
      </c>
      <c r="D258" s="34" t="s">
        <v>1244</v>
      </c>
    </row>
    <row r="259" spans="1:4" ht="16.350000000000001" customHeight="1">
      <c r="A259" s="34" t="s">
        <v>1189</v>
      </c>
      <c r="B259" s="34" t="s">
        <v>1163</v>
      </c>
      <c r="C259" s="34" t="s">
        <v>75</v>
      </c>
      <c r="D259" s="34" t="s">
        <v>1245</v>
      </c>
    </row>
    <row r="260" spans="1:4" ht="16.350000000000001" customHeight="1">
      <c r="A260" s="34" t="s">
        <v>1189</v>
      </c>
      <c r="B260" s="34" t="s">
        <v>1163</v>
      </c>
      <c r="C260" s="34" t="s">
        <v>75</v>
      </c>
    </row>
    <row r="261" spans="1:4" ht="16.350000000000001" customHeight="1">
      <c r="A261" s="34" t="s">
        <v>1189</v>
      </c>
      <c r="B261" s="34" t="s">
        <v>1163</v>
      </c>
      <c r="C261" s="34" t="s">
        <v>75</v>
      </c>
    </row>
    <row r="262" spans="1:4" ht="16.350000000000001" customHeight="1">
      <c r="A262" s="34" t="s">
        <v>2199</v>
      </c>
      <c r="B262" s="34" t="s">
        <v>1164</v>
      </c>
      <c r="C262" s="34" t="s">
        <v>75</v>
      </c>
    </row>
    <row r="263" spans="1:4" ht="16.350000000000001" customHeight="1">
      <c r="A263" s="34" t="s">
        <v>2199</v>
      </c>
      <c r="B263" s="34" t="s">
        <v>1164</v>
      </c>
      <c r="C263" s="34" t="s">
        <v>75</v>
      </c>
    </row>
    <row r="264" spans="1:4" ht="16.350000000000001" customHeight="1">
      <c r="A264" s="34" t="s">
        <v>2204</v>
      </c>
      <c r="B264" s="34" t="s">
        <v>1165</v>
      </c>
      <c r="C264" s="34" t="s">
        <v>75</v>
      </c>
    </row>
    <row r="265" spans="1:4" ht="16.350000000000001" customHeight="1">
      <c r="A265" s="34" t="s">
        <v>2204</v>
      </c>
      <c r="B265" s="34" t="s">
        <v>1165</v>
      </c>
      <c r="C265" s="34" t="s">
        <v>75</v>
      </c>
    </row>
    <row r="266" spans="1:4" ht="16.350000000000001" customHeight="1">
      <c r="A266" s="34" t="s">
        <v>1190</v>
      </c>
      <c r="B266" s="34" t="s">
        <v>1166</v>
      </c>
      <c r="C266" s="34" t="s">
        <v>75</v>
      </c>
    </row>
    <row r="267" spans="1:4" ht="16.350000000000001" customHeight="1">
      <c r="A267" s="34" t="s">
        <v>1190</v>
      </c>
      <c r="B267" s="34" t="s">
        <v>1166</v>
      </c>
      <c r="C267" s="34" t="s">
        <v>75</v>
      </c>
    </row>
    <row r="268" spans="1:4" ht="16.350000000000001" customHeight="1">
      <c r="A268" s="34" t="s">
        <v>1190</v>
      </c>
      <c r="B268" s="34" t="s">
        <v>1166</v>
      </c>
      <c r="C268" s="34" t="s">
        <v>75</v>
      </c>
    </row>
    <row r="269" spans="1:4" ht="16.350000000000001" customHeight="1">
      <c r="A269" s="34" t="s">
        <v>1190</v>
      </c>
      <c r="B269" s="34" t="s">
        <v>1166</v>
      </c>
      <c r="C269" s="34" t="s">
        <v>75</v>
      </c>
    </row>
    <row r="270" spans="1:4" ht="16.350000000000001" customHeight="1">
      <c r="A270" s="34" t="s">
        <v>2200</v>
      </c>
      <c r="B270" s="34" t="s">
        <v>1167</v>
      </c>
      <c r="C270" s="34" t="s">
        <v>75</v>
      </c>
    </row>
    <row r="271" spans="1:4" ht="16.350000000000001" customHeight="1">
      <c r="A271" s="34" t="s">
        <v>2200</v>
      </c>
      <c r="B271" s="34" t="s">
        <v>1167</v>
      </c>
      <c r="C271" s="34" t="s">
        <v>75</v>
      </c>
    </row>
    <row r="272" spans="1:4" ht="16.350000000000001" customHeight="1">
      <c r="A272" s="34" t="s">
        <v>2200</v>
      </c>
      <c r="B272" s="34" t="s">
        <v>1167</v>
      </c>
      <c r="C272" s="34" t="s">
        <v>75</v>
      </c>
    </row>
    <row r="273" spans="1:3" ht="16.350000000000001" customHeight="1">
      <c r="A273" s="34" t="s">
        <v>2205</v>
      </c>
      <c r="B273" s="34" t="s">
        <v>1168</v>
      </c>
      <c r="C273" s="34" t="s">
        <v>75</v>
      </c>
    </row>
    <row r="274" spans="1:3" ht="16.350000000000001" customHeight="1">
      <c r="A274" s="34" t="s">
        <v>2205</v>
      </c>
      <c r="B274" s="34" t="s">
        <v>1168</v>
      </c>
      <c r="C274" s="34" t="s">
        <v>75</v>
      </c>
    </row>
    <row r="275" spans="1:3" ht="16.350000000000001" customHeight="1">
      <c r="A275" s="34" t="s">
        <v>2205</v>
      </c>
      <c r="B275" s="34" t="s">
        <v>1168</v>
      </c>
      <c r="C275" s="34" t="s">
        <v>75</v>
      </c>
    </row>
    <row r="276" spans="1:3" ht="16.350000000000001" customHeight="1">
      <c r="A276" s="34" t="s">
        <v>1191</v>
      </c>
      <c r="B276" s="34" t="s">
        <v>1169</v>
      </c>
      <c r="C276" s="34" t="s">
        <v>75</v>
      </c>
    </row>
    <row r="277" spans="1:3" ht="16.350000000000001" customHeight="1">
      <c r="A277" s="34" t="s">
        <v>2356</v>
      </c>
      <c r="B277" s="34" t="s">
        <v>2349</v>
      </c>
      <c r="C277" s="34" t="s">
        <v>75</v>
      </c>
    </row>
    <row r="278" spans="1:3" ht="16.350000000000001" customHeight="1">
      <c r="A278" s="34" t="s">
        <v>2356</v>
      </c>
      <c r="B278" s="34" t="s">
        <v>2349</v>
      </c>
      <c r="C278" s="34" t="s">
        <v>75</v>
      </c>
    </row>
    <row r="279" spans="1:3" ht="16.350000000000001" customHeight="1">
      <c r="A279" s="34" t="s">
        <v>1192</v>
      </c>
      <c r="B279" s="34" t="s">
        <v>1171</v>
      </c>
      <c r="C279" s="34" t="s">
        <v>75</v>
      </c>
    </row>
    <row r="280" spans="1:3" ht="16.350000000000001" customHeight="1">
      <c r="A280" s="34" t="s">
        <v>1192</v>
      </c>
      <c r="B280" s="34" t="s">
        <v>1171</v>
      </c>
      <c r="C280" s="34" t="s">
        <v>75</v>
      </c>
    </row>
    <row r="281" spans="1:3" ht="16.350000000000001" customHeight="1">
      <c r="A281" s="34" t="s">
        <v>1192</v>
      </c>
      <c r="B281" s="34" t="s">
        <v>1171</v>
      </c>
      <c r="C281" s="34" t="s">
        <v>75</v>
      </c>
    </row>
    <row r="282" spans="1:3" ht="16.350000000000001" customHeight="1">
      <c r="A282" s="34" t="s">
        <v>1192</v>
      </c>
      <c r="B282" s="34" t="s">
        <v>1171</v>
      </c>
      <c r="C282" s="34" t="s">
        <v>75</v>
      </c>
    </row>
    <row r="283" spans="1:3" ht="16.350000000000001" customHeight="1">
      <c r="A283" s="34" t="s">
        <v>2201</v>
      </c>
      <c r="B283" s="34" t="s">
        <v>1172</v>
      </c>
      <c r="C283" s="34" t="s">
        <v>75</v>
      </c>
    </row>
    <row r="284" spans="1:3" ht="16.350000000000001" customHeight="1">
      <c r="A284" s="34" t="s">
        <v>2201</v>
      </c>
      <c r="B284" s="34" t="s">
        <v>1172</v>
      </c>
      <c r="C284" s="34" t="s">
        <v>75</v>
      </c>
    </row>
    <row r="285" spans="1:3" ht="16.350000000000001" customHeight="1">
      <c r="A285" s="34" t="s">
        <v>2201</v>
      </c>
      <c r="B285" s="34" t="s">
        <v>1172</v>
      </c>
      <c r="C285" s="34" t="s">
        <v>75</v>
      </c>
    </row>
    <row r="286" spans="1:3" ht="16.350000000000001" customHeight="1">
      <c r="A286" s="34" t="s">
        <v>2201</v>
      </c>
      <c r="B286" s="34" t="s">
        <v>1172</v>
      </c>
      <c r="C286" s="34" t="s">
        <v>75</v>
      </c>
    </row>
    <row r="287" spans="1:3" ht="16.350000000000001" customHeight="1">
      <c r="A287" s="34" t="s">
        <v>2206</v>
      </c>
      <c r="B287" s="34" t="s">
        <v>1173</v>
      </c>
      <c r="C287" s="34" t="s">
        <v>75</v>
      </c>
    </row>
    <row r="288" spans="1:3" ht="16.350000000000001" customHeight="1">
      <c r="A288" s="34" t="s">
        <v>2206</v>
      </c>
      <c r="B288" s="34" t="s">
        <v>1173</v>
      </c>
      <c r="C288" s="34" t="s">
        <v>75</v>
      </c>
    </row>
    <row r="289" spans="1:3" ht="16.350000000000001" customHeight="1">
      <c r="A289" s="34" t="s">
        <v>2206</v>
      </c>
      <c r="B289" s="34" t="s">
        <v>1173</v>
      </c>
      <c r="C289" s="34" t="s">
        <v>75</v>
      </c>
    </row>
    <row r="290" spans="1:3" ht="16.350000000000001" customHeight="1">
      <c r="A290" s="34" t="s">
        <v>2206</v>
      </c>
      <c r="B290" s="34" t="s">
        <v>1173</v>
      </c>
      <c r="C290" s="34" t="s">
        <v>75</v>
      </c>
    </row>
    <row r="291" spans="1:3" ht="16.350000000000001" customHeight="1">
      <c r="A291" s="34" t="s">
        <v>1193</v>
      </c>
      <c r="B291" s="34" t="s">
        <v>1174</v>
      </c>
      <c r="C291" s="34" t="s">
        <v>75</v>
      </c>
    </row>
    <row r="292" spans="1:3" ht="16.350000000000001" customHeight="1">
      <c r="A292" s="34" t="s">
        <v>1193</v>
      </c>
      <c r="B292" s="34" t="s">
        <v>1174</v>
      </c>
      <c r="C292" s="34" t="s">
        <v>75</v>
      </c>
    </row>
    <row r="293" spans="1:3" ht="16.350000000000001" customHeight="1">
      <c r="A293" s="34" t="s">
        <v>1193</v>
      </c>
      <c r="B293" s="34" t="s">
        <v>1174</v>
      </c>
      <c r="C293" s="34" t="s">
        <v>75</v>
      </c>
    </row>
    <row r="294" spans="1:3" ht="16.350000000000001" customHeight="1">
      <c r="A294" s="34" t="s">
        <v>1193</v>
      </c>
      <c r="B294" s="34" t="s">
        <v>1174</v>
      </c>
      <c r="C294" s="34" t="s">
        <v>75</v>
      </c>
    </row>
    <row r="295" spans="1:3" ht="16.350000000000001" customHeight="1">
      <c r="A295" s="34" t="s">
        <v>1193</v>
      </c>
      <c r="B295" s="34" t="s">
        <v>1174</v>
      </c>
      <c r="C295" s="34" t="s">
        <v>75</v>
      </c>
    </row>
    <row r="296" spans="1:3" ht="16.350000000000001" customHeight="1">
      <c r="A296" s="34" t="s">
        <v>2202</v>
      </c>
      <c r="B296" s="34" t="s">
        <v>1175</v>
      </c>
      <c r="C296" s="34" t="s">
        <v>75</v>
      </c>
    </row>
    <row r="297" spans="1:3" ht="16.350000000000001" customHeight="1">
      <c r="A297" s="34" t="s">
        <v>2202</v>
      </c>
      <c r="B297" s="34" t="s">
        <v>1175</v>
      </c>
      <c r="C297" s="34" t="s">
        <v>75</v>
      </c>
    </row>
    <row r="298" spans="1:3" ht="16.350000000000001" customHeight="1">
      <c r="A298" s="34" t="s">
        <v>2202</v>
      </c>
      <c r="B298" s="34" t="s">
        <v>1175</v>
      </c>
      <c r="C298" s="34" t="s">
        <v>75</v>
      </c>
    </row>
    <row r="299" spans="1:3" ht="16.350000000000001" customHeight="1">
      <c r="A299" s="34" t="s">
        <v>2202</v>
      </c>
      <c r="B299" s="34" t="s">
        <v>1175</v>
      </c>
      <c r="C299" s="34" t="s">
        <v>75</v>
      </c>
    </row>
    <row r="300" spans="1:3" ht="16.350000000000001" customHeight="1">
      <c r="A300" s="34" t="s">
        <v>2202</v>
      </c>
      <c r="B300" s="34" t="s">
        <v>1175</v>
      </c>
      <c r="C300" s="34" t="s">
        <v>75</v>
      </c>
    </row>
    <row r="301" spans="1:3" ht="16.350000000000001" customHeight="1">
      <c r="A301" s="34" t="s">
        <v>2207</v>
      </c>
      <c r="B301" s="34" t="s">
        <v>1176</v>
      </c>
      <c r="C301" s="34" t="s">
        <v>75</v>
      </c>
    </row>
    <row r="302" spans="1:3" ht="16.350000000000001" customHeight="1">
      <c r="A302" s="34" t="s">
        <v>2207</v>
      </c>
      <c r="B302" s="34" t="s">
        <v>1176</v>
      </c>
      <c r="C302" s="34" t="s">
        <v>75</v>
      </c>
    </row>
    <row r="303" spans="1:3" ht="16.350000000000001" customHeight="1">
      <c r="A303" s="34" t="s">
        <v>2207</v>
      </c>
      <c r="B303" s="34" t="s">
        <v>1176</v>
      </c>
      <c r="C303" s="34" t="s">
        <v>75</v>
      </c>
    </row>
    <row r="304" spans="1:3" ht="16.350000000000001" customHeight="1">
      <c r="A304" s="34" t="s">
        <v>2207</v>
      </c>
      <c r="B304" s="34" t="s">
        <v>1176</v>
      </c>
      <c r="C304" s="34" t="s">
        <v>75</v>
      </c>
    </row>
    <row r="305" spans="1:3" ht="16.350000000000001" customHeight="1">
      <c r="A305" s="34" t="s">
        <v>2207</v>
      </c>
      <c r="B305" s="34" t="s">
        <v>1176</v>
      </c>
      <c r="C305" s="34" t="s">
        <v>75</v>
      </c>
    </row>
    <row r="306" spans="1:3" ht="16.350000000000001" customHeight="1">
      <c r="A306" s="34" t="s">
        <v>1194</v>
      </c>
      <c r="B306" s="34" t="s">
        <v>1177</v>
      </c>
      <c r="C306" s="34" t="s">
        <v>75</v>
      </c>
    </row>
    <row r="307" spans="1:3" ht="16.350000000000001" customHeight="1">
      <c r="A307" s="34" t="s">
        <v>1194</v>
      </c>
      <c r="B307" s="34" t="s">
        <v>1177</v>
      </c>
      <c r="C307" s="34" t="s">
        <v>75</v>
      </c>
    </row>
    <row r="308" spans="1:3" ht="16.350000000000001" customHeight="1">
      <c r="A308" s="34" t="s">
        <v>2203</v>
      </c>
      <c r="B308" s="34" t="s">
        <v>1178</v>
      </c>
      <c r="C308" s="34" t="s">
        <v>75</v>
      </c>
    </row>
    <row r="309" spans="1:3" ht="16.350000000000001" customHeight="1">
      <c r="A309" s="34" t="s">
        <v>2203</v>
      </c>
      <c r="B309" s="34" t="s">
        <v>1178</v>
      </c>
      <c r="C309" s="34" t="s">
        <v>75</v>
      </c>
    </row>
    <row r="310" spans="1:3" ht="16.350000000000001" customHeight="1">
      <c r="A310" s="34" t="s">
        <v>2208</v>
      </c>
      <c r="B310" s="34" t="s">
        <v>1179</v>
      </c>
      <c r="C310" s="34" t="s">
        <v>75</v>
      </c>
    </row>
    <row r="311" spans="1:3" ht="16.350000000000001" customHeight="1">
      <c r="A311" s="34" t="s">
        <v>2208</v>
      </c>
      <c r="B311" s="34" t="s">
        <v>1179</v>
      </c>
      <c r="C311" s="34" t="s">
        <v>75</v>
      </c>
    </row>
    <row r="312" spans="1:3" ht="16.350000000000001" customHeight="1">
      <c r="A312" s="34" t="s">
        <v>2357</v>
      </c>
      <c r="B312" s="34" t="s">
        <v>2350</v>
      </c>
      <c r="C312" s="34" t="s">
        <v>75</v>
      </c>
    </row>
    <row r="313" spans="1:3" ht="16.350000000000001" customHeight="1">
      <c r="A313" s="34" t="s">
        <v>2357</v>
      </c>
      <c r="B313" s="34" t="s">
        <v>2350</v>
      </c>
      <c r="C313" s="34" t="s">
        <v>75</v>
      </c>
    </row>
    <row r="314" spans="1:3" ht="16.350000000000001" customHeight="1">
      <c r="A314" s="34" t="s">
        <v>2357</v>
      </c>
      <c r="B314" s="34" t="s">
        <v>2350</v>
      </c>
      <c r="C314" s="34" t="s">
        <v>75</v>
      </c>
    </row>
    <row r="315" spans="1:3" ht="16.350000000000001" customHeight="1">
      <c r="A315" s="34" t="s">
        <v>2358</v>
      </c>
      <c r="B315" s="34" t="s">
        <v>2351</v>
      </c>
      <c r="C315" s="34" t="s">
        <v>75</v>
      </c>
    </row>
    <row r="316" spans="1:3" ht="16.350000000000001" customHeight="1">
      <c r="A316" s="34" t="s">
        <v>2358</v>
      </c>
      <c r="B316" s="34" t="s">
        <v>2351</v>
      </c>
      <c r="C316" s="34" t="s">
        <v>75</v>
      </c>
    </row>
    <row r="317" spans="1:3" ht="16.350000000000001" customHeight="1">
      <c r="A317" s="34" t="s">
        <v>2358</v>
      </c>
      <c r="B317" s="34" t="s">
        <v>2351</v>
      </c>
      <c r="C317" s="34" t="s">
        <v>75</v>
      </c>
    </row>
    <row r="318" spans="1:3" ht="16.350000000000001" customHeight="1">
      <c r="A318" s="34" t="s">
        <v>2359</v>
      </c>
      <c r="B318" s="34" t="s">
        <v>2352</v>
      </c>
      <c r="C318" s="34" t="s">
        <v>75</v>
      </c>
    </row>
    <row r="319" spans="1:3" ht="16.350000000000001" customHeight="1">
      <c r="A319" s="34" t="s">
        <v>2359</v>
      </c>
      <c r="B319" s="34" t="s">
        <v>2352</v>
      </c>
      <c r="C319" s="34" t="s">
        <v>75</v>
      </c>
    </row>
    <row r="320" spans="1:3" ht="16.350000000000001" customHeight="1">
      <c r="A320" s="34" t="s">
        <v>2359</v>
      </c>
      <c r="B320" s="34" t="s">
        <v>2352</v>
      </c>
      <c r="C320" s="34" t="s">
        <v>75</v>
      </c>
    </row>
    <row r="321" spans="1:3" ht="16.350000000000001" customHeight="1">
      <c r="A321" s="34" t="s">
        <v>1579</v>
      </c>
      <c r="B321" s="34" t="s">
        <v>1163</v>
      </c>
      <c r="C321" s="34" t="s">
        <v>1578</v>
      </c>
    </row>
    <row r="322" spans="1:3" ht="16.350000000000001" customHeight="1">
      <c r="A322" s="34" t="s">
        <v>1579</v>
      </c>
      <c r="B322" s="34" t="s">
        <v>1163</v>
      </c>
      <c r="C322" s="34" t="s">
        <v>1578</v>
      </c>
    </row>
    <row r="323" spans="1:3" ht="16.350000000000001" customHeight="1">
      <c r="A323" s="34" t="s">
        <v>1579</v>
      </c>
      <c r="B323" s="34" t="s">
        <v>1163</v>
      </c>
      <c r="C323" s="34" t="s">
        <v>1578</v>
      </c>
    </row>
    <row r="324" spans="1:3" ht="16.350000000000001" customHeight="1">
      <c r="A324" s="34" t="s">
        <v>1579</v>
      </c>
      <c r="B324" s="34" t="s">
        <v>1163</v>
      </c>
      <c r="C324" s="34" t="s">
        <v>1578</v>
      </c>
    </row>
    <row r="325" spans="1:3" ht="16.350000000000001" customHeight="1">
      <c r="A325" s="34" t="s">
        <v>1585</v>
      </c>
      <c r="B325" s="34" t="s">
        <v>1164</v>
      </c>
      <c r="C325" s="34" t="s">
        <v>1578</v>
      </c>
    </row>
    <row r="326" spans="1:3" ht="16.350000000000001" customHeight="1">
      <c r="A326" s="34" t="s">
        <v>1585</v>
      </c>
      <c r="B326" s="34" t="s">
        <v>1164</v>
      </c>
      <c r="C326" s="34" t="s">
        <v>1578</v>
      </c>
    </row>
    <row r="327" spans="1:3" ht="16.350000000000001" customHeight="1">
      <c r="A327" s="34" t="s">
        <v>1590</v>
      </c>
      <c r="B327" s="34" t="s">
        <v>1165</v>
      </c>
      <c r="C327" s="34" t="s">
        <v>1578</v>
      </c>
    </row>
    <row r="328" spans="1:3" ht="16.350000000000001" customHeight="1">
      <c r="A328" s="34" t="s">
        <v>1590</v>
      </c>
      <c r="B328" s="34" t="s">
        <v>1165</v>
      </c>
      <c r="C328" s="34" t="s">
        <v>1578</v>
      </c>
    </row>
    <row r="329" spans="1:3" ht="16.350000000000001" customHeight="1">
      <c r="A329" s="34" t="s">
        <v>1580</v>
      </c>
      <c r="B329" s="34" t="s">
        <v>1166</v>
      </c>
      <c r="C329" s="34" t="s">
        <v>1578</v>
      </c>
    </row>
    <row r="330" spans="1:3" ht="16.350000000000001" customHeight="1">
      <c r="A330" s="34" t="s">
        <v>1580</v>
      </c>
      <c r="B330" s="34" t="s">
        <v>1166</v>
      </c>
      <c r="C330" s="34" t="s">
        <v>1578</v>
      </c>
    </row>
    <row r="331" spans="1:3" ht="16.350000000000001" customHeight="1">
      <c r="A331" s="34" t="s">
        <v>1580</v>
      </c>
      <c r="B331" s="34" t="s">
        <v>1166</v>
      </c>
      <c r="C331" s="34" t="s">
        <v>1578</v>
      </c>
    </row>
    <row r="332" spans="1:3" ht="16.350000000000001" customHeight="1">
      <c r="A332" s="34" t="s">
        <v>1580</v>
      </c>
      <c r="B332" s="34" t="s">
        <v>1166</v>
      </c>
      <c r="C332" s="34" t="s">
        <v>1578</v>
      </c>
    </row>
    <row r="333" spans="1:3" ht="16.350000000000001" customHeight="1">
      <c r="A333" s="34" t="s">
        <v>1586</v>
      </c>
      <c r="B333" s="34" t="s">
        <v>1167</v>
      </c>
      <c r="C333" s="34" t="s">
        <v>1578</v>
      </c>
    </row>
    <row r="334" spans="1:3" ht="16.350000000000001" customHeight="1">
      <c r="A334" s="34" t="s">
        <v>1586</v>
      </c>
      <c r="B334" s="34" t="s">
        <v>1167</v>
      </c>
      <c r="C334" s="34" t="s">
        <v>1578</v>
      </c>
    </row>
    <row r="335" spans="1:3" ht="16.350000000000001" customHeight="1">
      <c r="A335" s="34" t="s">
        <v>1586</v>
      </c>
      <c r="B335" s="34" t="s">
        <v>1167</v>
      </c>
      <c r="C335" s="34" t="s">
        <v>1578</v>
      </c>
    </row>
    <row r="336" spans="1:3" ht="16.350000000000001" customHeight="1">
      <c r="A336" s="34" t="s">
        <v>1591</v>
      </c>
      <c r="B336" s="34" t="s">
        <v>1168</v>
      </c>
      <c r="C336" s="34" t="s">
        <v>1578</v>
      </c>
    </row>
    <row r="337" spans="1:3" ht="16.350000000000001" customHeight="1">
      <c r="A337" s="34" t="s">
        <v>1591</v>
      </c>
      <c r="B337" s="34" t="s">
        <v>1168</v>
      </c>
      <c r="C337" s="34" t="s">
        <v>1578</v>
      </c>
    </row>
    <row r="338" spans="1:3" ht="16.350000000000001" customHeight="1">
      <c r="A338" s="34" t="s">
        <v>1591</v>
      </c>
      <c r="B338" s="34" t="s">
        <v>1168</v>
      </c>
      <c r="C338" s="34" t="s">
        <v>1578</v>
      </c>
    </row>
    <row r="339" spans="1:3" ht="16.350000000000001" customHeight="1">
      <c r="A339" s="34" t="s">
        <v>1581</v>
      </c>
      <c r="B339" s="34" t="s">
        <v>1169</v>
      </c>
      <c r="C339" s="34" t="s">
        <v>1578</v>
      </c>
    </row>
    <row r="340" spans="1:3" ht="16.350000000000001" customHeight="1">
      <c r="A340" s="34" t="s">
        <v>2360</v>
      </c>
      <c r="B340" s="34" t="s">
        <v>2349</v>
      </c>
      <c r="C340" s="34" t="s">
        <v>1578</v>
      </c>
    </row>
    <row r="341" spans="1:3" ht="16.350000000000001" customHeight="1">
      <c r="A341" s="34" t="s">
        <v>2360</v>
      </c>
      <c r="B341" s="34" t="s">
        <v>2349</v>
      </c>
      <c r="C341" s="34" t="s">
        <v>1578</v>
      </c>
    </row>
    <row r="342" spans="1:3" ht="16.350000000000001" customHeight="1">
      <c r="A342" s="34" t="s">
        <v>1582</v>
      </c>
      <c r="B342" s="34" t="s">
        <v>1171</v>
      </c>
      <c r="C342" s="34" t="s">
        <v>1578</v>
      </c>
    </row>
    <row r="343" spans="1:3" ht="16.350000000000001" customHeight="1">
      <c r="A343" s="34" t="s">
        <v>1582</v>
      </c>
      <c r="B343" s="34" t="s">
        <v>1171</v>
      </c>
      <c r="C343" s="34" t="s">
        <v>1578</v>
      </c>
    </row>
    <row r="344" spans="1:3" ht="16.350000000000001" customHeight="1">
      <c r="A344" s="34" t="s">
        <v>1582</v>
      </c>
      <c r="B344" s="34" t="s">
        <v>1171</v>
      </c>
      <c r="C344" s="34" t="s">
        <v>1578</v>
      </c>
    </row>
    <row r="345" spans="1:3" ht="16.350000000000001" customHeight="1">
      <c r="A345" s="34" t="s">
        <v>1582</v>
      </c>
      <c r="B345" s="34" t="s">
        <v>1171</v>
      </c>
      <c r="C345" s="34" t="s">
        <v>1578</v>
      </c>
    </row>
    <row r="346" spans="1:3" ht="16.350000000000001" customHeight="1">
      <c r="A346" s="34" t="s">
        <v>1587</v>
      </c>
      <c r="B346" s="34" t="s">
        <v>1172</v>
      </c>
      <c r="C346" s="34" t="s">
        <v>1578</v>
      </c>
    </row>
    <row r="347" spans="1:3" ht="16.350000000000001" customHeight="1">
      <c r="A347" s="34" t="s">
        <v>1587</v>
      </c>
      <c r="B347" s="34" t="s">
        <v>1172</v>
      </c>
      <c r="C347" s="34" t="s">
        <v>1578</v>
      </c>
    </row>
    <row r="348" spans="1:3" ht="16.350000000000001" customHeight="1">
      <c r="A348" s="34" t="s">
        <v>1587</v>
      </c>
      <c r="B348" s="34" t="s">
        <v>1172</v>
      </c>
      <c r="C348" s="34" t="s">
        <v>1578</v>
      </c>
    </row>
    <row r="349" spans="1:3" ht="16.350000000000001" customHeight="1">
      <c r="A349" s="34" t="s">
        <v>1587</v>
      </c>
      <c r="B349" s="34" t="s">
        <v>1172</v>
      </c>
      <c r="C349" s="34" t="s">
        <v>1578</v>
      </c>
    </row>
    <row r="350" spans="1:3" ht="16.350000000000001" customHeight="1">
      <c r="A350" s="34" t="s">
        <v>1592</v>
      </c>
      <c r="B350" s="34" t="s">
        <v>1173</v>
      </c>
      <c r="C350" s="34" t="s">
        <v>1578</v>
      </c>
    </row>
    <row r="351" spans="1:3" ht="16.350000000000001" customHeight="1">
      <c r="A351" s="34" t="s">
        <v>1592</v>
      </c>
      <c r="B351" s="34" t="s">
        <v>1173</v>
      </c>
      <c r="C351" s="34" t="s">
        <v>1578</v>
      </c>
    </row>
    <row r="352" spans="1:3" ht="16.350000000000001" customHeight="1">
      <c r="A352" s="34" t="s">
        <v>1592</v>
      </c>
      <c r="B352" s="34" t="s">
        <v>1173</v>
      </c>
      <c r="C352" s="34" t="s">
        <v>1578</v>
      </c>
    </row>
    <row r="353" spans="1:3" ht="16.350000000000001" customHeight="1">
      <c r="A353" s="34" t="s">
        <v>1592</v>
      </c>
      <c r="B353" s="34" t="s">
        <v>1173</v>
      </c>
      <c r="C353" s="34" t="s">
        <v>1578</v>
      </c>
    </row>
    <row r="354" spans="1:3" ht="16.350000000000001" customHeight="1">
      <c r="A354" s="34" t="s">
        <v>1583</v>
      </c>
      <c r="B354" s="34" t="s">
        <v>1174</v>
      </c>
      <c r="C354" s="34" t="s">
        <v>1578</v>
      </c>
    </row>
    <row r="355" spans="1:3" ht="16.350000000000001" customHeight="1">
      <c r="A355" s="34" t="s">
        <v>1583</v>
      </c>
      <c r="B355" s="34" t="s">
        <v>1174</v>
      </c>
      <c r="C355" s="34" t="s">
        <v>1578</v>
      </c>
    </row>
    <row r="356" spans="1:3" ht="16.350000000000001" customHeight="1">
      <c r="A356" s="34" t="s">
        <v>1583</v>
      </c>
      <c r="B356" s="34" t="s">
        <v>1174</v>
      </c>
      <c r="C356" s="34" t="s">
        <v>1578</v>
      </c>
    </row>
    <row r="357" spans="1:3" ht="16.350000000000001" customHeight="1">
      <c r="A357" s="34" t="s">
        <v>1583</v>
      </c>
      <c r="B357" s="34" t="s">
        <v>1174</v>
      </c>
      <c r="C357" s="34" t="s">
        <v>1578</v>
      </c>
    </row>
    <row r="358" spans="1:3" ht="16.350000000000001" customHeight="1">
      <c r="A358" s="34" t="s">
        <v>1583</v>
      </c>
      <c r="B358" s="34" t="s">
        <v>1174</v>
      </c>
      <c r="C358" s="34" t="s">
        <v>1578</v>
      </c>
    </row>
    <row r="359" spans="1:3" ht="16.350000000000001" customHeight="1">
      <c r="A359" s="34" t="s">
        <v>1588</v>
      </c>
      <c r="B359" s="34" t="s">
        <v>1175</v>
      </c>
      <c r="C359" s="34" t="s">
        <v>1578</v>
      </c>
    </row>
    <row r="360" spans="1:3" ht="16.350000000000001" customHeight="1">
      <c r="A360" s="34" t="s">
        <v>1588</v>
      </c>
      <c r="B360" s="34" t="s">
        <v>1175</v>
      </c>
      <c r="C360" s="34" t="s">
        <v>1578</v>
      </c>
    </row>
    <row r="361" spans="1:3" ht="16.350000000000001" customHeight="1">
      <c r="A361" s="34" t="s">
        <v>1588</v>
      </c>
      <c r="B361" s="34" t="s">
        <v>1175</v>
      </c>
      <c r="C361" s="34" t="s">
        <v>1578</v>
      </c>
    </row>
    <row r="362" spans="1:3" ht="16.350000000000001" customHeight="1">
      <c r="A362" s="34" t="s">
        <v>1588</v>
      </c>
      <c r="B362" s="34" t="s">
        <v>1175</v>
      </c>
      <c r="C362" s="34" t="s">
        <v>1578</v>
      </c>
    </row>
    <row r="363" spans="1:3" ht="16.350000000000001" customHeight="1">
      <c r="A363" s="34" t="s">
        <v>1588</v>
      </c>
      <c r="B363" s="34" t="s">
        <v>1175</v>
      </c>
      <c r="C363" s="34" t="s">
        <v>1578</v>
      </c>
    </row>
    <row r="364" spans="1:3" ht="16.350000000000001" customHeight="1">
      <c r="A364" s="34" t="s">
        <v>1593</v>
      </c>
      <c r="B364" s="34" t="s">
        <v>1176</v>
      </c>
      <c r="C364" s="34" t="s">
        <v>1578</v>
      </c>
    </row>
    <row r="365" spans="1:3" ht="16.350000000000001" customHeight="1">
      <c r="A365" s="34" t="s">
        <v>1593</v>
      </c>
      <c r="B365" s="34" t="s">
        <v>1176</v>
      </c>
      <c r="C365" s="34" t="s">
        <v>1578</v>
      </c>
    </row>
    <row r="366" spans="1:3" ht="16.350000000000001" customHeight="1">
      <c r="A366" s="34" t="s">
        <v>1593</v>
      </c>
      <c r="B366" s="34" t="s">
        <v>1176</v>
      </c>
      <c r="C366" s="34" t="s">
        <v>1578</v>
      </c>
    </row>
    <row r="367" spans="1:3" ht="16.350000000000001" customHeight="1">
      <c r="A367" s="34" t="s">
        <v>1593</v>
      </c>
      <c r="B367" s="34" t="s">
        <v>1176</v>
      </c>
      <c r="C367" s="34" t="s">
        <v>1578</v>
      </c>
    </row>
    <row r="368" spans="1:3" ht="16.350000000000001" customHeight="1">
      <c r="A368" s="34" t="s">
        <v>1593</v>
      </c>
      <c r="B368" s="34" t="s">
        <v>1176</v>
      </c>
      <c r="C368" s="34" t="s">
        <v>1578</v>
      </c>
    </row>
    <row r="369" spans="1:3" ht="16.350000000000001" customHeight="1">
      <c r="A369" s="34" t="s">
        <v>1584</v>
      </c>
      <c r="B369" s="34" t="s">
        <v>1177</v>
      </c>
      <c r="C369" s="34" t="s">
        <v>1578</v>
      </c>
    </row>
    <row r="370" spans="1:3" ht="16.350000000000001" customHeight="1">
      <c r="A370" s="34" t="s">
        <v>1584</v>
      </c>
      <c r="B370" s="34" t="s">
        <v>1177</v>
      </c>
      <c r="C370" s="34" t="s">
        <v>1578</v>
      </c>
    </row>
    <row r="371" spans="1:3" ht="16.350000000000001" customHeight="1">
      <c r="A371" s="34" t="s">
        <v>1589</v>
      </c>
      <c r="B371" s="34" t="s">
        <v>1178</v>
      </c>
      <c r="C371" s="34" t="s">
        <v>1578</v>
      </c>
    </row>
    <row r="372" spans="1:3" ht="16.350000000000001" customHeight="1">
      <c r="A372" s="34" t="s">
        <v>1589</v>
      </c>
      <c r="B372" s="34" t="s">
        <v>1178</v>
      </c>
      <c r="C372" s="34" t="s">
        <v>1578</v>
      </c>
    </row>
    <row r="373" spans="1:3" ht="16.350000000000001" customHeight="1">
      <c r="A373" s="34" t="s">
        <v>1594</v>
      </c>
      <c r="B373" s="34" t="s">
        <v>1179</v>
      </c>
      <c r="C373" s="34" t="s">
        <v>1578</v>
      </c>
    </row>
    <row r="374" spans="1:3" ht="16.350000000000001" customHeight="1">
      <c r="A374" s="34" t="s">
        <v>1594</v>
      </c>
      <c r="B374" s="34" t="s">
        <v>1179</v>
      </c>
      <c r="C374" s="34" t="s">
        <v>1578</v>
      </c>
    </row>
    <row r="375" spans="1:3" ht="16.350000000000001" customHeight="1">
      <c r="A375" s="34" t="s">
        <v>2361</v>
      </c>
      <c r="B375" s="34" t="s">
        <v>2350</v>
      </c>
      <c r="C375" s="34" t="s">
        <v>1578</v>
      </c>
    </row>
    <row r="376" spans="1:3" ht="16.350000000000001" customHeight="1">
      <c r="A376" s="34" t="s">
        <v>2361</v>
      </c>
      <c r="B376" s="34" t="s">
        <v>2350</v>
      </c>
      <c r="C376" s="34" t="s">
        <v>1578</v>
      </c>
    </row>
    <row r="377" spans="1:3" ht="16.350000000000001" customHeight="1">
      <c r="A377" s="34" t="s">
        <v>2361</v>
      </c>
      <c r="B377" s="34" t="s">
        <v>2350</v>
      </c>
      <c r="C377" s="34" t="s">
        <v>1578</v>
      </c>
    </row>
    <row r="378" spans="1:3" ht="16.350000000000001" customHeight="1">
      <c r="A378" s="34" t="s">
        <v>2362</v>
      </c>
      <c r="B378" s="34" t="s">
        <v>2351</v>
      </c>
      <c r="C378" s="34" t="s">
        <v>1578</v>
      </c>
    </row>
    <row r="379" spans="1:3" ht="16.350000000000001" customHeight="1">
      <c r="A379" s="34" t="s">
        <v>2362</v>
      </c>
      <c r="B379" s="34" t="s">
        <v>2351</v>
      </c>
      <c r="C379" s="34" t="s">
        <v>1578</v>
      </c>
    </row>
    <row r="380" spans="1:3" ht="16.350000000000001" customHeight="1">
      <c r="A380" s="34" t="s">
        <v>2362</v>
      </c>
      <c r="B380" s="34" t="s">
        <v>2351</v>
      </c>
      <c r="C380" s="34" t="s">
        <v>1578</v>
      </c>
    </row>
    <row r="381" spans="1:3" ht="16.350000000000001" customHeight="1">
      <c r="A381" s="34" t="s">
        <v>2363</v>
      </c>
      <c r="B381" s="34" t="s">
        <v>2352</v>
      </c>
      <c r="C381" s="34" t="s">
        <v>1578</v>
      </c>
    </row>
    <row r="382" spans="1:3" ht="16.350000000000001" customHeight="1">
      <c r="A382" s="34" t="s">
        <v>2363</v>
      </c>
      <c r="B382" s="34" t="s">
        <v>2352</v>
      </c>
      <c r="C382" s="34" t="s">
        <v>1578</v>
      </c>
    </row>
    <row r="383" spans="1:3" ht="16.350000000000001" customHeight="1">
      <c r="A383" s="34" t="s">
        <v>2363</v>
      </c>
      <c r="B383" s="34" t="s">
        <v>2352</v>
      </c>
      <c r="C383" s="34" t="s">
        <v>1578</v>
      </c>
    </row>
  </sheetData>
  <autoFilter ref="A1:F66" xr:uid="{1E9C0D46-ABEB-488C-8330-8BC9B1A2BBC3}">
    <filterColumn colId="3">
      <filters>
        <filter val="široký_BLUM_Naložený"/>
        <filter val="široký_BLUM_Polonaložený"/>
        <filter val="široký_BLUM_Vložený"/>
        <filter val="úzký_BLUM_Naložený"/>
        <filter val="úzký_BLUM_Polonaložený"/>
        <filter val="úzký_BLUM_Vložený"/>
      </filters>
    </filterColumn>
  </autoFilter>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8FFA5-6E77-4F90-A37F-D4B93EF8B4E0}">
  <sheetPr codeName="List27"/>
  <dimension ref="A1:AK748"/>
  <sheetViews>
    <sheetView workbookViewId="0">
      <selection activeCell="B2" sqref="B2"/>
    </sheetView>
  </sheetViews>
  <sheetFormatPr defaultColWidth="8.5703125" defaultRowHeight="15"/>
  <cols>
    <col min="1" max="1" width="16.42578125" style="133" customWidth="1"/>
    <col min="2" max="2" width="54.140625" style="133" customWidth="1"/>
    <col min="3" max="3" width="39.5703125" style="133" customWidth="1"/>
    <col min="4" max="4" width="9.5703125" style="133" bestFit="1" customWidth="1"/>
    <col min="5" max="5" width="9.42578125" style="133" bestFit="1" customWidth="1"/>
    <col min="6" max="6" width="11" style="133" customWidth="1"/>
    <col min="7" max="7" width="10.140625" style="133" customWidth="1"/>
    <col min="8" max="8" width="9.5703125" style="133" customWidth="1"/>
    <col min="9" max="9" width="10.5703125" style="133" customWidth="1"/>
    <col min="10" max="10" width="9.5703125" style="133" customWidth="1"/>
    <col min="11" max="11" width="10.42578125" style="133" customWidth="1"/>
    <col min="12" max="12" width="12" style="133" customWidth="1"/>
    <col min="13" max="13" width="51.7109375" style="133" customWidth="1"/>
    <col min="14" max="14" width="45.42578125" style="133" customWidth="1"/>
    <col min="15" max="15" width="54.28515625" style="133" customWidth="1"/>
    <col min="16" max="16" width="50" style="133" customWidth="1"/>
    <col min="17" max="17" width="41.5703125" style="133" customWidth="1"/>
    <col min="18" max="18" width="84" style="133" bestFit="1" customWidth="1"/>
    <col min="19" max="19" width="8.5703125" style="133"/>
    <col min="20" max="20" width="18.5703125" style="133" bestFit="1" customWidth="1"/>
    <col min="21" max="21" width="21.140625" style="133" customWidth="1"/>
    <col min="22" max="26" width="8.5703125" style="133"/>
    <col min="27" max="28" width="65.85546875" style="133" bestFit="1" customWidth="1"/>
    <col min="29" max="33" width="8.5703125" style="133"/>
    <col min="34" max="34" width="59.85546875" style="133" bestFit="1" customWidth="1"/>
    <col min="35" max="16384" width="8.5703125" style="133"/>
  </cols>
  <sheetData>
    <row r="1" spans="1:35">
      <c r="A1" s="483" t="s">
        <v>4622</v>
      </c>
      <c r="B1" s="484" t="s">
        <v>4623</v>
      </c>
      <c r="C1" s="482"/>
      <c r="D1" s="133">
        <f>Hlavní!V39</f>
        <v>1</v>
      </c>
      <c r="M1" s="175"/>
      <c r="AA1" s="178" t="s">
        <v>3231</v>
      </c>
      <c r="AB1" t="s">
        <v>554</v>
      </c>
      <c r="AH1" s="192" t="s">
        <v>385</v>
      </c>
      <c r="AI1" s="192" t="s">
        <v>387</v>
      </c>
    </row>
    <row r="2" spans="1:35">
      <c r="B2" s="482"/>
      <c r="C2" s="482"/>
      <c r="M2" s="175"/>
      <c r="AA2" s="178" t="s">
        <v>3232</v>
      </c>
      <c r="AB2" t="s">
        <v>4446</v>
      </c>
      <c r="AH2" s="192" t="s">
        <v>1139</v>
      </c>
      <c r="AI2" s="192" t="s">
        <v>1140</v>
      </c>
    </row>
    <row r="3" spans="1:35">
      <c r="B3" s="479"/>
      <c r="C3" s="134"/>
      <c r="D3" s="134"/>
      <c r="E3" s="134"/>
      <c r="F3" s="134"/>
      <c r="G3" s="168" t="s">
        <v>18</v>
      </c>
      <c r="H3" s="169">
        <v>25.05</v>
      </c>
      <c r="I3" s="168" t="s">
        <v>18</v>
      </c>
      <c r="J3" s="169">
        <v>6</v>
      </c>
      <c r="K3" s="168" t="s">
        <v>558</v>
      </c>
      <c r="L3" s="169">
        <v>6.2</v>
      </c>
      <c r="M3" s="175"/>
      <c r="AA3" s="178" t="s">
        <v>3233</v>
      </c>
      <c r="AB3" t="s">
        <v>4447</v>
      </c>
      <c r="AH3" s="192" t="s">
        <v>988</v>
      </c>
      <c r="AI3" s="192" t="s">
        <v>1136</v>
      </c>
    </row>
    <row r="4" spans="1:35">
      <c r="B4" s="170" t="s">
        <v>19</v>
      </c>
      <c r="C4" s="655" t="s">
        <v>20</v>
      </c>
      <c r="D4" s="656"/>
      <c r="E4" s="655" t="s">
        <v>20</v>
      </c>
      <c r="F4" s="656"/>
      <c r="G4" s="655" t="s">
        <v>21</v>
      </c>
      <c r="H4" s="656"/>
      <c r="I4" s="655" t="s">
        <v>22</v>
      </c>
      <c r="J4" s="656"/>
      <c r="K4" s="655" t="s">
        <v>23</v>
      </c>
      <c r="L4" s="656"/>
      <c r="M4" s="175"/>
      <c r="AA4" s="178" t="s">
        <v>3362</v>
      </c>
      <c r="AB4" t="s">
        <v>4568</v>
      </c>
      <c r="AH4" s="192" t="s">
        <v>933</v>
      </c>
      <c r="AI4" s="192" t="s">
        <v>1141</v>
      </c>
    </row>
    <row r="5" spans="1:35" ht="15.75" thickBot="1">
      <c r="B5" s="176" t="s">
        <v>24</v>
      </c>
      <c r="C5" s="171" t="s">
        <v>25</v>
      </c>
      <c r="D5" s="172" t="s">
        <v>26</v>
      </c>
      <c r="E5" s="171" t="s">
        <v>25</v>
      </c>
      <c r="F5" s="172" t="s">
        <v>26</v>
      </c>
      <c r="G5" s="171" t="s">
        <v>25</v>
      </c>
      <c r="H5" s="172" t="s">
        <v>26</v>
      </c>
      <c r="I5" s="171" t="s">
        <v>25</v>
      </c>
      <c r="J5" s="172" t="s">
        <v>26</v>
      </c>
      <c r="K5" s="171" t="s">
        <v>25</v>
      </c>
      <c r="L5" s="172" t="s">
        <v>26</v>
      </c>
      <c r="M5" s="175" t="s">
        <v>42</v>
      </c>
      <c r="N5" s="133" t="s">
        <v>43</v>
      </c>
      <c r="O5" s="133" t="s">
        <v>44</v>
      </c>
      <c r="P5" s="133" t="s">
        <v>45</v>
      </c>
      <c r="Q5" s="133" t="s">
        <v>1405</v>
      </c>
      <c r="R5" s="133" t="s">
        <v>3659</v>
      </c>
      <c r="S5" s="133" t="s">
        <v>3456</v>
      </c>
      <c r="U5" s="133" t="s">
        <v>3457</v>
      </c>
      <c r="V5" s="133" t="s">
        <v>3458</v>
      </c>
      <c r="AA5" s="178" t="s">
        <v>3234</v>
      </c>
      <c r="AB5" t="s">
        <v>4448</v>
      </c>
      <c r="AH5" s="192" t="s">
        <v>547</v>
      </c>
      <c r="AI5" s="192" t="s">
        <v>3141</v>
      </c>
    </row>
    <row r="6" spans="1:35">
      <c r="A6" s="657" t="s">
        <v>935</v>
      </c>
      <c r="B6" s="177" t="str">
        <f>IF($D$1=1,M6,
IF($D$1=2,N6,
IF($D$1=3,O6,
IF($D$1=4,P6,
IF($D$1=5,Q6,
IF($D$1=6,R6,0))))))</f>
        <v>BRW (elox.) - maximální doporučená délka profilu 2500 mm</v>
      </c>
      <c r="C6" s="170">
        <f>IF($D$1=1,E6,IF(OR($D$1=2,$D$1=5,),G6,IF($D$1=3,I6,IF($D$1=4,K6,IF($D$1=6,G6*1.3,0)))))</f>
        <v>373.07692800000001</v>
      </c>
      <c r="D6" s="170">
        <f>IF($D$1=1,F6,IF(OR($D$1=2,$D$1=5),H6,IF($D$1=3,J6,IF($D$1=4,L6,IF($D$1=6,H6*1.3,0)))))</f>
        <v>211.47318000000001</v>
      </c>
      <c r="E6" s="170">
        <v>373.07692800000001</v>
      </c>
      <c r="F6" s="170">
        <v>211.47318000000001</v>
      </c>
      <c r="G6" s="170">
        <v>12.894191137724553</v>
      </c>
      <c r="H6" s="170">
        <v>7.3270562874251493</v>
      </c>
      <c r="I6" s="170">
        <v>49.03416</v>
      </c>
      <c r="J6" s="170">
        <v>31.920480000000005</v>
      </c>
      <c r="K6" s="170">
        <v>4704.8562580645166</v>
      </c>
      <c r="L6" s="170">
        <v>2844.5266451612906</v>
      </c>
      <c r="M6" s="178" t="s">
        <v>3231</v>
      </c>
      <c r="N6" s="178" t="s">
        <v>3276</v>
      </c>
      <c r="O6" s="178" t="s">
        <v>3328</v>
      </c>
      <c r="P6" s="178" t="s">
        <v>3403</v>
      </c>
      <c r="Q6" s="202" t="s">
        <v>3041</v>
      </c>
      <c r="R6" s="318" t="s">
        <v>3660</v>
      </c>
      <c r="S6" s="133">
        <v>2500</v>
      </c>
      <c r="T6" s="133">
        <v>2500</v>
      </c>
      <c r="U6" s="269">
        <v>2700</v>
      </c>
      <c r="V6" s="269">
        <v>700</v>
      </c>
      <c r="AA6" s="179" t="s">
        <v>3235</v>
      </c>
      <c r="AB6" t="s">
        <v>4449</v>
      </c>
      <c r="AH6" s="192" t="s">
        <v>389</v>
      </c>
      <c r="AI6" s="192" t="s">
        <v>3142</v>
      </c>
    </row>
    <row r="7" spans="1:35">
      <c r="A7" s="658"/>
      <c r="B7" s="177" t="str">
        <f t="shared" ref="B7:B70" si="0">IF($D$1=1,M7,
IF($D$1=2,N7,
IF($D$1=3,O7,
IF($D$1=4,P7,
IF($D$1=5,Q7,
IF($D$1=6,R7,0))))))</f>
        <v>BRW antracit RAL 7021 - maximální doporučená délka profilu 2500 mm</v>
      </c>
      <c r="C7" s="170">
        <f t="shared" ref="C7:C60" si="1">IF($D$1=1,E7,IF(OR($D$1=2,$D$1=5,),G7,IF($D$1=3,I7,IF($D$1=4,K7,IF($D$1=6,G7*1.3,0)))))</f>
        <v>670.71333700799994</v>
      </c>
      <c r="D7" s="170">
        <f t="shared" ref="D7:D60" si="2">IF($D$1=1,F7,IF(OR($D$1=2,$D$1=5),H7,IF($D$1=3,J7,IF($D$1=4,L7,IF($D$1=6,H7*1.3,0)))))</f>
        <v>211.47318000000001</v>
      </c>
      <c r="E7" s="170">
        <v>670.71333700799994</v>
      </c>
      <c r="F7" s="170">
        <v>211.47318000000001</v>
      </c>
      <c r="G7" s="170">
        <v>23.181025994730536</v>
      </c>
      <c r="H7" s="170">
        <v>7.3270562874251493</v>
      </c>
      <c r="I7" s="170">
        <v>88.153039259999986</v>
      </c>
      <c r="J7" s="170">
        <v>31.920480000000005</v>
      </c>
      <c r="K7" s="170">
        <v>8458.3355446451606</v>
      </c>
      <c r="L7" s="170">
        <v>2844.5266451612906</v>
      </c>
      <c r="M7" s="178" t="s">
        <v>3232</v>
      </c>
      <c r="N7" s="178" t="s">
        <v>3277</v>
      </c>
      <c r="O7" s="178" t="s">
        <v>3329</v>
      </c>
      <c r="P7" s="178" t="s">
        <v>3404</v>
      </c>
      <c r="Q7" s="202" t="s">
        <v>3097</v>
      </c>
      <c r="R7" s="318" t="s">
        <v>3661</v>
      </c>
      <c r="S7" s="133">
        <v>2500</v>
      </c>
      <c r="T7" s="133">
        <v>2500</v>
      </c>
      <c r="U7" s="269">
        <v>2700</v>
      </c>
      <c r="V7" s="269">
        <v>700</v>
      </c>
      <c r="AA7" s="179" t="s">
        <v>3236</v>
      </c>
      <c r="AB7" t="s">
        <v>4450</v>
      </c>
      <c r="AH7" s="192" t="s">
        <v>3521</v>
      </c>
      <c r="AI7" s="192" t="s">
        <v>3143</v>
      </c>
    </row>
    <row r="8" spans="1:35">
      <c r="A8" s="658"/>
      <c r="B8" s="177" t="str">
        <f t="shared" si="0"/>
        <v>BRW bílá mat RAL 9003 - maximální doporučená délka profilu 2500 mm</v>
      </c>
      <c r="C8" s="170">
        <f t="shared" si="1"/>
        <v>601.10262777600008</v>
      </c>
      <c r="D8" s="170">
        <f t="shared" si="2"/>
        <v>211.47318000000001</v>
      </c>
      <c r="E8" s="170">
        <v>601.10262777600008</v>
      </c>
      <c r="F8" s="170">
        <v>211.47318000000001</v>
      </c>
      <c r="G8" s="170">
        <v>20.775158135568866</v>
      </c>
      <c r="H8" s="170">
        <v>7.3270562874251493</v>
      </c>
      <c r="I8" s="170">
        <v>79.003980720000015</v>
      </c>
      <c r="J8" s="170">
        <v>31.920480000000005</v>
      </c>
      <c r="K8" s="170">
        <v>7580.4780402580664</v>
      </c>
      <c r="L8" s="170">
        <v>2844.5266451612906</v>
      </c>
      <c r="M8" s="178" t="s">
        <v>3233</v>
      </c>
      <c r="N8" s="178" t="s">
        <v>3278</v>
      </c>
      <c r="O8" s="178" t="s">
        <v>3330</v>
      </c>
      <c r="P8" s="178" t="s">
        <v>3405</v>
      </c>
      <c r="Q8" s="202" t="s">
        <v>3098</v>
      </c>
      <c r="R8" s="318" t="s">
        <v>3662</v>
      </c>
      <c r="S8" s="133">
        <v>2500</v>
      </c>
      <c r="T8" s="133">
        <v>2500</v>
      </c>
      <c r="U8" s="269">
        <v>2700</v>
      </c>
      <c r="V8" s="269">
        <v>700</v>
      </c>
      <c r="AA8" s="180" t="s">
        <v>3462</v>
      </c>
      <c r="AB8" t="s">
        <v>1603</v>
      </c>
      <c r="AH8" s="192" t="s">
        <v>3522</v>
      </c>
      <c r="AI8" s="192" t="s">
        <v>3144</v>
      </c>
    </row>
    <row r="9" spans="1:35">
      <c r="A9" s="658"/>
      <c r="B9" s="177" t="str">
        <f t="shared" si="0"/>
        <v>BRW bílá lesk RAL 9003 - maximální doporučená délka profilu 2500 mm</v>
      </c>
      <c r="C9" s="170">
        <f t="shared" si="1"/>
        <v>601.10262777600008</v>
      </c>
      <c r="D9" s="170">
        <f t="shared" si="2"/>
        <v>211.47318000000001</v>
      </c>
      <c r="E9" s="170">
        <v>601.10262777600008</v>
      </c>
      <c r="F9" s="170">
        <v>211.47318000000001</v>
      </c>
      <c r="G9" s="170">
        <v>20.775158135568866</v>
      </c>
      <c r="H9" s="170">
        <v>7.3270562874251493</v>
      </c>
      <c r="I9" s="170">
        <v>79.003980720000015</v>
      </c>
      <c r="J9" s="170">
        <v>31.920480000000005</v>
      </c>
      <c r="K9" s="170">
        <v>7580.4780402580664</v>
      </c>
      <c r="L9" s="170">
        <v>2844.5266451612906</v>
      </c>
      <c r="M9" s="178" t="s">
        <v>3362</v>
      </c>
      <c r="N9" s="178" t="s">
        <v>3363</v>
      </c>
      <c r="O9" s="178" t="s">
        <v>3364</v>
      </c>
      <c r="P9" s="178" t="s">
        <v>3406</v>
      </c>
      <c r="Q9" s="202" t="s">
        <v>3365</v>
      </c>
      <c r="R9" s="318" t="s">
        <v>3663</v>
      </c>
      <c r="S9" s="133">
        <v>2500</v>
      </c>
      <c r="T9" s="133">
        <v>2500</v>
      </c>
      <c r="U9" s="269">
        <v>2700</v>
      </c>
      <c r="V9" s="269">
        <v>700</v>
      </c>
      <c r="AA9" s="179" t="s">
        <v>3237</v>
      </c>
      <c r="AB9" t="s">
        <v>4451</v>
      </c>
      <c r="AH9" s="192" t="s">
        <v>3523</v>
      </c>
      <c r="AI9" s="192" t="s">
        <v>3145</v>
      </c>
    </row>
    <row r="10" spans="1:35" ht="15.75" customHeight="1">
      <c r="A10" s="658"/>
      <c r="B10" s="177" t="str">
        <f t="shared" si="0"/>
        <v>BRW hnědá - maximální doporučená délka profilu 2500 mm</v>
      </c>
      <c r="C10" s="170">
        <f t="shared" si="1"/>
        <v>385.53213599999998</v>
      </c>
      <c r="D10" s="170">
        <f t="shared" si="2"/>
        <v>211.47318000000001</v>
      </c>
      <c r="E10" s="170">
        <v>385.53213599999998</v>
      </c>
      <c r="F10" s="170">
        <v>211.47318000000001</v>
      </c>
      <c r="G10" s="170">
        <v>13.32466491017964</v>
      </c>
      <c r="H10" s="170">
        <v>7.3270562874251493</v>
      </c>
      <c r="I10" s="170">
        <v>50.671170000000004</v>
      </c>
      <c r="J10" s="170">
        <v>31.920480000000005</v>
      </c>
      <c r="K10" s="170">
        <v>4861.9283225806448</v>
      </c>
      <c r="L10" s="170">
        <v>2844.5266451612906</v>
      </c>
      <c r="M10" s="178" t="s">
        <v>3234</v>
      </c>
      <c r="N10" s="178" t="s">
        <v>3279</v>
      </c>
      <c r="O10" s="178" t="s">
        <v>3331</v>
      </c>
      <c r="P10" s="178" t="s">
        <v>3407</v>
      </c>
      <c r="Q10" s="202" t="s">
        <v>3513</v>
      </c>
      <c r="R10" s="318" t="s">
        <v>3664</v>
      </c>
      <c r="S10" s="133">
        <v>2500</v>
      </c>
      <c r="T10" s="133">
        <v>2500</v>
      </c>
      <c r="U10" s="269">
        <v>2700</v>
      </c>
      <c r="V10" s="269">
        <v>700</v>
      </c>
      <c r="AA10" s="179" t="s">
        <v>4434</v>
      </c>
      <c r="AB10" t="s">
        <v>4569</v>
      </c>
      <c r="AH10" s="192" t="s">
        <v>4621</v>
      </c>
      <c r="AI10" s="192" t="s">
        <v>4621</v>
      </c>
    </row>
    <row r="11" spans="1:35">
      <c r="A11" s="658"/>
      <c r="B11" s="177" t="str">
        <f t="shared" si="0"/>
        <v>BRW broušené - maximální doporučená délka profilu 2500 mm</v>
      </c>
      <c r="C11" s="170">
        <f t="shared" si="1"/>
        <v>541.10637359999998</v>
      </c>
      <c r="D11" s="170">
        <f t="shared" si="2"/>
        <v>211.47318000000001</v>
      </c>
      <c r="E11" s="170">
        <v>541.10637359999998</v>
      </c>
      <c r="F11" s="170">
        <v>211.47318000000001</v>
      </c>
      <c r="G11" s="170">
        <v>18.701582658682636</v>
      </c>
      <c r="H11" s="170">
        <v>7.3270562874251493</v>
      </c>
      <c r="I11" s="170">
        <v>71.118566999999999</v>
      </c>
      <c r="J11" s="170">
        <v>31.920480000000005</v>
      </c>
      <c r="K11" s="170">
        <v>6823.8679935483869</v>
      </c>
      <c r="L11" s="170">
        <v>2844.5266451612906</v>
      </c>
      <c r="M11" s="179" t="s">
        <v>3235</v>
      </c>
      <c r="N11" s="179" t="s">
        <v>3280</v>
      </c>
      <c r="O11" s="178" t="s">
        <v>3332</v>
      </c>
      <c r="P11" s="179" t="s">
        <v>3408</v>
      </c>
      <c r="Q11" s="202" t="s">
        <v>3099</v>
      </c>
      <c r="R11" s="318" t="s">
        <v>3665</v>
      </c>
      <c r="S11" s="133">
        <v>2500</v>
      </c>
      <c r="T11" s="133">
        <v>2500</v>
      </c>
      <c r="U11" s="269">
        <v>2700</v>
      </c>
      <c r="V11" s="269">
        <v>700</v>
      </c>
      <c r="AA11" s="179" t="s">
        <v>4427</v>
      </c>
      <c r="AB11" t="s">
        <v>4443</v>
      </c>
      <c r="AH11" s="192" t="s">
        <v>812</v>
      </c>
      <c r="AI11" s="192" t="s">
        <v>3146</v>
      </c>
    </row>
    <row r="12" spans="1:35">
      <c r="A12" s="658"/>
      <c r="B12" s="177" t="str">
        <f t="shared" si="0"/>
        <v>BRW černá mat - maximální doporučená délka profilu 2500 mm</v>
      </c>
      <c r="C12" s="170">
        <f t="shared" si="1"/>
        <v>370.11085056000002</v>
      </c>
      <c r="D12" s="170">
        <f t="shared" si="2"/>
        <v>213.92019000000002</v>
      </c>
      <c r="E12" s="170">
        <v>370.11085056000002</v>
      </c>
      <c r="F12" s="170">
        <v>213.92019000000002</v>
      </c>
      <c r="G12" s="170">
        <v>12.791678313772454</v>
      </c>
      <c r="H12" s="170">
        <v>7.4118395209580834</v>
      </c>
      <c r="I12" s="170">
        <v>48.644323200000002</v>
      </c>
      <c r="J12" s="170">
        <v>32.289839999999998</v>
      </c>
      <c r="K12" s="170">
        <v>4667.4511896774202</v>
      </c>
      <c r="L12" s="170">
        <v>2877.4413870967746</v>
      </c>
      <c r="M12" s="179" t="s">
        <v>3236</v>
      </c>
      <c r="N12" s="179" t="s">
        <v>3281</v>
      </c>
      <c r="O12" s="178" t="s">
        <v>3333</v>
      </c>
      <c r="P12" s="179" t="s">
        <v>3409</v>
      </c>
      <c r="Q12" s="202" t="s">
        <v>3100</v>
      </c>
      <c r="R12" s="318" t="s">
        <v>3666</v>
      </c>
      <c r="S12" s="133">
        <v>2500</v>
      </c>
      <c r="T12" s="133">
        <v>2500</v>
      </c>
      <c r="U12" s="269">
        <v>2700</v>
      </c>
      <c r="V12" s="269">
        <v>700</v>
      </c>
      <c r="AA12" s="179" t="s">
        <v>3366</v>
      </c>
      <c r="AB12" t="s">
        <v>555</v>
      </c>
      <c r="AH12" s="192" t="s">
        <v>813</v>
      </c>
      <c r="AI12" s="192" t="s">
        <v>3147</v>
      </c>
    </row>
    <row r="13" spans="1:35">
      <c r="A13" s="658"/>
      <c r="B13" s="177" t="str">
        <f t="shared" si="0"/>
        <v>BRW zlatá - maximální doporučená délka profilu 2500 mm</v>
      </c>
      <c r="C13" s="170">
        <f t="shared" si="1"/>
        <v>751.83111360000009</v>
      </c>
      <c r="D13" s="170">
        <f t="shared" si="2"/>
        <v>211.47318000000001</v>
      </c>
      <c r="E13" s="170">
        <v>751.83111360000009</v>
      </c>
      <c r="F13" s="170">
        <v>211.47318000000001</v>
      </c>
      <c r="G13" s="170">
        <v>25.984598227544911</v>
      </c>
      <c r="H13" s="170">
        <v>7.3270562874251493</v>
      </c>
      <c r="I13" s="170">
        <v>98.814492000000016</v>
      </c>
      <c r="J13" s="170">
        <v>31.920480000000005</v>
      </c>
      <c r="K13" s="170">
        <v>9481.3081548387108</v>
      </c>
      <c r="L13" s="170">
        <v>2844.5266451612906</v>
      </c>
      <c r="M13" s="180" t="s">
        <v>3462</v>
      </c>
      <c r="N13" s="180" t="s">
        <v>3463</v>
      </c>
      <c r="O13" s="179" t="s">
        <v>3464</v>
      </c>
      <c r="P13" s="179" t="s">
        <v>3465</v>
      </c>
      <c r="Q13" s="178" t="s">
        <v>3466</v>
      </c>
      <c r="R13" s="318" t="s">
        <v>3667</v>
      </c>
      <c r="S13" s="133">
        <v>2500</v>
      </c>
      <c r="T13" s="133">
        <v>2500</v>
      </c>
      <c r="U13" s="269">
        <v>2700</v>
      </c>
      <c r="V13" s="269">
        <v>700</v>
      </c>
      <c r="AA13" s="179" t="s">
        <v>3370</v>
      </c>
      <c r="AB13" t="s">
        <v>4570</v>
      </c>
      <c r="AH13" s="192" t="s">
        <v>390</v>
      </c>
      <c r="AI13" s="192" t="s">
        <v>3148</v>
      </c>
    </row>
    <row r="14" spans="1:35">
      <c r="A14" s="658"/>
      <c r="B14" s="177" t="str">
        <f t="shared" si="0"/>
        <v>BRW černá broušená - maximální doporučená délka profilu 2500 mm</v>
      </c>
      <c r="C14" s="170">
        <f t="shared" si="1"/>
        <v>416.23567200000002</v>
      </c>
      <c r="D14" s="170">
        <f t="shared" si="2"/>
        <v>213.92019000000002</v>
      </c>
      <c r="E14" s="170">
        <v>416.23567200000002</v>
      </c>
      <c r="F14" s="170">
        <v>213.92019000000002</v>
      </c>
      <c r="G14" s="170">
        <v>14.385832814371257</v>
      </c>
      <c r="H14" s="170">
        <v>7.4118395209580834</v>
      </c>
      <c r="I14" s="170">
        <v>54.706589999999998</v>
      </c>
      <c r="J14" s="170">
        <v>32.289839999999998</v>
      </c>
      <c r="K14" s="170">
        <v>5249.1292258064523</v>
      </c>
      <c r="L14" s="170">
        <v>2877.4413870967746</v>
      </c>
      <c r="M14" s="179" t="s">
        <v>3237</v>
      </c>
      <c r="N14" s="179" t="s">
        <v>3282</v>
      </c>
      <c r="O14" s="178" t="s">
        <v>3334</v>
      </c>
      <c r="P14" s="179" t="s">
        <v>3410</v>
      </c>
      <c r="Q14" s="202" t="s">
        <v>3101</v>
      </c>
      <c r="R14" s="318" t="s">
        <v>3668</v>
      </c>
      <c r="S14" s="133">
        <v>2500</v>
      </c>
      <c r="T14" s="133">
        <v>2500</v>
      </c>
      <c r="U14" s="269">
        <v>2700</v>
      </c>
      <c r="V14" s="269">
        <v>700</v>
      </c>
      <c r="AA14" s="179" t="s">
        <v>3374</v>
      </c>
      <c r="AB14" t="s">
        <v>4571</v>
      </c>
      <c r="AH14" s="192" t="s">
        <v>3545</v>
      </c>
      <c r="AI14" s="192" t="s">
        <v>3149</v>
      </c>
    </row>
    <row r="15" spans="1:35">
      <c r="A15" s="658"/>
      <c r="B15" s="177" t="str">
        <f t="shared" si="0"/>
        <v>BRW světlá nerez (INOX ACIER gratta) - maximální doporučená délka profilu 2500 mm</v>
      </c>
      <c r="C15" s="170">
        <f t="shared" si="1"/>
        <v>522.90632160000007</v>
      </c>
      <c r="D15" s="170">
        <f t="shared" si="2"/>
        <v>211.47318000000001</v>
      </c>
      <c r="E15" s="170">
        <v>522.90632160000007</v>
      </c>
      <c r="F15" s="170">
        <v>211.47318000000001</v>
      </c>
      <c r="G15" s="170">
        <v>18.072557029940121</v>
      </c>
      <c r="H15" s="170">
        <v>7.3270562874251493</v>
      </c>
      <c r="I15" s="170">
        <v>68.726501999999996</v>
      </c>
      <c r="J15" s="170">
        <v>31.920480000000005</v>
      </c>
      <c r="K15" s="170">
        <v>6594.3479612903238</v>
      </c>
      <c r="L15" s="170">
        <v>2844.5266451612906</v>
      </c>
      <c r="M15" s="179" t="s">
        <v>4434</v>
      </c>
      <c r="N15" s="179" t="s">
        <v>4435</v>
      </c>
      <c r="O15" s="178" t="s">
        <v>4436</v>
      </c>
      <c r="P15" s="179" t="s">
        <v>4437</v>
      </c>
      <c r="Q15" s="202" t="s">
        <v>4438</v>
      </c>
      <c r="R15" s="318" t="s">
        <v>4439</v>
      </c>
      <c r="S15" s="133">
        <v>2500</v>
      </c>
      <c r="T15" s="133">
        <v>2500</v>
      </c>
      <c r="U15" s="269">
        <v>2700</v>
      </c>
      <c r="V15" s="269">
        <v>700</v>
      </c>
      <c r="AA15" s="179" t="s">
        <v>3238</v>
      </c>
      <c r="AB15" t="s">
        <v>4572</v>
      </c>
      <c r="AH15" s="192" t="s">
        <v>397</v>
      </c>
      <c r="AI15" s="192" t="s">
        <v>3150</v>
      </c>
    </row>
    <row r="16" spans="1:35">
      <c r="A16" s="658"/>
      <c r="B16" s="177" t="str">
        <f t="shared" si="0"/>
        <v>BRW tmavá nerez br. (INOX LIJA) - maximální doporučená délka profilu 2500 mm</v>
      </c>
      <c r="C16" s="170">
        <f t="shared" si="1"/>
        <v>448.67714399999994</v>
      </c>
      <c r="D16" s="170">
        <f t="shared" si="2"/>
        <v>211.47318000000001</v>
      </c>
      <c r="E16" s="170">
        <v>448.67714399999994</v>
      </c>
      <c r="F16" s="170">
        <v>211.47318000000001</v>
      </c>
      <c r="G16" s="170">
        <v>15.507066826347303</v>
      </c>
      <c r="H16" s="170">
        <v>7.3270562874251493</v>
      </c>
      <c r="I16" s="170">
        <v>58.97043</v>
      </c>
      <c r="J16" s="170">
        <v>31.920480000000005</v>
      </c>
      <c r="K16" s="170">
        <v>5658.2471612903219</v>
      </c>
      <c r="L16" s="170">
        <v>2844.5266451612906</v>
      </c>
      <c r="M16" s="179" t="s">
        <v>4427</v>
      </c>
      <c r="N16" s="179" t="s">
        <v>4428</v>
      </c>
      <c r="O16" s="178" t="s">
        <v>4429</v>
      </c>
      <c r="P16" s="179" t="s">
        <v>4430</v>
      </c>
      <c r="Q16" s="202" t="s">
        <v>4431</v>
      </c>
      <c r="R16" s="318" t="s">
        <v>4432</v>
      </c>
      <c r="S16" s="133">
        <v>2500</v>
      </c>
      <c r="T16" s="133">
        <v>2500</v>
      </c>
      <c r="U16" s="269">
        <v>2700</v>
      </c>
      <c r="V16" s="269">
        <v>700</v>
      </c>
      <c r="AA16" s="178" t="s">
        <v>3239</v>
      </c>
      <c r="AB16" t="s">
        <v>4573</v>
      </c>
      <c r="AH16" s="192" t="s">
        <v>398</v>
      </c>
      <c r="AI16" s="192" t="s">
        <v>3151</v>
      </c>
    </row>
    <row r="17" spans="1:35">
      <c r="A17" s="658"/>
      <c r="B17" s="177" t="str">
        <f t="shared" si="0"/>
        <v>Corleone (elox.) - maximální doporučená délka profilu 1500 mm</v>
      </c>
      <c r="C17" s="170">
        <f t="shared" si="1"/>
        <v>452.05646400000001</v>
      </c>
      <c r="D17" s="170">
        <f t="shared" si="2"/>
        <v>264.79223999999994</v>
      </c>
      <c r="E17" s="170">
        <v>452.05646400000001</v>
      </c>
      <c r="F17" s="170">
        <v>264.79223999999994</v>
      </c>
      <c r="G17" s="170">
        <v>15.623862035928143</v>
      </c>
      <c r="H17" s="170">
        <v>9.1744383233532911</v>
      </c>
      <c r="I17" s="170">
        <v>61.184376</v>
      </c>
      <c r="J17" s="170">
        <v>41.633999999999993</v>
      </c>
      <c r="K17" s="170">
        <v>5700.8636129032257</v>
      </c>
      <c r="L17" s="170">
        <v>3561.7215483870959</v>
      </c>
      <c r="M17" s="179" t="s">
        <v>3366</v>
      </c>
      <c r="N17" s="179" t="s">
        <v>3367</v>
      </c>
      <c r="O17" s="178" t="s">
        <v>3368</v>
      </c>
      <c r="P17" s="179" t="s">
        <v>3411</v>
      </c>
      <c r="Q17" s="202" t="s">
        <v>3369</v>
      </c>
      <c r="R17" s="318" t="s">
        <v>3669</v>
      </c>
      <c r="S17" s="133">
        <v>1500</v>
      </c>
      <c r="T17" s="133">
        <v>1500</v>
      </c>
      <c r="U17" s="269">
        <v>1500</v>
      </c>
      <c r="V17" s="269">
        <v>700</v>
      </c>
      <c r="AA17" s="179" t="s">
        <v>3240</v>
      </c>
      <c r="AB17" t="s">
        <v>4574</v>
      </c>
      <c r="AH17" s="192" t="s">
        <v>391</v>
      </c>
      <c r="AI17" s="192" t="s">
        <v>3152</v>
      </c>
    </row>
    <row r="18" spans="1:35">
      <c r="A18" s="658"/>
      <c r="B18" s="177" t="str">
        <f t="shared" si="0"/>
        <v>Corleone černá mat - maximální doporučená délka profilu 1500 mm</v>
      </c>
      <c r="C18" s="170">
        <f t="shared" si="1"/>
        <v>677.58648768000012</v>
      </c>
      <c r="D18" s="170">
        <f t="shared" si="2"/>
        <v>267.23924999999997</v>
      </c>
      <c r="E18" s="170">
        <v>677.58648768000012</v>
      </c>
      <c r="F18" s="170">
        <v>267.23924999999997</v>
      </c>
      <c r="G18" s="170">
        <v>23.418574102994015</v>
      </c>
      <c r="H18" s="170">
        <v>9.2592215568862262</v>
      </c>
      <c r="I18" s="170">
        <v>91.709133120000004</v>
      </c>
      <c r="J18" s="170">
        <v>42.018750000000004</v>
      </c>
      <c r="K18" s="170">
        <v>8545.0125367741948</v>
      </c>
      <c r="L18" s="170">
        <v>3594.6362903225804</v>
      </c>
      <c r="M18" s="179" t="s">
        <v>3370</v>
      </c>
      <c r="N18" s="179" t="s">
        <v>3371</v>
      </c>
      <c r="O18" s="178" t="s">
        <v>3372</v>
      </c>
      <c r="P18" s="179" t="s">
        <v>3412</v>
      </c>
      <c r="Q18" s="202" t="s">
        <v>3373</v>
      </c>
      <c r="R18" s="318" t="s">
        <v>3670</v>
      </c>
      <c r="S18" s="133">
        <v>1500</v>
      </c>
      <c r="T18" s="133">
        <v>1500</v>
      </c>
      <c r="U18" s="269">
        <v>1500</v>
      </c>
      <c r="V18" s="269">
        <v>700</v>
      </c>
      <c r="AA18" s="179" t="s">
        <v>3241</v>
      </c>
      <c r="AB18" t="s">
        <v>4575</v>
      </c>
      <c r="AH18" s="192" t="s">
        <v>857</v>
      </c>
      <c r="AI18" s="192" t="s">
        <v>3153</v>
      </c>
    </row>
    <row r="19" spans="1:35">
      <c r="A19" s="658"/>
      <c r="B19" s="177" t="str">
        <f t="shared" si="0"/>
        <v>Imola (elox.) - maximální doporučená délka profilu 2500 mm</v>
      </c>
      <c r="C19" s="170">
        <f t="shared" si="1"/>
        <v>442.91781719999994</v>
      </c>
      <c r="D19" s="170">
        <f t="shared" si="2"/>
        <v>264.79223999999994</v>
      </c>
      <c r="E19" s="170">
        <v>442.91781719999994</v>
      </c>
      <c r="F19" s="170">
        <v>264.79223999999994</v>
      </c>
      <c r="G19" s="170">
        <v>15.308014419161674</v>
      </c>
      <c r="H19" s="170">
        <v>9.1744383233532911</v>
      </c>
      <c r="I19" s="170">
        <v>59.9474898</v>
      </c>
      <c r="J19" s="170">
        <v>41.633999999999993</v>
      </c>
      <c r="K19" s="170">
        <v>5585.6165516129022</v>
      </c>
      <c r="L19" s="170">
        <v>3561.7215483870959</v>
      </c>
      <c r="M19" s="179" t="s">
        <v>3374</v>
      </c>
      <c r="N19" s="179" t="s">
        <v>3375</v>
      </c>
      <c r="O19" s="178" t="s">
        <v>3376</v>
      </c>
      <c r="P19" s="179" t="s">
        <v>3413</v>
      </c>
      <c r="Q19" s="202" t="s">
        <v>3377</v>
      </c>
      <c r="R19" s="318" t="s">
        <v>3671</v>
      </c>
      <c r="S19" s="133">
        <v>2500</v>
      </c>
      <c r="T19" s="133">
        <v>2500</v>
      </c>
      <c r="U19" s="269">
        <v>2700</v>
      </c>
      <c r="V19" s="269">
        <v>700</v>
      </c>
      <c r="AA19" s="180" t="s">
        <v>3378</v>
      </c>
      <c r="AB19" t="s">
        <v>4576</v>
      </c>
      <c r="AH19" s="192" t="s">
        <v>858</v>
      </c>
      <c r="AI19" s="192" t="s">
        <v>3154</v>
      </c>
    </row>
    <row r="20" spans="1:35">
      <c r="A20" s="658"/>
      <c r="B20" s="177" t="str">
        <f t="shared" si="0"/>
        <v>Imola černá mat - maximální doporučená délka profilu 2500 mm</v>
      </c>
      <c r="C20" s="170">
        <f t="shared" si="1"/>
        <v>564.72299279999993</v>
      </c>
      <c r="D20" s="170">
        <f t="shared" si="2"/>
        <v>264.79223999999994</v>
      </c>
      <c r="E20" s="170">
        <v>564.72299279999993</v>
      </c>
      <c r="F20" s="170">
        <v>264.79223999999994</v>
      </c>
      <c r="G20" s="170">
        <v>19.517814323353292</v>
      </c>
      <c r="H20" s="170">
        <v>9.1744383233532911</v>
      </c>
      <c r="I20" s="170">
        <v>76.433425199999988</v>
      </c>
      <c r="J20" s="170">
        <v>41.633999999999993</v>
      </c>
      <c r="K20" s="170">
        <v>7121.6961096774194</v>
      </c>
      <c r="L20" s="170">
        <v>3561.7215483870959</v>
      </c>
      <c r="M20" s="179" t="s">
        <v>3238</v>
      </c>
      <c r="N20" s="179" t="s">
        <v>3283</v>
      </c>
      <c r="O20" s="178" t="s">
        <v>3335</v>
      </c>
      <c r="P20" s="179" t="s">
        <v>3414</v>
      </c>
      <c r="Q20" s="202" t="s">
        <v>3102</v>
      </c>
      <c r="R20" s="318" t="s">
        <v>3672</v>
      </c>
      <c r="S20" s="133">
        <v>2500</v>
      </c>
      <c r="T20" s="133">
        <v>2500</v>
      </c>
      <c r="U20" s="269">
        <v>2700</v>
      </c>
      <c r="V20" s="269">
        <v>700</v>
      </c>
      <c r="AA20" s="178" t="s">
        <v>3242</v>
      </c>
      <c r="AB20" t="s">
        <v>4577</v>
      </c>
      <c r="AH20" s="192" t="s">
        <v>3546</v>
      </c>
      <c r="AI20" s="192" t="s">
        <v>3155</v>
      </c>
    </row>
    <row r="21" spans="1:35">
      <c r="A21" s="658"/>
      <c r="B21" s="177" t="str">
        <f t="shared" si="0"/>
        <v>Imola bílá mat RAL 9003 - maximální doporučená délka profilu 2500 mm</v>
      </c>
      <c r="C21" s="170">
        <f t="shared" si="1"/>
        <v>937.55697665760022</v>
      </c>
      <c r="D21" s="170">
        <f t="shared" si="2"/>
        <v>264.79223999999994</v>
      </c>
      <c r="E21" s="170">
        <v>937.55697665760022</v>
      </c>
      <c r="F21" s="170">
        <v>264.79223999999994</v>
      </c>
      <c r="G21" s="170">
        <v>32.40360888661079</v>
      </c>
      <c r="H21" s="170">
        <v>9.1744383233532911</v>
      </c>
      <c r="I21" s="170">
        <v>126.89529549840002</v>
      </c>
      <c r="J21" s="170">
        <v>41.633999999999993</v>
      </c>
      <c r="K21" s="170">
        <v>11823.488610154842</v>
      </c>
      <c r="L21" s="170">
        <v>3561.7215483870959</v>
      </c>
      <c r="M21" s="178" t="s">
        <v>3239</v>
      </c>
      <c r="N21" s="178" t="s">
        <v>3284</v>
      </c>
      <c r="O21" s="178" t="s">
        <v>3336</v>
      </c>
      <c r="P21" s="178" t="s">
        <v>3415</v>
      </c>
      <c r="Q21" s="202" t="s">
        <v>3103</v>
      </c>
      <c r="R21" s="318" t="s">
        <v>3673</v>
      </c>
      <c r="S21" s="133">
        <v>2500</v>
      </c>
      <c r="T21" s="133">
        <v>2500</v>
      </c>
      <c r="U21" s="269">
        <v>2700</v>
      </c>
      <c r="V21" s="269">
        <v>700</v>
      </c>
      <c r="AA21" s="178" t="s">
        <v>3243</v>
      </c>
      <c r="AB21" t="s">
        <v>4444</v>
      </c>
      <c r="AH21" s="192" t="s">
        <v>862</v>
      </c>
      <c r="AI21" s="192" t="s">
        <v>3156</v>
      </c>
    </row>
    <row r="22" spans="1:35">
      <c r="A22" s="658"/>
      <c r="B22" s="177" t="str">
        <f t="shared" si="0"/>
        <v>Modena (elox.) - maximální doporučená délka profilu 2500 mm</v>
      </c>
      <c r="C22" s="170">
        <f t="shared" si="1"/>
        <v>578.13599663999992</v>
      </c>
      <c r="D22" s="170">
        <f t="shared" si="2"/>
        <v>264.79223999999994</v>
      </c>
      <c r="E22" s="170">
        <v>578.13599663999992</v>
      </c>
      <c r="F22" s="170">
        <v>264.79223999999994</v>
      </c>
      <c r="G22" s="170">
        <v>19.981391195209579</v>
      </c>
      <c r="H22" s="170">
        <v>9.1744383233532911</v>
      </c>
      <c r="I22" s="170">
        <v>78.248831759999987</v>
      </c>
      <c r="J22" s="170">
        <v>41.633999999999993</v>
      </c>
      <c r="K22" s="170">
        <v>7290.846894193548</v>
      </c>
      <c r="L22" s="170">
        <v>3561.7215483870959</v>
      </c>
      <c r="M22" s="179" t="s">
        <v>3240</v>
      </c>
      <c r="N22" s="179" t="s">
        <v>3285</v>
      </c>
      <c r="O22" s="178" t="s">
        <v>3337</v>
      </c>
      <c r="P22" s="179" t="s">
        <v>3416</v>
      </c>
      <c r="Q22" s="202" t="s">
        <v>3042</v>
      </c>
      <c r="R22" s="318" t="s">
        <v>3674</v>
      </c>
      <c r="S22" s="133">
        <v>2500</v>
      </c>
      <c r="T22" s="133">
        <v>2500</v>
      </c>
      <c r="U22" s="269">
        <v>2700</v>
      </c>
      <c r="V22" s="269">
        <v>700</v>
      </c>
      <c r="AA22" s="179" t="s">
        <v>3244</v>
      </c>
      <c r="AB22" t="s">
        <v>4578</v>
      </c>
      <c r="AH22" s="192" t="s">
        <v>394</v>
      </c>
      <c r="AI22" s="192" t="s">
        <v>3157</v>
      </c>
    </row>
    <row r="23" spans="1:35">
      <c r="A23" s="658"/>
      <c r="B23" s="177" t="str">
        <f t="shared" si="0"/>
        <v>Modena černá mat - maximální doporučená délka profilu 2500 mm</v>
      </c>
      <c r="C23" s="170">
        <f t="shared" si="1"/>
        <v>604.54451347199995</v>
      </c>
      <c r="D23" s="170">
        <f t="shared" si="2"/>
        <v>267.23924999999997</v>
      </c>
      <c r="E23" s="170">
        <v>604.54451347199995</v>
      </c>
      <c r="F23" s="170">
        <v>267.23924999999997</v>
      </c>
      <c r="G23" s="170">
        <v>20.894115725029938</v>
      </c>
      <c r="H23" s="170">
        <v>9.2592215568862262</v>
      </c>
      <c r="I23" s="170">
        <v>81.823138847999985</v>
      </c>
      <c r="J23" s="170">
        <v>42.018750000000004</v>
      </c>
      <c r="K23" s="170">
        <v>7623.8835050322587</v>
      </c>
      <c r="L23" s="170">
        <v>3594.6362903225804</v>
      </c>
      <c r="M23" s="179" t="s">
        <v>3241</v>
      </c>
      <c r="N23" s="179" t="s">
        <v>3286</v>
      </c>
      <c r="O23" s="178" t="s">
        <v>3338</v>
      </c>
      <c r="P23" s="179" t="s">
        <v>3417</v>
      </c>
      <c r="Q23" s="202" t="s">
        <v>3104</v>
      </c>
      <c r="R23" s="318" t="s">
        <v>3675</v>
      </c>
      <c r="S23" s="133">
        <v>2500</v>
      </c>
      <c r="T23" s="133">
        <v>2500</v>
      </c>
      <c r="U23" s="269">
        <v>2700</v>
      </c>
      <c r="V23" s="269">
        <v>700</v>
      </c>
      <c r="AA23" s="179" t="s">
        <v>3245</v>
      </c>
      <c r="AB23" t="s">
        <v>4579</v>
      </c>
      <c r="AH23" s="193" t="s">
        <v>3547</v>
      </c>
      <c r="AI23" s="192" t="s">
        <v>2567</v>
      </c>
    </row>
    <row r="24" spans="1:35">
      <c r="A24" s="658"/>
      <c r="B24" s="177" t="str">
        <f t="shared" si="0"/>
        <v>Verona zlatá - maximální doporučená délka profilu 2150 mm</v>
      </c>
      <c r="C24" s="170">
        <f t="shared" si="1"/>
        <v>678.11173055999996</v>
      </c>
      <c r="D24" s="170">
        <f t="shared" si="2"/>
        <v>211.47318000000001</v>
      </c>
      <c r="E24" s="170">
        <v>678.11173055999996</v>
      </c>
      <c r="F24" s="170">
        <v>211.47318000000001</v>
      </c>
      <c r="G24" s="170">
        <v>23.436727415568861</v>
      </c>
      <c r="H24" s="170">
        <v>7.3270562874251493</v>
      </c>
      <c r="I24" s="170">
        <v>91.780223039999996</v>
      </c>
      <c r="J24" s="170">
        <v>33.250500000000002</v>
      </c>
      <c r="K24" s="170">
        <v>8551.6363509677412</v>
      </c>
      <c r="L24" s="170">
        <v>2844.5266451612906</v>
      </c>
      <c r="M24" s="180" t="s">
        <v>3378</v>
      </c>
      <c r="N24" s="180" t="s">
        <v>3379</v>
      </c>
      <c r="O24" s="179" t="s">
        <v>3380</v>
      </c>
      <c r="P24" s="179" t="s">
        <v>3418</v>
      </c>
      <c r="Q24" s="178" t="s">
        <v>3381</v>
      </c>
      <c r="R24" s="318" t="s">
        <v>3676</v>
      </c>
      <c r="S24" s="133">
        <v>2150</v>
      </c>
      <c r="T24" s="133">
        <v>2150</v>
      </c>
      <c r="U24" s="269">
        <v>2150</v>
      </c>
      <c r="V24" s="269">
        <v>700</v>
      </c>
      <c r="AA24" s="179" t="s">
        <v>3246</v>
      </c>
      <c r="AB24" t="s">
        <v>4580</v>
      </c>
      <c r="AH24" s="193" t="s">
        <v>395</v>
      </c>
      <c r="AI24" s="192" t="s">
        <v>3158</v>
      </c>
    </row>
    <row r="25" spans="1:35">
      <c r="A25" s="658"/>
      <c r="B25" s="177" t="str">
        <f t="shared" si="0"/>
        <v>Modena černá broušená - maximální doporučená délka profilu 2500 mm</v>
      </c>
      <c r="C25" s="170">
        <f t="shared" si="1"/>
        <v>842.82075287999987</v>
      </c>
      <c r="D25" s="170">
        <f t="shared" si="2"/>
        <v>211.47318000000001</v>
      </c>
      <c r="E25" s="170">
        <v>842.82075287999987</v>
      </c>
      <c r="F25" s="170">
        <v>211.47318000000001</v>
      </c>
      <c r="G25" s="170">
        <v>29.129359300598797</v>
      </c>
      <c r="H25" s="170">
        <v>7.3270562874251493</v>
      </c>
      <c r="I25" s="170">
        <v>114.07305491999999</v>
      </c>
      <c r="J25" s="170">
        <v>33.250500000000002</v>
      </c>
      <c r="K25" s="170">
        <v>10628.774378709677</v>
      </c>
      <c r="L25" s="170">
        <v>2844.5266451612906</v>
      </c>
      <c r="M25" s="178" t="s">
        <v>3242</v>
      </c>
      <c r="N25" s="178" t="s">
        <v>3287</v>
      </c>
      <c r="O25" s="178" t="s">
        <v>3339</v>
      </c>
      <c r="P25" s="178" t="s">
        <v>3419</v>
      </c>
      <c r="Q25" s="202" t="s">
        <v>3105</v>
      </c>
      <c r="R25" s="318" t="s">
        <v>3677</v>
      </c>
      <c r="S25" s="133">
        <v>2500</v>
      </c>
      <c r="T25" s="133">
        <v>2500</v>
      </c>
      <c r="U25" s="269">
        <v>2700</v>
      </c>
      <c r="V25" s="269">
        <v>700</v>
      </c>
      <c r="AA25" s="179" t="s">
        <v>3382</v>
      </c>
      <c r="AB25" t="s">
        <v>4581</v>
      </c>
      <c r="AH25" s="193" t="s">
        <v>3548</v>
      </c>
      <c r="AI25" s="192" t="s">
        <v>3159</v>
      </c>
    </row>
    <row r="26" spans="1:35">
      <c r="A26" s="658"/>
      <c r="B26" s="177" t="str">
        <f t="shared" si="0"/>
        <v>Modena tmavá nerez br. (inox lija) - maximální doporučená délka profilu 2500 mm</v>
      </c>
      <c r="C26" s="170">
        <f t="shared" si="1"/>
        <v>765.64770480000004</v>
      </c>
      <c r="D26" s="170">
        <f t="shared" si="2"/>
        <v>264.79223999999994</v>
      </c>
      <c r="E26" s="170">
        <v>765.64770480000004</v>
      </c>
      <c r="F26" s="170">
        <v>264.79223999999994</v>
      </c>
      <c r="G26" s="170">
        <v>26.462123784431139</v>
      </c>
      <c r="H26" s="170">
        <v>9.1744383233532911</v>
      </c>
      <c r="I26" s="170">
        <v>103.6279332</v>
      </c>
      <c r="J26" s="170">
        <v>41.633999999999993</v>
      </c>
      <c r="K26" s="170">
        <v>9655.5485612903231</v>
      </c>
      <c r="L26" s="170">
        <v>3561.7215483870959</v>
      </c>
      <c r="M26" s="178" t="s">
        <v>3243</v>
      </c>
      <c r="N26" s="178" t="s">
        <v>4555</v>
      </c>
      <c r="O26" s="178" t="s">
        <v>4452</v>
      </c>
      <c r="P26" s="178" t="s">
        <v>4456</v>
      </c>
      <c r="Q26" s="202" t="s">
        <v>4556</v>
      </c>
      <c r="R26" s="318" t="s">
        <v>3678</v>
      </c>
      <c r="S26" s="133">
        <v>2500</v>
      </c>
      <c r="T26" s="133">
        <v>2500</v>
      </c>
      <c r="U26" s="269">
        <v>2700</v>
      </c>
      <c r="V26" s="269">
        <v>700</v>
      </c>
      <c r="AA26" s="180" t="s">
        <v>3386</v>
      </c>
      <c r="AB26" t="s">
        <v>4582</v>
      </c>
      <c r="AH26" s="193" t="s">
        <v>396</v>
      </c>
      <c r="AI26" s="192" t="s">
        <v>3160</v>
      </c>
    </row>
    <row r="27" spans="1:35">
      <c r="A27" s="658"/>
      <c r="B27" s="177" t="str">
        <f t="shared" si="0"/>
        <v>Palio (elox.) - maximální doporučená délka profilu 2500 mm</v>
      </c>
      <c r="C27" s="170">
        <f t="shared" si="1"/>
        <v>515.91209472000003</v>
      </c>
      <c r="D27" s="170">
        <f t="shared" si="2"/>
        <v>264.79223999999994</v>
      </c>
      <c r="E27" s="170">
        <v>515.91209472000003</v>
      </c>
      <c r="F27" s="170">
        <v>264.79223999999994</v>
      </c>
      <c r="G27" s="170">
        <v>17.830824316167664</v>
      </c>
      <c r="H27" s="170">
        <v>9.1744383233532911</v>
      </c>
      <c r="I27" s="170">
        <v>69.827028479999996</v>
      </c>
      <c r="J27" s="170">
        <v>41.633999999999993</v>
      </c>
      <c r="K27" s="170">
        <v>6506.1440825806449</v>
      </c>
      <c r="L27" s="170">
        <v>3561.7215483870959</v>
      </c>
      <c r="M27" s="179" t="s">
        <v>3244</v>
      </c>
      <c r="N27" s="178" t="s">
        <v>3288</v>
      </c>
      <c r="O27" s="178" t="s">
        <v>3340</v>
      </c>
      <c r="P27" s="178" t="s">
        <v>3420</v>
      </c>
      <c r="Q27" s="202" t="s">
        <v>3043</v>
      </c>
      <c r="R27" s="318" t="s">
        <v>3679</v>
      </c>
      <c r="S27" s="133">
        <v>2500</v>
      </c>
      <c r="T27" s="133">
        <v>2500</v>
      </c>
      <c r="U27" s="269">
        <v>2700</v>
      </c>
      <c r="V27" s="269">
        <v>700</v>
      </c>
      <c r="AA27" s="179" t="s">
        <v>3247</v>
      </c>
      <c r="AB27" t="s">
        <v>4583</v>
      </c>
      <c r="AH27" s="193" t="s">
        <v>3549</v>
      </c>
      <c r="AI27" s="192" t="s">
        <v>3161</v>
      </c>
    </row>
    <row r="28" spans="1:35">
      <c r="A28" s="658"/>
      <c r="B28" s="177"/>
      <c r="C28" s="170">
        <f t="shared" si="1"/>
        <v>600.47619840000004</v>
      </c>
      <c r="D28" s="170">
        <f t="shared" si="2"/>
        <v>267.23924999999997</v>
      </c>
      <c r="E28" s="170">
        <v>600.47619840000004</v>
      </c>
      <c r="F28" s="170">
        <v>267.23924999999997</v>
      </c>
      <c r="G28" s="170">
        <v>20.753507640718563</v>
      </c>
      <c r="H28" s="170">
        <v>9.2592215568862262</v>
      </c>
      <c r="I28" s="170">
        <v>81.272505600000002</v>
      </c>
      <c r="J28" s="170">
        <v>42.018750000000004</v>
      </c>
      <c r="K28" s="170">
        <v>7572.5781677419354</v>
      </c>
      <c r="L28" s="170">
        <v>3594.6362903225804</v>
      </c>
      <c r="M28" s="179" t="s">
        <v>3245</v>
      </c>
      <c r="N28" s="178" t="s">
        <v>3289</v>
      </c>
      <c r="O28" s="178" t="s">
        <v>3341</v>
      </c>
      <c r="P28" s="178" t="s">
        <v>3421</v>
      </c>
      <c r="Q28" s="202" t="s">
        <v>3106</v>
      </c>
      <c r="R28" s="318" t="s">
        <v>3680</v>
      </c>
      <c r="S28" s="133">
        <v>2500</v>
      </c>
      <c r="T28" s="133">
        <v>2500</v>
      </c>
      <c r="U28" s="269">
        <v>2700</v>
      </c>
      <c r="V28" s="269">
        <v>700</v>
      </c>
      <c r="AA28" s="179" t="s">
        <v>3248</v>
      </c>
      <c r="AB28" t="s">
        <v>4584</v>
      </c>
      <c r="AH28" s="193" t="s">
        <v>35</v>
      </c>
      <c r="AI28" s="192" t="s">
        <v>3162</v>
      </c>
    </row>
    <row r="29" spans="1:35">
      <c r="A29" s="658"/>
      <c r="B29" s="177" t="str">
        <f t="shared" si="0"/>
        <v>Pisa (elox.) - maximální doporučená délka profilu 2500 mm</v>
      </c>
      <c r="C29" s="170">
        <f t="shared" si="1"/>
        <v>465.386819328</v>
      </c>
      <c r="D29" s="170">
        <f t="shared" si="2"/>
        <v>264.79223999999994</v>
      </c>
      <c r="E29" s="170">
        <v>465.386819328</v>
      </c>
      <c r="F29" s="170">
        <v>264.79223999999994</v>
      </c>
      <c r="G29" s="170">
        <v>16.084582430658681</v>
      </c>
      <c r="H29" s="170">
        <v>9.1744383233532911</v>
      </c>
      <c r="I29" s="170">
        <v>62.988596351999995</v>
      </c>
      <c r="J29" s="170">
        <v>41.633999999999993</v>
      </c>
      <c r="K29" s="170">
        <v>5868.9721207741941</v>
      </c>
      <c r="L29" s="170">
        <v>3561.7215483870959</v>
      </c>
      <c r="M29" s="179" t="s">
        <v>3246</v>
      </c>
      <c r="N29" s="178" t="s">
        <v>3290</v>
      </c>
      <c r="O29" s="178" t="s">
        <v>3342</v>
      </c>
      <c r="P29" s="178" t="s">
        <v>3422</v>
      </c>
      <c r="Q29" s="202" t="s">
        <v>3044</v>
      </c>
      <c r="R29" s="318" t="s">
        <v>3681</v>
      </c>
      <c r="S29" s="133">
        <v>2500</v>
      </c>
      <c r="T29" s="133">
        <v>2500</v>
      </c>
      <c r="U29" s="269">
        <v>2700</v>
      </c>
      <c r="V29" s="269">
        <v>700</v>
      </c>
      <c r="AA29" s="179" t="s">
        <v>3249</v>
      </c>
      <c r="AB29" t="s">
        <v>4585</v>
      </c>
      <c r="AH29" s="193" t="s">
        <v>29</v>
      </c>
      <c r="AI29" s="192" t="s">
        <v>3163</v>
      </c>
    </row>
    <row r="30" spans="1:35">
      <c r="A30" s="658"/>
      <c r="B30" s="177" t="str">
        <f t="shared" si="0"/>
        <v>Pisa černá mat - maximální doporučená délka profilu 2500 mm</v>
      </c>
      <c r="C30" s="170">
        <f t="shared" si="1"/>
        <v>593.4277092960001</v>
      </c>
      <c r="D30" s="170">
        <f t="shared" si="2"/>
        <v>267.23924999999997</v>
      </c>
      <c r="E30" s="170">
        <v>593.4277092960001</v>
      </c>
      <c r="F30" s="170">
        <v>267.23924999999997</v>
      </c>
      <c r="G30" s="170">
        <v>20.509899529580842</v>
      </c>
      <c r="H30" s="170">
        <v>9.2592215568862262</v>
      </c>
      <c r="I30" s="170">
        <v>80.318515464000015</v>
      </c>
      <c r="J30" s="170">
        <v>42.018750000000004</v>
      </c>
      <c r="K30" s="170">
        <v>7483.6899905806467</v>
      </c>
      <c r="L30" s="170">
        <v>3594.6362903225804</v>
      </c>
      <c r="M30" s="179" t="s">
        <v>3382</v>
      </c>
      <c r="N30" s="179" t="s">
        <v>3383</v>
      </c>
      <c r="O30" s="178" t="s">
        <v>3384</v>
      </c>
      <c r="P30" s="179" t="s">
        <v>3423</v>
      </c>
      <c r="Q30" s="202" t="s">
        <v>3385</v>
      </c>
      <c r="R30" s="318" t="s">
        <v>3682</v>
      </c>
      <c r="S30" s="133">
        <v>2500</v>
      </c>
      <c r="T30" s="133">
        <v>2500</v>
      </c>
      <c r="U30" s="269">
        <v>2700</v>
      </c>
      <c r="V30" s="269">
        <v>700</v>
      </c>
      <c r="AA30" s="179" t="s">
        <v>3250</v>
      </c>
      <c r="AB30" t="s">
        <v>4586</v>
      </c>
      <c r="AH30" s="193" t="s">
        <v>3550</v>
      </c>
      <c r="AI30" s="192" t="s">
        <v>3164</v>
      </c>
    </row>
    <row r="31" spans="1:35">
      <c r="A31" s="658"/>
      <c r="B31" s="177" t="str">
        <f t="shared" si="0"/>
        <v>Vivaro zlatá - maximální doporučená délka profilu 2150 mm</v>
      </c>
      <c r="C31" s="170">
        <f t="shared" si="1"/>
        <v>1026.2946564000001</v>
      </c>
      <c r="D31" s="170">
        <f t="shared" si="2"/>
        <v>264.79223999999994</v>
      </c>
      <c r="E31" s="170">
        <v>1026.2946564000001</v>
      </c>
      <c r="F31" s="170">
        <v>264.79223999999994</v>
      </c>
      <c r="G31" s="170">
        <v>35.470538299401206</v>
      </c>
      <c r="H31" s="170">
        <v>9.1744383233532911</v>
      </c>
      <c r="I31" s="170">
        <v>138.90565260000002</v>
      </c>
      <c r="J31" s="170">
        <v>41.633999999999993</v>
      </c>
      <c r="K31" s="170">
        <v>12942.55547419355</v>
      </c>
      <c r="L31" s="170">
        <v>3561.7215483870959</v>
      </c>
      <c r="M31" s="180" t="s">
        <v>3386</v>
      </c>
      <c r="N31" s="180" t="s">
        <v>3387</v>
      </c>
      <c r="O31" s="179" t="s">
        <v>3388</v>
      </c>
      <c r="P31" s="179" t="s">
        <v>3424</v>
      </c>
      <c r="Q31" s="178" t="s">
        <v>3389</v>
      </c>
      <c r="R31" s="318" t="s">
        <v>3683</v>
      </c>
      <c r="S31" s="133">
        <v>2150</v>
      </c>
      <c r="T31" s="133">
        <v>2150</v>
      </c>
      <c r="U31" s="269">
        <v>2150</v>
      </c>
      <c r="V31" s="269">
        <v>700</v>
      </c>
      <c r="AA31" s="179" t="s">
        <v>3251</v>
      </c>
      <c r="AB31" t="s">
        <v>4587</v>
      </c>
      <c r="AH31" s="192" t="s">
        <v>3524</v>
      </c>
      <c r="AI31" s="192" t="s">
        <v>3165</v>
      </c>
    </row>
    <row r="32" spans="1:35">
      <c r="A32" s="658"/>
      <c r="B32" s="177" t="str">
        <f t="shared" si="0"/>
        <v>Siena (elox.) - maximální doporučená délka profilu 2500 mm</v>
      </c>
      <c r="C32" s="170">
        <f t="shared" si="1"/>
        <v>515.91209472000003</v>
      </c>
      <c r="D32" s="170">
        <f t="shared" si="2"/>
        <v>264.79223999999994</v>
      </c>
      <c r="E32" s="170">
        <v>515.91209472000003</v>
      </c>
      <c r="F32" s="170">
        <v>264.79223999999994</v>
      </c>
      <c r="G32" s="170">
        <v>17.830824316167664</v>
      </c>
      <c r="H32" s="170">
        <v>9.1744383233532911</v>
      </c>
      <c r="I32" s="170">
        <v>69.827028479999996</v>
      </c>
      <c r="J32" s="170">
        <v>41.633999999999993</v>
      </c>
      <c r="K32" s="170">
        <v>6506.1440825806449</v>
      </c>
      <c r="L32" s="170">
        <v>3561.7215483870959</v>
      </c>
      <c r="M32" s="179" t="s">
        <v>3247</v>
      </c>
      <c r="N32" s="179" t="s">
        <v>3291</v>
      </c>
      <c r="O32" s="178" t="s">
        <v>3343</v>
      </c>
      <c r="P32" s="179" t="s">
        <v>3425</v>
      </c>
      <c r="Q32" s="202" t="s">
        <v>3045</v>
      </c>
      <c r="R32" s="318" t="s">
        <v>3684</v>
      </c>
      <c r="S32" s="133">
        <v>2500</v>
      </c>
      <c r="T32" s="133">
        <v>2500</v>
      </c>
      <c r="U32" s="269">
        <v>2700</v>
      </c>
      <c r="V32" s="269">
        <v>700</v>
      </c>
      <c r="AA32" s="179" t="s">
        <v>3252</v>
      </c>
      <c r="AB32" t="s">
        <v>4588</v>
      </c>
      <c r="AH32" s="193" t="s">
        <v>32</v>
      </c>
      <c r="AI32" s="192" t="s">
        <v>3166</v>
      </c>
    </row>
    <row r="33" spans="1:35">
      <c r="A33" s="658"/>
      <c r="B33" s="177"/>
      <c r="C33" s="170">
        <f t="shared" si="1"/>
        <v>600.47619840000004</v>
      </c>
      <c r="D33" s="170">
        <f t="shared" si="2"/>
        <v>267.23924999999997</v>
      </c>
      <c r="E33" s="170">
        <v>600.47619840000004</v>
      </c>
      <c r="F33" s="170">
        <v>267.23924999999997</v>
      </c>
      <c r="G33" s="170">
        <v>20.753507640718563</v>
      </c>
      <c r="H33" s="170">
        <v>9.2592215568862262</v>
      </c>
      <c r="I33" s="170">
        <v>81.272505600000002</v>
      </c>
      <c r="J33" s="170">
        <v>42.018750000000004</v>
      </c>
      <c r="K33" s="170">
        <v>7572.5781677419354</v>
      </c>
      <c r="L33" s="170">
        <v>3594.6362903225804</v>
      </c>
      <c r="M33" s="179" t="s">
        <v>3248</v>
      </c>
      <c r="N33" s="179" t="s">
        <v>3292</v>
      </c>
      <c r="O33" s="178" t="s">
        <v>3344</v>
      </c>
      <c r="P33" s="179" t="s">
        <v>3426</v>
      </c>
      <c r="Q33" s="202" t="s">
        <v>3107</v>
      </c>
      <c r="R33" s="318" t="s">
        <v>3685</v>
      </c>
      <c r="S33" s="133">
        <v>2500</v>
      </c>
      <c r="T33" s="133">
        <v>2500</v>
      </c>
      <c r="U33" s="269">
        <v>2700</v>
      </c>
      <c r="V33" s="269">
        <v>700</v>
      </c>
      <c r="AA33" s="178" t="s">
        <v>3253</v>
      </c>
      <c r="AB33" t="s">
        <v>4589</v>
      </c>
      <c r="AH33" s="193" t="s">
        <v>36</v>
      </c>
      <c r="AI33" s="192" t="s">
        <v>3167</v>
      </c>
    </row>
    <row r="34" spans="1:35">
      <c r="A34" s="658"/>
      <c r="B34" s="177" t="str">
        <f t="shared" si="0"/>
        <v>Verona (elox.) - maximální doporučená délka profilu 2500 mm</v>
      </c>
      <c r="C34" s="170">
        <f t="shared" si="1"/>
        <v>312.89606639999994</v>
      </c>
      <c r="D34" s="170">
        <f t="shared" si="2"/>
        <v>211.47318000000001</v>
      </c>
      <c r="E34" s="170">
        <v>312.89606639999994</v>
      </c>
      <c r="F34" s="170">
        <v>211.47318000000001</v>
      </c>
      <c r="G34" s="170">
        <v>10.81423530538922</v>
      </c>
      <c r="H34" s="170">
        <v>7.3270562874251493</v>
      </c>
      <c r="I34" s="170">
        <v>42.34946759999999</v>
      </c>
      <c r="J34" s="170">
        <v>33.250500000000002</v>
      </c>
      <c r="K34" s="170">
        <v>3945.9181354838706</v>
      </c>
      <c r="L34" s="170">
        <v>2844.5266451612906</v>
      </c>
      <c r="M34" s="179" t="s">
        <v>3249</v>
      </c>
      <c r="N34" s="179" t="s">
        <v>3293</v>
      </c>
      <c r="O34" s="178" t="s">
        <v>3345</v>
      </c>
      <c r="P34" s="179" t="s">
        <v>3427</v>
      </c>
      <c r="Q34" s="202" t="s">
        <v>3046</v>
      </c>
      <c r="R34" s="318" t="s">
        <v>3686</v>
      </c>
      <c r="S34" s="133">
        <v>2500</v>
      </c>
      <c r="T34" s="133">
        <v>2500</v>
      </c>
      <c r="U34" s="269">
        <v>2500</v>
      </c>
      <c r="V34" s="269">
        <v>700</v>
      </c>
      <c r="AA34" s="178" t="s">
        <v>3254</v>
      </c>
      <c r="AB34" t="s">
        <v>4590</v>
      </c>
      <c r="AH34" s="193" t="s">
        <v>38</v>
      </c>
      <c r="AI34" s="192" t="s">
        <v>3168</v>
      </c>
    </row>
    <row r="35" spans="1:35">
      <c r="A35" s="658"/>
      <c r="B35" s="177" t="str">
        <f t="shared" si="0"/>
        <v>Verona broušený hliník - maximální doporučená délka profilu 2500 mm</v>
      </c>
      <c r="C35" s="170">
        <f t="shared" si="1"/>
        <v>478.67102279999989</v>
      </c>
      <c r="D35" s="170">
        <f t="shared" si="2"/>
        <v>211.47318000000001</v>
      </c>
      <c r="E35" s="170">
        <v>478.67102279999989</v>
      </c>
      <c r="F35" s="170">
        <v>211.47318000000001</v>
      </c>
      <c r="G35" s="170">
        <v>16.543707736526944</v>
      </c>
      <c r="H35" s="170">
        <v>7.3270562874251493</v>
      </c>
      <c r="I35" s="170">
        <v>64.786570199999986</v>
      </c>
      <c r="J35" s="170">
        <v>33.250500000000002</v>
      </c>
      <c r="K35" s="170">
        <v>6036.4986096774182</v>
      </c>
      <c r="L35" s="170">
        <v>2844.5266451612906</v>
      </c>
      <c r="M35" s="179" t="s">
        <v>3250</v>
      </c>
      <c r="N35" s="179" t="s">
        <v>3294</v>
      </c>
      <c r="O35" s="178" t="s">
        <v>3346</v>
      </c>
      <c r="P35" s="179" t="s">
        <v>3428</v>
      </c>
      <c r="Q35" s="202" t="s">
        <v>3108</v>
      </c>
      <c r="R35" s="318" t="s">
        <v>3687</v>
      </c>
      <c r="S35" s="133">
        <v>2500</v>
      </c>
      <c r="T35" s="133">
        <v>2500</v>
      </c>
      <c r="U35" s="269">
        <v>2500</v>
      </c>
      <c r="V35" s="269">
        <v>700</v>
      </c>
      <c r="AA35" s="179" t="s">
        <v>4557</v>
      </c>
      <c r="AB35" t="s">
        <v>4591</v>
      </c>
      <c r="AH35" s="193" t="s">
        <v>37</v>
      </c>
      <c r="AI35" s="192" t="s">
        <v>3169</v>
      </c>
    </row>
    <row r="36" spans="1:35">
      <c r="A36" s="658"/>
      <c r="B36" s="177" t="str">
        <f t="shared" si="0"/>
        <v>Verona černá lesk - maximální doporučená délka profilu 2500 mm</v>
      </c>
      <c r="C36" s="170">
        <f t="shared" si="1"/>
        <v>668.08190880000006</v>
      </c>
      <c r="D36" s="170">
        <f t="shared" si="2"/>
        <v>213.92019000000002</v>
      </c>
      <c r="E36" s="170">
        <v>668.08190880000006</v>
      </c>
      <c r="F36" s="170">
        <v>213.92019000000002</v>
      </c>
      <c r="G36" s="170">
        <v>23.090079233532936</v>
      </c>
      <c r="H36" s="170">
        <v>7.4118395209580834</v>
      </c>
      <c r="I36" s="170">
        <v>90.422719200000003</v>
      </c>
      <c r="J36" s="170">
        <v>33.635249999999999</v>
      </c>
      <c r="K36" s="170">
        <v>8425.1507225806472</v>
      </c>
      <c r="L36" s="170">
        <v>2877.4413870967746</v>
      </c>
      <c r="M36" s="179" t="s">
        <v>3251</v>
      </c>
      <c r="N36" s="179" t="s">
        <v>3295</v>
      </c>
      <c r="O36" s="178" t="s">
        <v>3347</v>
      </c>
      <c r="P36" s="179" t="s">
        <v>3429</v>
      </c>
      <c r="Q36" s="202" t="s">
        <v>3109</v>
      </c>
      <c r="R36" s="318" t="s">
        <v>3688</v>
      </c>
      <c r="S36" s="133">
        <v>2500</v>
      </c>
      <c r="T36" s="133">
        <v>2500</v>
      </c>
      <c r="U36" s="269">
        <v>2500</v>
      </c>
      <c r="V36" s="269">
        <v>700</v>
      </c>
      <c r="AA36" s="179" t="s">
        <v>4440</v>
      </c>
      <c r="AB36" t="s">
        <v>4433</v>
      </c>
      <c r="AH36" s="193" t="s">
        <v>557</v>
      </c>
      <c r="AI36" s="192" t="s">
        <v>3170</v>
      </c>
    </row>
    <row r="37" spans="1:35">
      <c r="A37" s="658"/>
      <c r="B37" s="177" t="str">
        <f t="shared" si="0"/>
        <v>Verona černá mat - maximální doporučená délka profilu 2500 mm</v>
      </c>
      <c r="C37" s="170">
        <f t="shared" si="1"/>
        <v>385.62386039999996</v>
      </c>
      <c r="D37" s="170">
        <f t="shared" si="2"/>
        <v>213.92019000000002</v>
      </c>
      <c r="E37" s="170">
        <v>385.62386039999996</v>
      </c>
      <c r="F37" s="170">
        <v>213.92019000000002</v>
      </c>
      <c r="G37" s="170">
        <v>13.327835065868262</v>
      </c>
      <c r="H37" s="170">
        <v>7.4118395209580834</v>
      </c>
      <c r="I37" s="170">
        <v>52.192938599999998</v>
      </c>
      <c r="J37" s="170">
        <v>33.635249999999999</v>
      </c>
      <c r="K37" s="170">
        <v>4863.0850548387098</v>
      </c>
      <c r="L37" s="170">
        <v>2877.4413870967746</v>
      </c>
      <c r="M37" s="179" t="s">
        <v>3252</v>
      </c>
      <c r="N37" s="179" t="s">
        <v>3296</v>
      </c>
      <c r="O37" s="178" t="s">
        <v>3348</v>
      </c>
      <c r="P37" s="179" t="s">
        <v>3430</v>
      </c>
      <c r="Q37" s="202" t="s">
        <v>3110</v>
      </c>
      <c r="R37" s="318" t="s">
        <v>3689</v>
      </c>
      <c r="S37" s="133">
        <v>2500</v>
      </c>
      <c r="T37" s="133">
        <v>2500</v>
      </c>
      <c r="U37" s="269">
        <v>2500</v>
      </c>
      <c r="V37" s="269">
        <v>700</v>
      </c>
      <c r="AA37" s="177" t="s">
        <v>3255</v>
      </c>
      <c r="AB37" t="s">
        <v>4592</v>
      </c>
      <c r="AH37" s="193" t="s">
        <v>30</v>
      </c>
      <c r="AI37" s="192" t="s">
        <v>3171</v>
      </c>
    </row>
    <row r="38" spans="1:35">
      <c r="A38" s="658"/>
      <c r="B38" s="177" t="str">
        <f t="shared" si="0"/>
        <v>Verona hnědá - maximální doporučená délka profilu 2500 mm</v>
      </c>
      <c r="C38" s="170">
        <f t="shared" si="1"/>
        <v>401.04881481599995</v>
      </c>
      <c r="D38" s="170">
        <f t="shared" si="2"/>
        <v>211.47318000000001</v>
      </c>
      <c r="E38" s="170">
        <v>401.04881481599995</v>
      </c>
      <c r="F38" s="170">
        <v>211.47318000000001</v>
      </c>
      <c r="G38" s="170">
        <v>13.860948468502993</v>
      </c>
      <c r="H38" s="170">
        <v>7.3270562874251493</v>
      </c>
      <c r="I38" s="170">
        <v>54.280656143999991</v>
      </c>
      <c r="J38" s="170">
        <v>33.250500000000002</v>
      </c>
      <c r="K38" s="170">
        <v>5057.6084570322582</v>
      </c>
      <c r="L38" s="170">
        <v>2844.5266451612906</v>
      </c>
      <c r="M38" s="178" t="s">
        <v>3253</v>
      </c>
      <c r="N38" s="178" t="s">
        <v>3297</v>
      </c>
      <c r="O38" s="178" t="s">
        <v>3349</v>
      </c>
      <c r="P38" s="178" t="s">
        <v>3431</v>
      </c>
      <c r="Q38" s="202" t="s">
        <v>3111</v>
      </c>
      <c r="R38" s="318" t="s">
        <v>3690</v>
      </c>
      <c r="S38" s="133">
        <v>2500</v>
      </c>
      <c r="T38" s="133">
        <v>2500</v>
      </c>
      <c r="U38" s="269">
        <v>2500</v>
      </c>
      <c r="V38" s="269">
        <v>700</v>
      </c>
      <c r="AA38" s="179" t="s">
        <v>3256</v>
      </c>
      <c r="AB38" t="s">
        <v>556</v>
      </c>
      <c r="AH38" s="193" t="s">
        <v>3551</v>
      </c>
      <c r="AI38" s="192" t="s">
        <v>3172</v>
      </c>
    </row>
    <row r="39" spans="1:35">
      <c r="A39" s="658"/>
      <c r="B39" s="177" t="str">
        <f t="shared" si="0"/>
        <v>Verona champagne - maximální doporučená délka profilu 2500 mm</v>
      </c>
      <c r="C39" s="170">
        <f t="shared" si="1"/>
        <v>418.83214838400011</v>
      </c>
      <c r="D39" s="170">
        <f t="shared" si="2"/>
        <v>211.47318000000001</v>
      </c>
      <c r="E39" s="170">
        <v>418.83214838400011</v>
      </c>
      <c r="F39" s="170">
        <v>211.47318000000001</v>
      </c>
      <c r="G39" s="170">
        <v>14.475571579401201</v>
      </c>
      <c r="H39" s="170">
        <v>7.3270562874251493</v>
      </c>
      <c r="I39" s="170">
        <v>56.687572656000007</v>
      </c>
      <c r="J39" s="170">
        <v>33.250500000000002</v>
      </c>
      <c r="K39" s="170">
        <v>5281.8732720000016</v>
      </c>
      <c r="L39" s="170">
        <v>2844.5266451612906</v>
      </c>
      <c r="M39" s="178" t="s">
        <v>3254</v>
      </c>
      <c r="N39" s="178" t="s">
        <v>3298</v>
      </c>
      <c r="O39" s="178" t="s">
        <v>3350</v>
      </c>
      <c r="P39" s="178" t="s">
        <v>3432</v>
      </c>
      <c r="Q39" s="202" t="s">
        <v>3047</v>
      </c>
      <c r="R39" s="318" t="s">
        <v>3691</v>
      </c>
      <c r="S39" s="133">
        <v>2500</v>
      </c>
      <c r="T39" s="133">
        <v>2500</v>
      </c>
      <c r="U39" s="269">
        <v>2500</v>
      </c>
      <c r="V39" s="269">
        <v>700</v>
      </c>
      <c r="AA39" s="179" t="s">
        <v>3257</v>
      </c>
      <c r="AB39" t="s">
        <v>4593</v>
      </c>
      <c r="AH39" s="193" t="s">
        <v>3552</v>
      </c>
      <c r="AI39" s="192" t="s">
        <v>3173</v>
      </c>
    </row>
    <row r="40" spans="1:35">
      <c r="A40" s="658"/>
      <c r="B40" s="177" t="str">
        <f t="shared" si="0"/>
        <v>Verona tmavá nerez broušená (Inox Lija)- maximální doporučená délka profilu 2500 mm</v>
      </c>
      <c r="C40" s="170">
        <f t="shared" si="1"/>
        <v>512.287918848</v>
      </c>
      <c r="D40" s="170">
        <f t="shared" si="2"/>
        <v>211.47318000000001</v>
      </c>
      <c r="E40" s="170">
        <v>512.287918848</v>
      </c>
      <c r="F40" s="170">
        <v>211.47318000000001</v>
      </c>
      <c r="G40" s="170">
        <v>17.705566459401197</v>
      </c>
      <c r="H40" s="170">
        <v>7.3270562874251493</v>
      </c>
      <c r="I40" s="170">
        <v>69.336508032000012</v>
      </c>
      <c r="J40" s="170">
        <v>33.250500000000002</v>
      </c>
      <c r="K40" s="170">
        <v>6460.4397646451625</v>
      </c>
      <c r="L40" s="170">
        <v>2844.5266451612906</v>
      </c>
      <c r="M40" s="179" t="s">
        <v>4557</v>
      </c>
      <c r="N40" s="179" t="s">
        <v>4558</v>
      </c>
      <c r="O40" s="178" t="s">
        <v>4559</v>
      </c>
      <c r="P40" s="179" t="s">
        <v>4560</v>
      </c>
      <c r="Q40" s="202" t="s">
        <v>4561</v>
      </c>
      <c r="R40" s="318" t="s">
        <v>4562</v>
      </c>
      <c r="S40" s="133">
        <v>2500</v>
      </c>
      <c r="T40" s="133">
        <v>2500</v>
      </c>
      <c r="U40" s="269">
        <v>2500</v>
      </c>
      <c r="V40" s="269">
        <v>700</v>
      </c>
      <c r="AA40" s="262" t="s">
        <v>3258</v>
      </c>
      <c r="AB40" t="s">
        <v>4594</v>
      </c>
      <c r="AH40" s="193" t="s">
        <v>33</v>
      </c>
      <c r="AI40" s="192" t="s">
        <v>33</v>
      </c>
    </row>
    <row r="41" spans="1:35">
      <c r="A41" s="658"/>
      <c r="B41" s="177" t="str">
        <f t="shared" si="0"/>
        <v>Verona světlá nerez (Acier gratta) - maximální doporučená délka profilu 2500 mm</v>
      </c>
      <c r="C41" s="170">
        <f t="shared" si="1"/>
        <v>517.74416891999999</v>
      </c>
      <c r="D41" s="170">
        <f t="shared" si="2"/>
        <v>211.47318000000001</v>
      </c>
      <c r="E41" s="170">
        <v>517.74416891999999</v>
      </c>
      <c r="F41" s="170">
        <v>211.47318000000001</v>
      </c>
      <c r="G41" s="170">
        <v>17.894144004790419</v>
      </c>
      <c r="H41" s="170">
        <v>7.3270562874251493</v>
      </c>
      <c r="I41" s="170">
        <v>70.07499378</v>
      </c>
      <c r="J41" s="170">
        <v>33.250500000000002</v>
      </c>
      <c r="K41" s="170">
        <v>6529.2482874193556</v>
      </c>
      <c r="L41" s="170">
        <v>2844.5266451612906</v>
      </c>
      <c r="M41" s="179" t="s">
        <v>4440</v>
      </c>
      <c r="N41" s="179" t="s">
        <v>3299</v>
      </c>
      <c r="O41" s="178" t="s">
        <v>4453</v>
      </c>
      <c r="P41" s="179" t="s">
        <v>4454</v>
      </c>
      <c r="Q41" s="202" t="s">
        <v>4441</v>
      </c>
      <c r="R41" s="318" t="s">
        <v>4442</v>
      </c>
      <c r="S41" s="133">
        <v>2500</v>
      </c>
      <c r="T41" s="133">
        <v>2500</v>
      </c>
      <c r="U41" s="269">
        <v>2500</v>
      </c>
      <c r="V41" s="269">
        <v>700</v>
      </c>
      <c r="AA41" s="179" t="s">
        <v>3259</v>
      </c>
      <c r="AB41" t="s">
        <v>4445</v>
      </c>
      <c r="AH41" s="193" t="s">
        <v>34</v>
      </c>
      <c r="AI41" s="192" t="s">
        <v>34</v>
      </c>
    </row>
    <row r="42" spans="1:35">
      <c r="A42" s="658"/>
      <c r="B42" s="177" t="str">
        <f t="shared" si="0"/>
        <v>Rocca černá mat - maximální doporučená délka profilu 2150 mm</v>
      </c>
      <c r="C42" s="170">
        <f t="shared" si="1"/>
        <v>732.57385582079996</v>
      </c>
      <c r="D42" s="170">
        <f t="shared" si="2"/>
        <v>203.23061999999999</v>
      </c>
      <c r="E42" s="170">
        <v>732.57385582079996</v>
      </c>
      <c r="F42" s="170">
        <v>203.23061999999999</v>
      </c>
      <c r="G42" s="170">
        <v>25.319033718035932</v>
      </c>
      <c r="H42" s="170">
        <v>7.0414706586826341</v>
      </c>
      <c r="I42" s="170">
        <v>99.151495027199985</v>
      </c>
      <c r="J42" s="170">
        <v>31.954500000000003</v>
      </c>
      <c r="K42" s="170">
        <v>9238.4557483354856</v>
      </c>
      <c r="L42" s="170">
        <v>2733.655935483871</v>
      </c>
      <c r="M42" s="177" t="s">
        <v>3255</v>
      </c>
      <c r="N42" s="179" t="s">
        <v>3300</v>
      </c>
      <c r="O42" s="178" t="s">
        <v>3351</v>
      </c>
      <c r="P42" s="179" t="s">
        <v>3433</v>
      </c>
      <c r="Q42" s="202" t="s">
        <v>2560</v>
      </c>
      <c r="R42" s="318" t="s">
        <v>3692</v>
      </c>
      <c r="S42" s="133">
        <v>2150</v>
      </c>
      <c r="T42" s="133">
        <v>2150</v>
      </c>
      <c r="U42" s="269">
        <v>2150</v>
      </c>
      <c r="V42" s="269">
        <v>700</v>
      </c>
      <c r="AA42" s="178" t="s">
        <v>3260</v>
      </c>
      <c r="AB42" t="s">
        <v>4595</v>
      </c>
      <c r="AH42" s="193" t="s">
        <v>3553</v>
      </c>
      <c r="AI42" s="192" t="s">
        <v>3174</v>
      </c>
    </row>
    <row r="43" spans="1:35">
      <c r="A43" s="658"/>
      <c r="B43" s="177" t="str">
        <f t="shared" si="0"/>
        <v>Vivaro (elox.) - maximální doporučená délka profilu 2500 mm</v>
      </c>
      <c r="C43" s="170">
        <f t="shared" si="1"/>
        <v>535.36539168000002</v>
      </c>
      <c r="D43" s="170">
        <f t="shared" si="2"/>
        <v>264.79223999999994</v>
      </c>
      <c r="E43" s="170">
        <v>535.36539168000002</v>
      </c>
      <c r="F43" s="170">
        <v>264.79223999999994</v>
      </c>
      <c r="G43" s="170">
        <v>18.503164282634732</v>
      </c>
      <c r="H43" s="170">
        <v>9.1744383233532911</v>
      </c>
      <c r="I43" s="170">
        <v>72.459969119999997</v>
      </c>
      <c r="J43" s="170">
        <v>41.633999999999993</v>
      </c>
      <c r="K43" s="170">
        <v>6751.468730322581</v>
      </c>
      <c r="L43" s="170">
        <v>3561.7215483870959</v>
      </c>
      <c r="M43" s="179" t="s">
        <v>3256</v>
      </c>
      <c r="N43" s="179" t="s">
        <v>3301</v>
      </c>
      <c r="O43" s="178" t="s">
        <v>3352</v>
      </c>
      <c r="P43" s="179" t="s">
        <v>3434</v>
      </c>
      <c r="Q43" s="202" t="s">
        <v>3390</v>
      </c>
      <c r="R43" s="318" t="s">
        <v>3693</v>
      </c>
      <c r="S43" s="133">
        <v>2500</v>
      </c>
      <c r="T43" s="133">
        <v>2500</v>
      </c>
      <c r="U43" s="269">
        <v>2700</v>
      </c>
      <c r="V43" s="269">
        <v>700</v>
      </c>
      <c r="AA43" s="178" t="s">
        <v>3261</v>
      </c>
      <c r="AB43" t="s">
        <v>4596</v>
      </c>
      <c r="AH43" s="193" t="s">
        <v>3554</v>
      </c>
      <c r="AI43" s="192" t="s">
        <v>3175</v>
      </c>
    </row>
    <row r="44" spans="1:35">
      <c r="A44" s="658"/>
      <c r="B44" s="177" t="str">
        <f t="shared" si="0"/>
        <v>Vivaro černá mat - maximální doporučená délka profilu 2500 mm</v>
      </c>
      <c r="C44" s="170">
        <f t="shared" si="1"/>
        <v>710.75596175999999</v>
      </c>
      <c r="D44" s="170">
        <f t="shared" si="2"/>
        <v>267.23924999999997</v>
      </c>
      <c r="E44" s="170">
        <v>710.75596175999999</v>
      </c>
      <c r="F44" s="170">
        <v>267.23924999999997</v>
      </c>
      <c r="G44" s="170">
        <v>24.564969140119761</v>
      </c>
      <c r="H44" s="170">
        <v>9.2592215568862262</v>
      </c>
      <c r="I44" s="170">
        <v>96.198513840000004</v>
      </c>
      <c r="J44" s="170">
        <v>42.018750000000004</v>
      </c>
      <c r="K44" s="170">
        <v>8963.3112735483883</v>
      </c>
      <c r="L44" s="170">
        <v>3594.6362903225804</v>
      </c>
      <c r="M44" s="179" t="s">
        <v>3257</v>
      </c>
      <c r="N44" s="179" t="s">
        <v>3302</v>
      </c>
      <c r="O44" s="178" t="s">
        <v>3353</v>
      </c>
      <c r="P44" s="179" t="s">
        <v>3435</v>
      </c>
      <c r="Q44" s="202" t="s">
        <v>3112</v>
      </c>
      <c r="R44" s="318" t="s">
        <v>3694</v>
      </c>
      <c r="S44" s="133">
        <v>2500</v>
      </c>
      <c r="T44" s="133">
        <v>2500</v>
      </c>
      <c r="U44" s="269">
        <v>2700</v>
      </c>
      <c r="V44" s="269">
        <v>700</v>
      </c>
      <c r="AA44" s="247" t="s">
        <v>3262</v>
      </c>
      <c r="AB44" t="s">
        <v>4597</v>
      </c>
      <c r="AH44" s="193" t="s">
        <v>31</v>
      </c>
      <c r="AI44" s="192" t="s">
        <v>31</v>
      </c>
    </row>
    <row r="45" spans="1:35">
      <c r="A45" s="658"/>
      <c r="B45" s="177" t="str">
        <f t="shared" si="0"/>
        <v>Imola zlatá - maximální doporučená délka profilu 2150 mm</v>
      </c>
      <c r="C45" s="170">
        <f t="shared" si="1"/>
        <v>1019.4104988</v>
      </c>
      <c r="D45" s="170">
        <f t="shared" si="2"/>
        <v>264.79223999999994</v>
      </c>
      <c r="E45" s="170">
        <v>1019.4104988</v>
      </c>
      <c r="F45" s="170">
        <v>264.79223999999994</v>
      </c>
      <c r="G45" s="170">
        <v>35.232609772455092</v>
      </c>
      <c r="H45" s="170">
        <v>9.1744383233532911</v>
      </c>
      <c r="I45" s="170">
        <v>137.97390420000002</v>
      </c>
      <c r="J45" s="170">
        <v>41.633999999999993</v>
      </c>
      <c r="K45" s="170">
        <v>12855.73967419355</v>
      </c>
      <c r="L45" s="170">
        <v>3561.7215483870959</v>
      </c>
      <c r="M45" s="262" t="s">
        <v>3258</v>
      </c>
      <c r="N45" s="180" t="s">
        <v>3303</v>
      </c>
      <c r="O45" s="202" t="s">
        <v>3354</v>
      </c>
      <c r="P45" s="178" t="s">
        <v>3436</v>
      </c>
      <c r="Q45" s="178" t="s">
        <v>3230</v>
      </c>
      <c r="R45" s="318" t="s">
        <v>3695</v>
      </c>
      <c r="S45" s="133">
        <v>2150</v>
      </c>
      <c r="T45" s="133">
        <v>2150</v>
      </c>
      <c r="U45" s="269">
        <v>2150</v>
      </c>
      <c r="V45" s="269">
        <v>700</v>
      </c>
      <c r="AA45" s="247" t="s">
        <v>3391</v>
      </c>
      <c r="AB45" t="s">
        <v>4598</v>
      </c>
      <c r="AH45" s="193" t="s">
        <v>39</v>
      </c>
      <c r="AI45" s="192" t="s">
        <v>39</v>
      </c>
    </row>
    <row r="46" spans="1:35">
      <c r="A46" s="658"/>
      <c r="B46" s="177" t="str">
        <f t="shared" si="0"/>
        <v>Vivaro tmavá nerez br. (inox lija) - maximální doporučená délka profilu 2500 mm</v>
      </c>
      <c r="C46" s="170">
        <f t="shared" si="1"/>
        <v>645.12773287200002</v>
      </c>
      <c r="D46" s="170">
        <f t="shared" si="2"/>
        <v>264.79223999999994</v>
      </c>
      <c r="E46" s="170">
        <v>645.12773287200002</v>
      </c>
      <c r="F46" s="170">
        <v>264.79223999999994</v>
      </c>
      <c r="G46" s="170">
        <v>22.29674276694611</v>
      </c>
      <c r="H46" s="170">
        <v>9.1744383233532911</v>
      </c>
      <c r="I46" s="170">
        <v>87.315945947999992</v>
      </c>
      <c r="J46" s="170">
        <v>41.633999999999993</v>
      </c>
      <c r="K46" s="170">
        <v>8135.6766485806456</v>
      </c>
      <c r="L46" s="170">
        <v>3561.7215483870959</v>
      </c>
      <c r="M46" s="179" t="s">
        <v>3259</v>
      </c>
      <c r="N46" s="179" t="s">
        <v>3304</v>
      </c>
      <c r="O46" s="178" t="s">
        <v>4455</v>
      </c>
      <c r="P46" s="179" t="s">
        <v>4457</v>
      </c>
      <c r="Q46" s="202" t="s">
        <v>4563</v>
      </c>
      <c r="R46" s="318" t="s">
        <v>3696</v>
      </c>
      <c r="S46" s="133">
        <v>2500</v>
      </c>
      <c r="T46" s="133">
        <v>2500</v>
      </c>
      <c r="U46" s="269">
        <v>2700</v>
      </c>
      <c r="V46" s="269">
        <v>700</v>
      </c>
      <c r="AA46" s="178" t="s">
        <v>3263</v>
      </c>
      <c r="AB46" t="s">
        <v>4599</v>
      </c>
      <c r="AH46" s="193" t="s">
        <v>40</v>
      </c>
      <c r="AI46" s="192" t="s">
        <v>3176</v>
      </c>
    </row>
    <row r="47" spans="1:35">
      <c r="A47" s="658"/>
      <c r="B47" s="177" t="str">
        <f t="shared" si="0"/>
        <v>Vivaro bílá mat RAL 9003 - maximální doporučená délka profilu 2500 mm</v>
      </c>
      <c r="C47" s="170">
        <f t="shared" si="1"/>
        <v>1016.3126278799998</v>
      </c>
      <c r="D47" s="170">
        <f t="shared" si="2"/>
        <v>264.79223999999994</v>
      </c>
      <c r="E47" s="170">
        <v>1016.3126278799998</v>
      </c>
      <c r="F47" s="170">
        <v>264.79223999999994</v>
      </c>
      <c r="G47" s="170">
        <v>35.125541935329338</v>
      </c>
      <c r="H47" s="170">
        <v>9.1744383233532911</v>
      </c>
      <c r="I47" s="170">
        <v>137.55461742</v>
      </c>
      <c r="J47" s="170">
        <v>41.633999999999993</v>
      </c>
      <c r="K47" s="170">
        <v>12816.672564193546</v>
      </c>
      <c r="L47" s="170">
        <v>3561.7215483870959</v>
      </c>
      <c r="M47" s="178" t="s">
        <v>3260</v>
      </c>
      <c r="N47" s="178" t="s">
        <v>3305</v>
      </c>
      <c r="O47" s="178" t="s">
        <v>3355</v>
      </c>
      <c r="P47" s="178" t="s">
        <v>3437</v>
      </c>
      <c r="Q47" s="202" t="s">
        <v>3113</v>
      </c>
      <c r="R47" s="318" t="s">
        <v>3697</v>
      </c>
      <c r="S47" s="133">
        <v>2500</v>
      </c>
      <c r="T47" s="133">
        <v>2500</v>
      </c>
      <c r="U47" s="269">
        <v>2700</v>
      </c>
      <c r="V47" s="269">
        <v>700</v>
      </c>
      <c r="AA47" s="178" t="s">
        <v>3264</v>
      </c>
      <c r="AB47" t="s">
        <v>4600</v>
      </c>
      <c r="AH47" s="193" t="s">
        <v>41</v>
      </c>
      <c r="AI47" s="192" t="s">
        <v>3177</v>
      </c>
    </row>
    <row r="48" spans="1:35">
      <c r="A48" s="658"/>
      <c r="B48" s="177" t="str">
        <f t="shared" si="0"/>
        <v>Vivaro bílá lesk RAL 9003 - maximální doporučená délka profilu 2500 mm</v>
      </c>
      <c r="C48" s="170">
        <f t="shared" si="1"/>
        <v>1016.3126278799998</v>
      </c>
      <c r="D48" s="170">
        <f t="shared" si="2"/>
        <v>264.79223999999994</v>
      </c>
      <c r="E48" s="170">
        <v>1016.3126278799998</v>
      </c>
      <c r="F48" s="170">
        <v>264.79223999999994</v>
      </c>
      <c r="G48" s="170">
        <v>35.125541935329338</v>
      </c>
      <c r="H48" s="170">
        <v>9.1744383233532911</v>
      </c>
      <c r="I48" s="170">
        <v>137.55461742</v>
      </c>
      <c r="J48" s="170">
        <v>41.633999999999993</v>
      </c>
      <c r="K48" s="170">
        <v>12816.672564193546</v>
      </c>
      <c r="L48" s="170">
        <v>3561.7215483870959</v>
      </c>
      <c r="M48" s="178" t="s">
        <v>3261</v>
      </c>
      <c r="N48" s="178" t="s">
        <v>3306</v>
      </c>
      <c r="O48" s="178" t="s">
        <v>3356</v>
      </c>
      <c r="P48" s="178" t="s">
        <v>3438</v>
      </c>
      <c r="Q48" s="202" t="s">
        <v>3091</v>
      </c>
      <c r="R48" s="318" t="s">
        <v>3698</v>
      </c>
      <c r="S48" s="133">
        <v>2500</v>
      </c>
      <c r="T48" s="133">
        <v>2500</v>
      </c>
      <c r="U48" s="269">
        <v>2700</v>
      </c>
      <c r="V48" s="269">
        <v>700</v>
      </c>
      <c r="AA48" s="202" t="s">
        <v>3265</v>
      </c>
      <c r="AB48" t="s">
        <v>4601</v>
      </c>
      <c r="AH48" s="193" t="s">
        <v>46</v>
      </c>
      <c r="AI48" s="192" t="s">
        <v>3178</v>
      </c>
    </row>
    <row r="49" spans="1:37">
      <c r="A49" s="658"/>
      <c r="B49" s="177" t="str">
        <f t="shared" si="0"/>
        <v>Varna (elox.) - maximální doporučená délka profilu 2500 mm</v>
      </c>
      <c r="C49" s="170">
        <f t="shared" si="1"/>
        <v>426.06466560000007</v>
      </c>
      <c r="D49" s="170">
        <f t="shared" si="2"/>
        <v>0</v>
      </c>
      <c r="E49" s="170">
        <v>426.06466560000007</v>
      </c>
      <c r="F49" s="170">
        <v>0</v>
      </c>
      <c r="G49" s="170">
        <v>14.725540023952098</v>
      </c>
      <c r="H49" s="170">
        <v>0</v>
      </c>
      <c r="I49" s="170">
        <v>57.666470400000009</v>
      </c>
      <c r="J49" s="170">
        <v>0</v>
      </c>
      <c r="K49" s="170">
        <v>5373.0822193548402</v>
      </c>
      <c r="L49" s="170">
        <v>0</v>
      </c>
      <c r="M49" s="247" t="s">
        <v>3262</v>
      </c>
      <c r="N49" s="178" t="s">
        <v>3307</v>
      </c>
      <c r="O49" s="202" t="s">
        <v>4564</v>
      </c>
      <c r="P49" s="178" t="s">
        <v>4565</v>
      </c>
      <c r="Q49" s="202" t="s">
        <v>4566</v>
      </c>
      <c r="R49" s="318" t="s">
        <v>3699</v>
      </c>
      <c r="S49" s="133">
        <v>2500</v>
      </c>
      <c r="T49" s="133">
        <v>2500</v>
      </c>
      <c r="U49" s="269">
        <v>1200</v>
      </c>
      <c r="V49" s="269">
        <v>700</v>
      </c>
      <c r="AA49" s="202" t="s">
        <v>3266</v>
      </c>
      <c r="AB49" t="s">
        <v>4602</v>
      </c>
      <c r="AH49" s="194" t="s">
        <v>3555</v>
      </c>
      <c r="AI49" s="194" t="s">
        <v>3179</v>
      </c>
    </row>
    <row r="50" spans="1:37">
      <c r="A50" s="658"/>
      <c r="B50" s="177" t="str">
        <f t="shared" si="0"/>
        <v>Rocca (elox.) - maximální doporučená délka profilu 2150 mm</v>
      </c>
      <c r="C50" s="170">
        <f t="shared" si="1"/>
        <v>491.2703636256</v>
      </c>
      <c r="D50" s="170">
        <f t="shared" si="2"/>
        <v>203.23061999999999</v>
      </c>
      <c r="E50" s="170">
        <v>491.2703636256</v>
      </c>
      <c r="F50" s="170">
        <v>203.23061999999999</v>
      </c>
      <c r="G50" s="170">
        <v>16.979162991520958</v>
      </c>
      <c r="H50" s="170">
        <v>7.0414706586826341</v>
      </c>
      <c r="I50" s="170">
        <v>66.491850110400009</v>
      </c>
      <c r="J50" s="170">
        <v>31.954500000000003</v>
      </c>
      <c r="K50" s="170">
        <v>6195.388326735485</v>
      </c>
      <c r="L50" s="170">
        <v>2733.655935483871</v>
      </c>
      <c r="M50" s="247" t="s">
        <v>3391</v>
      </c>
      <c r="N50" s="202" t="s">
        <v>3392</v>
      </c>
      <c r="O50" s="202" t="s">
        <v>3393</v>
      </c>
      <c r="P50" s="178" t="s">
        <v>3439</v>
      </c>
      <c r="Q50" s="202" t="s">
        <v>3394</v>
      </c>
      <c r="R50" s="318" t="s">
        <v>3700</v>
      </c>
      <c r="S50" s="133">
        <v>2150</v>
      </c>
      <c r="T50" s="133">
        <v>2150</v>
      </c>
      <c r="U50" s="269">
        <v>2150</v>
      </c>
      <c r="V50" s="269">
        <v>700</v>
      </c>
      <c r="AA50" s="202" t="s">
        <v>3267</v>
      </c>
      <c r="AB50" t="s">
        <v>4603</v>
      </c>
      <c r="AH50" s="193" t="s">
        <v>48</v>
      </c>
      <c r="AI50" s="192" t="s">
        <v>3180</v>
      </c>
    </row>
    <row r="51" spans="1:37">
      <c r="A51" s="658"/>
      <c r="B51" s="177" t="str">
        <f t="shared" si="0"/>
        <v>Předěl</v>
      </c>
      <c r="C51" s="170"/>
      <c r="D51" s="170"/>
      <c r="E51" s="263">
        <v>1365.7451303124719</v>
      </c>
      <c r="F51" s="263">
        <v>279.98393904000005</v>
      </c>
      <c r="G51" s="263">
        <v>46.553393837395696</v>
      </c>
      <c r="H51" s="263">
        <v>9.6840045323741002</v>
      </c>
      <c r="I51" s="263">
        <v>199.68128812800003</v>
      </c>
      <c r="J51" s="263">
        <v>42.3683136</v>
      </c>
      <c r="K51" s="263">
        <v>18261.972828358434</v>
      </c>
      <c r="L51" s="263">
        <v>3483.29711790393</v>
      </c>
      <c r="M51" s="202" t="s">
        <v>1206</v>
      </c>
      <c r="N51" s="202" t="s">
        <v>1206</v>
      </c>
      <c r="O51" s="202" t="s">
        <v>1206</v>
      </c>
      <c r="P51" s="178" t="s">
        <v>1206</v>
      </c>
      <c r="Q51" s="202" t="s">
        <v>1206</v>
      </c>
      <c r="R51" s="318"/>
      <c r="AA51" s="202" t="s">
        <v>3268</v>
      </c>
      <c r="AB51" t="s">
        <v>4604</v>
      </c>
      <c r="AH51" s="193" t="s">
        <v>47</v>
      </c>
      <c r="AI51" s="192" t="s">
        <v>3181</v>
      </c>
    </row>
    <row r="52" spans="1:37">
      <c r="A52" s="658"/>
      <c r="B52" s="177" t="str">
        <f t="shared" si="0"/>
        <v>Pisa bílá mat RAL 9003 - maximální doporučená délka profilu 2500 mm</v>
      </c>
      <c r="C52" s="170">
        <f t="shared" si="1"/>
        <v>918.86848740000016</v>
      </c>
      <c r="D52" s="170">
        <f t="shared" si="2"/>
        <v>264.79223999999994</v>
      </c>
      <c r="E52" s="170">
        <v>918.86848740000016</v>
      </c>
      <c r="F52" s="170">
        <v>264.79223999999994</v>
      </c>
      <c r="G52" s="170">
        <v>31.757702011976054</v>
      </c>
      <c r="H52" s="170">
        <v>9.1744383233532911</v>
      </c>
      <c r="I52" s="170">
        <v>124.3658691</v>
      </c>
      <c r="J52" s="170">
        <v>41.633999999999993</v>
      </c>
      <c r="K52" s="170">
        <v>11587.808917741937</v>
      </c>
      <c r="L52" s="170">
        <v>3561.7215483870959</v>
      </c>
      <c r="M52" s="178" t="s">
        <v>3263</v>
      </c>
      <c r="N52" s="178" t="s">
        <v>3308</v>
      </c>
      <c r="O52" s="178" t="s">
        <v>3357</v>
      </c>
      <c r="P52" s="178" t="s">
        <v>3440</v>
      </c>
      <c r="Q52" s="202" t="s">
        <v>3114</v>
      </c>
      <c r="R52" s="318" t="s">
        <v>3701</v>
      </c>
      <c r="S52" s="133">
        <v>2500</v>
      </c>
      <c r="T52" s="133">
        <v>2500</v>
      </c>
      <c r="U52" s="269">
        <v>2700</v>
      </c>
      <c r="V52" s="269">
        <v>700</v>
      </c>
      <c r="AA52" s="202" t="s">
        <v>3269</v>
      </c>
      <c r="AB52" t="s">
        <v>4605</v>
      </c>
      <c r="AH52" s="192" t="s">
        <v>386</v>
      </c>
      <c r="AI52" s="192" t="s">
        <v>387</v>
      </c>
    </row>
    <row r="53" spans="1:37">
      <c r="A53" s="658"/>
      <c r="B53" s="177" t="str">
        <f t="shared" si="0"/>
        <v>Pisa bílá lesk RAL 9003 - maximální doporučená délka profilu 2500 mm</v>
      </c>
      <c r="C53" s="170">
        <f t="shared" si="1"/>
        <v>918.86848740000016</v>
      </c>
      <c r="D53" s="170">
        <f t="shared" si="2"/>
        <v>264.79223999999994</v>
      </c>
      <c r="E53" s="170">
        <v>918.86848740000016</v>
      </c>
      <c r="F53" s="170">
        <v>264.79223999999994</v>
      </c>
      <c r="G53" s="170">
        <v>31.757702011976054</v>
      </c>
      <c r="H53" s="170">
        <v>9.1744383233532911</v>
      </c>
      <c r="I53" s="170">
        <v>124.3658691</v>
      </c>
      <c r="J53" s="170">
        <v>41.633999999999993</v>
      </c>
      <c r="K53" s="170">
        <v>11587.808917741937</v>
      </c>
      <c r="L53" s="170">
        <v>3561.7215483870959</v>
      </c>
      <c r="M53" s="178" t="s">
        <v>3264</v>
      </c>
      <c r="N53" s="178" t="s">
        <v>3309</v>
      </c>
      <c r="O53" s="178" t="s">
        <v>3358</v>
      </c>
      <c r="P53" s="178" t="s">
        <v>3441</v>
      </c>
      <c r="Q53" s="202" t="s">
        <v>3115</v>
      </c>
      <c r="R53" s="318" t="s">
        <v>3702</v>
      </c>
      <c r="S53" s="133">
        <v>2500</v>
      </c>
      <c r="T53" s="133">
        <v>2500</v>
      </c>
      <c r="U53" s="269">
        <v>2700</v>
      </c>
      <c r="V53" s="269">
        <v>700</v>
      </c>
      <c r="AA53" s="177" t="s">
        <v>3395</v>
      </c>
      <c r="AB53" t="s">
        <v>4606</v>
      </c>
      <c r="AH53" s="192" t="s">
        <v>548</v>
      </c>
      <c r="AI53" s="192" t="s">
        <v>3141</v>
      </c>
    </row>
    <row r="54" spans="1:37">
      <c r="A54" s="658"/>
      <c r="B54" s="177" t="str">
        <f t="shared" si="0"/>
        <v>Varna černá - maximální doporučená délka profilu 1200 mm</v>
      </c>
      <c r="C54" s="170">
        <f t="shared" si="1"/>
        <v>608.27760000000001</v>
      </c>
      <c r="D54" s="170">
        <f t="shared" si="2"/>
        <v>0</v>
      </c>
      <c r="E54" s="170">
        <v>608.27760000000001</v>
      </c>
      <c r="F54" s="170">
        <v>0</v>
      </c>
      <c r="G54" s="170">
        <v>21.023137724550896</v>
      </c>
      <c r="H54" s="170">
        <v>0</v>
      </c>
      <c r="I54" s="170">
        <v>82.328400000000002</v>
      </c>
      <c r="J54" s="170">
        <v>0</v>
      </c>
      <c r="K54" s="170">
        <v>7670.9612903225816</v>
      </c>
      <c r="L54" s="170">
        <v>0</v>
      </c>
      <c r="M54" s="202" t="s">
        <v>3265</v>
      </c>
      <c r="N54" s="178" t="s">
        <v>3310</v>
      </c>
      <c r="O54" s="202" t="s">
        <v>4567</v>
      </c>
      <c r="P54" s="178" t="s">
        <v>3442</v>
      </c>
      <c r="Q54" s="202" t="s">
        <v>2561</v>
      </c>
      <c r="R54" s="318" t="s">
        <v>3703</v>
      </c>
      <c r="S54" s="133">
        <v>1200</v>
      </c>
      <c r="T54" s="133">
        <v>1200</v>
      </c>
      <c r="U54" s="269">
        <v>1200</v>
      </c>
      <c r="V54" s="269">
        <v>700</v>
      </c>
      <c r="AA54" s="177" t="s">
        <v>3399</v>
      </c>
      <c r="AB54" t="s">
        <v>4607</v>
      </c>
      <c r="AH54" s="192" t="s">
        <v>863</v>
      </c>
      <c r="AI54" s="192" t="s">
        <v>3144</v>
      </c>
      <c r="AJ54" s="192"/>
      <c r="AK54" s="193"/>
    </row>
    <row r="55" spans="1:37">
      <c r="A55" s="658"/>
      <c r="B55" s="177" t="str">
        <f t="shared" si="0"/>
        <v>BRW zlatá broušená - maximální doporučená délka profilu 2500 mm</v>
      </c>
      <c r="C55" s="170">
        <f t="shared" si="1"/>
        <v>924.83298719999993</v>
      </c>
      <c r="D55" s="170">
        <f t="shared" si="2"/>
        <v>211.47318000000001</v>
      </c>
      <c r="E55" s="170">
        <v>924.83298719999993</v>
      </c>
      <c r="F55" s="170">
        <v>211.47318000000001</v>
      </c>
      <c r="G55" s="170">
        <v>31.963845556886227</v>
      </c>
      <c r="H55" s="170">
        <v>7.3270562874251493</v>
      </c>
      <c r="I55" s="170">
        <v>125.1731448</v>
      </c>
      <c r="J55" s="170">
        <v>33.250500000000002</v>
      </c>
      <c r="K55" s="170">
        <v>11663.02695483871</v>
      </c>
      <c r="L55" s="170">
        <v>2844.5266451612906</v>
      </c>
      <c r="M55" s="202" t="s">
        <v>3266</v>
      </c>
      <c r="N55" s="178" t="s">
        <v>3311</v>
      </c>
      <c r="O55" s="202" t="s">
        <v>3359</v>
      </c>
      <c r="P55" s="178" t="s">
        <v>3443</v>
      </c>
      <c r="Q55" s="202" t="s">
        <v>3116</v>
      </c>
      <c r="R55" s="318" t="s">
        <v>3704</v>
      </c>
      <c r="S55" s="133">
        <v>2500</v>
      </c>
      <c r="T55" s="133">
        <v>2500</v>
      </c>
      <c r="U55" s="269">
        <v>2700</v>
      </c>
      <c r="V55" s="269">
        <v>700</v>
      </c>
      <c r="AA55" s="178" t="s">
        <v>4395</v>
      </c>
      <c r="AB55" t="s">
        <v>4418</v>
      </c>
      <c r="AH55" s="192" t="s">
        <v>811</v>
      </c>
      <c r="AI55" s="192" t="s">
        <v>3145</v>
      </c>
      <c r="AJ55" s="192"/>
      <c r="AK55" s="193"/>
    </row>
    <row r="56" spans="1:37">
      <c r="A56" s="658"/>
      <c r="B56" s="177" t="str">
        <f t="shared" si="0"/>
        <v>Verona zlatá broušená - maximální doporučená délka profilu 2150 mm</v>
      </c>
      <c r="C56" s="170">
        <f t="shared" si="1"/>
        <v>842.82075287999987</v>
      </c>
      <c r="D56" s="170">
        <f t="shared" si="2"/>
        <v>211.47318000000001</v>
      </c>
      <c r="E56" s="170">
        <v>842.82075287999987</v>
      </c>
      <c r="F56" s="170">
        <v>211.47318000000001</v>
      </c>
      <c r="G56" s="170">
        <v>29.129359300598797</v>
      </c>
      <c r="H56" s="170">
        <v>7.3270562874251493</v>
      </c>
      <c r="I56" s="170">
        <v>114.07305491999999</v>
      </c>
      <c r="J56" s="170">
        <v>33.250500000000002</v>
      </c>
      <c r="K56" s="170">
        <v>10628.774378709677</v>
      </c>
      <c r="L56" s="170">
        <v>2844.5266451612906</v>
      </c>
      <c r="M56" s="202" t="s">
        <v>3267</v>
      </c>
      <c r="N56" s="178" t="s">
        <v>3312</v>
      </c>
      <c r="O56" s="202" t="s">
        <v>3360</v>
      </c>
      <c r="P56" s="178" t="s">
        <v>3444</v>
      </c>
      <c r="Q56" s="202" t="s">
        <v>2562</v>
      </c>
      <c r="R56" s="318" t="s">
        <v>3705</v>
      </c>
      <c r="S56" s="133">
        <v>2150</v>
      </c>
      <c r="T56" s="133">
        <v>2150</v>
      </c>
      <c r="U56" s="269">
        <v>2150</v>
      </c>
      <c r="V56" s="269">
        <v>700</v>
      </c>
      <c r="AA56" s="202" t="s">
        <v>4401</v>
      </c>
      <c r="AB56" t="s">
        <v>4608</v>
      </c>
      <c r="AH56" s="192" t="s">
        <v>392</v>
      </c>
      <c r="AI56" s="192" t="s">
        <v>3152</v>
      </c>
    </row>
    <row r="57" spans="1:37">
      <c r="A57" s="658"/>
      <c r="B57" s="177" t="str">
        <f t="shared" si="0"/>
        <v>Vivaro zlatá broušená - maximální doporučená délka profilu 2150 mm</v>
      </c>
      <c r="C57" s="170">
        <f t="shared" si="1"/>
        <v>1221.3828000000001</v>
      </c>
      <c r="D57" s="170">
        <f t="shared" si="2"/>
        <v>264.79223999999994</v>
      </c>
      <c r="E57" s="170">
        <v>1221.3828000000001</v>
      </c>
      <c r="F57" s="170">
        <v>264.79223999999994</v>
      </c>
      <c r="G57" s="170">
        <v>42.213125748502996</v>
      </c>
      <c r="H57" s="170">
        <v>9.1744383233532911</v>
      </c>
      <c r="I57" s="170">
        <v>165.31020000000001</v>
      </c>
      <c r="J57" s="170">
        <v>41.633999999999993</v>
      </c>
      <c r="K57" s="170">
        <v>15402.803225806452</v>
      </c>
      <c r="L57" s="170">
        <v>3561.7215483870959</v>
      </c>
      <c r="M57" s="202" t="s">
        <v>3268</v>
      </c>
      <c r="N57" s="178" t="s">
        <v>3313</v>
      </c>
      <c r="O57" s="202" t="s">
        <v>3361</v>
      </c>
      <c r="P57" s="178" t="s">
        <v>3445</v>
      </c>
      <c r="Q57" s="202" t="s">
        <v>2563</v>
      </c>
      <c r="R57" s="318" t="s">
        <v>3706</v>
      </c>
      <c r="S57" s="133">
        <v>2150</v>
      </c>
      <c r="T57" s="133">
        <v>2150</v>
      </c>
      <c r="U57" s="269">
        <v>2150</v>
      </c>
      <c r="V57" s="269">
        <v>700</v>
      </c>
      <c r="AA57" s="179" t="s">
        <v>4422</v>
      </c>
      <c r="AB57" t="s">
        <v>4609</v>
      </c>
      <c r="AH57" s="192" t="s">
        <v>865</v>
      </c>
      <c r="AI57" s="192" t="s">
        <v>3153</v>
      </c>
    </row>
    <row r="58" spans="1:37">
      <c r="A58" s="658"/>
      <c r="B58" s="177" t="str">
        <f t="shared" si="0"/>
        <v>Pisa zlatá - maximální doporučená délka profilu 2150 mm</v>
      </c>
      <c r="C58" s="170">
        <f t="shared" si="1"/>
        <v>844.93929686399997</v>
      </c>
      <c r="D58" s="170">
        <f t="shared" si="2"/>
        <v>264.79223999999994</v>
      </c>
      <c r="E58" s="170">
        <v>844.93929686399997</v>
      </c>
      <c r="F58" s="170">
        <v>264.79223999999994</v>
      </c>
      <c r="G58" s="170">
        <v>29.202579885988026</v>
      </c>
      <c r="H58" s="170">
        <v>9.1744383233532911</v>
      </c>
      <c r="I58" s="170">
        <v>114.35979297599999</v>
      </c>
      <c r="J58" s="170">
        <v>41.633999999999993</v>
      </c>
      <c r="K58" s="170">
        <v>10655.491241032259</v>
      </c>
      <c r="L58" s="170">
        <v>3561.7215483870959</v>
      </c>
      <c r="M58" s="202" t="s">
        <v>3269</v>
      </c>
      <c r="N58" s="202" t="s">
        <v>3314</v>
      </c>
      <c r="O58" s="202" t="s">
        <v>3321</v>
      </c>
      <c r="P58" s="178" t="s">
        <v>3446</v>
      </c>
      <c r="Q58" s="202" t="s">
        <v>2593</v>
      </c>
      <c r="R58" s="318" t="s">
        <v>3707</v>
      </c>
      <c r="S58" s="133">
        <v>2150</v>
      </c>
      <c r="T58" s="133">
        <v>2150</v>
      </c>
      <c r="U58" s="269">
        <v>2150</v>
      </c>
      <c r="V58" s="269">
        <v>700</v>
      </c>
      <c r="AA58" s="178" t="s">
        <v>4406</v>
      </c>
      <c r="AB58" t="s">
        <v>4419</v>
      </c>
      <c r="AH58" s="192" t="s">
        <v>859</v>
      </c>
      <c r="AI58" s="192" t="s">
        <v>3154</v>
      </c>
      <c r="AJ58" s="192"/>
      <c r="AK58" s="193"/>
    </row>
    <row r="59" spans="1:37">
      <c r="A59" s="658"/>
      <c r="B59" s="177" t="str">
        <f t="shared" si="0"/>
        <v>ASTI černá mat - maximální doporučená délka profilu 2150 mm</v>
      </c>
      <c r="C59" s="170">
        <f t="shared" si="1"/>
        <v>709.65719999999999</v>
      </c>
      <c r="D59" s="170">
        <f t="shared" si="2"/>
        <v>213.92019000000002</v>
      </c>
      <c r="E59" s="170">
        <v>709.65719999999999</v>
      </c>
      <c r="F59" s="170">
        <v>213.92019000000002</v>
      </c>
      <c r="G59" s="170">
        <v>24.526994011976043</v>
      </c>
      <c r="H59" s="170">
        <v>7.4118395209580834</v>
      </c>
      <c r="I59" s="170">
        <v>96.049799999999991</v>
      </c>
      <c r="J59" s="170">
        <v>33.635249999999999</v>
      </c>
      <c r="K59" s="170">
        <v>8949.4548387096784</v>
      </c>
      <c r="L59" s="170">
        <v>2877.4413870967746</v>
      </c>
      <c r="M59" s="177" t="s">
        <v>3395</v>
      </c>
      <c r="N59" s="202" t="s">
        <v>3396</v>
      </c>
      <c r="O59" s="202" t="s">
        <v>3397</v>
      </c>
      <c r="P59" s="178" t="s">
        <v>3447</v>
      </c>
      <c r="Q59" s="177" t="s">
        <v>3398</v>
      </c>
      <c r="R59" s="318" t="s">
        <v>3708</v>
      </c>
      <c r="S59" s="133">
        <v>2150</v>
      </c>
      <c r="T59" s="133">
        <v>2150</v>
      </c>
      <c r="U59" s="269">
        <v>2150</v>
      </c>
      <c r="V59" s="269">
        <v>700</v>
      </c>
      <c r="AA59" s="178" t="s">
        <v>4412</v>
      </c>
      <c r="AB59" t="s">
        <v>4420</v>
      </c>
      <c r="AH59" s="192" t="s">
        <v>3526</v>
      </c>
      <c r="AI59" s="192" t="s">
        <v>3161</v>
      </c>
      <c r="AJ59" s="192"/>
      <c r="AK59" s="193"/>
    </row>
    <row r="60" spans="1:37">
      <c r="A60" s="658"/>
      <c r="B60" s="177" t="str">
        <f t="shared" si="0"/>
        <v>ASTI antracit RAL 7021 mat - maximální doporučená délka profilu 2500 mm</v>
      </c>
      <c r="C60" s="170">
        <f t="shared" si="1"/>
        <v>1053.3340439999999</v>
      </c>
      <c r="D60" s="170">
        <f t="shared" si="2"/>
        <v>213.92019000000002</v>
      </c>
      <c r="E60" s="170">
        <v>1053.3340439999999</v>
      </c>
      <c r="F60" s="170">
        <v>213.92019000000002</v>
      </c>
      <c r="G60" s="170">
        <v>36.405066826347309</v>
      </c>
      <c r="H60" s="170">
        <v>7.4118395209580834</v>
      </c>
      <c r="I60" s="170">
        <v>142.56534599999998</v>
      </c>
      <c r="J60" s="170">
        <v>33.635249999999999</v>
      </c>
      <c r="K60" s="170">
        <v>13283.547967741937</v>
      </c>
      <c r="L60" s="170">
        <v>2877.4413870967746</v>
      </c>
      <c r="M60" s="177" t="s">
        <v>3399</v>
      </c>
      <c r="N60" s="177" t="s">
        <v>3400</v>
      </c>
      <c r="O60" s="202" t="s">
        <v>3401</v>
      </c>
      <c r="P60" s="177" t="s">
        <v>3448</v>
      </c>
      <c r="Q60" s="177" t="s">
        <v>3402</v>
      </c>
      <c r="R60" s="318" t="s">
        <v>3709</v>
      </c>
      <c r="S60" s="133">
        <v>2500</v>
      </c>
      <c r="T60" s="133">
        <v>2500</v>
      </c>
      <c r="U60" s="269">
        <v>2500</v>
      </c>
      <c r="V60" s="269">
        <v>700</v>
      </c>
      <c r="AA60" s="185" t="s">
        <v>4458</v>
      </c>
      <c r="AB60" t="s">
        <v>4610</v>
      </c>
      <c r="AH60" s="192" t="s">
        <v>3577</v>
      </c>
      <c r="AI60" s="192" t="s">
        <v>3164</v>
      </c>
      <c r="AJ60" s="192"/>
      <c r="AK60" s="193"/>
    </row>
    <row r="61" spans="1:37" ht="15.75" thickBot="1">
      <c r="A61" s="658"/>
      <c r="B61" s="177" t="str">
        <f t="shared" si="0"/>
        <v>Modena hnědá - maximální doporučená délka profilu 2500 mm</v>
      </c>
      <c r="C61" s="170">
        <f t="shared" ref="C61:C65" si="3">IF($D$1=1,E61,IF(OR($D$1=2,$D$1=5,),G61,IF($D$1=3,I61,IF($D$1=4,K61,IF($D$1=6,G61*1.3,0)))))</f>
        <v>620.15896799999996</v>
      </c>
      <c r="D61" s="170">
        <f t="shared" ref="D61:D65" si="4">IF($D$1=1,F61,IF(OR($D$1=2,$D$1=5),H61,IF($D$1=3,J61,IF($D$1=4,L61,IF($D$1=6,H61*1.3,0)))))</f>
        <v>266.66640000000001</v>
      </c>
      <c r="E61" s="473">
        <v>620.15896799999996</v>
      </c>
      <c r="F61" s="474">
        <v>266.66640000000001</v>
      </c>
      <c r="G61" s="474">
        <v>22.78707344</v>
      </c>
      <c r="H61" s="474">
        <v>9.7579918029999995</v>
      </c>
      <c r="I61" s="474">
        <v>87.857100000000003</v>
      </c>
      <c r="J61" s="474">
        <v>39.127499999999998</v>
      </c>
      <c r="K61" s="474">
        <v>8327.4112150000001</v>
      </c>
      <c r="L61" s="474">
        <v>3560.2990650000002</v>
      </c>
      <c r="M61" s="178" t="s">
        <v>4395</v>
      </c>
      <c r="N61" s="178" t="s">
        <v>4396</v>
      </c>
      <c r="O61" s="178" t="s">
        <v>4397</v>
      </c>
      <c r="P61" s="178" t="s">
        <v>4398</v>
      </c>
      <c r="Q61" s="202" t="s">
        <v>4399</v>
      </c>
      <c r="R61" s="318" t="s">
        <v>4400</v>
      </c>
      <c r="S61" s="133">
        <v>2500</v>
      </c>
      <c r="T61" s="133">
        <v>2500</v>
      </c>
      <c r="U61" s="269">
        <v>2500</v>
      </c>
      <c r="V61" s="269">
        <v>700</v>
      </c>
      <c r="AA61" s="185" t="s">
        <v>4459</v>
      </c>
      <c r="AB61" t="s">
        <v>4611</v>
      </c>
      <c r="AH61" s="192" t="s">
        <v>3578</v>
      </c>
      <c r="AI61" s="192" t="s">
        <v>3165</v>
      </c>
      <c r="AJ61" s="192"/>
      <c r="AK61" s="193"/>
    </row>
    <row r="62" spans="1:37" ht="15.75" thickBot="1">
      <c r="A62" s="658"/>
      <c r="B62" s="177" t="str">
        <f t="shared" si="0"/>
        <v>Verona Ivory mat - maximální doporučená délka profilu 2150 mm</v>
      </c>
      <c r="C62" s="170">
        <f t="shared" si="3"/>
        <v>429.26426400000003</v>
      </c>
      <c r="D62" s="170">
        <f t="shared" si="4"/>
        <v>213.0160032</v>
      </c>
      <c r="E62" s="473">
        <v>429.26426400000003</v>
      </c>
      <c r="F62" s="474">
        <v>213.0160032</v>
      </c>
      <c r="G62" s="474">
        <v>15.77285311</v>
      </c>
      <c r="H62" s="474">
        <v>7.7947893439999998</v>
      </c>
      <c r="I62" s="474">
        <v>60.813299999999998</v>
      </c>
      <c r="J62" s="474">
        <v>31.255469999999999</v>
      </c>
      <c r="K62" s="474">
        <v>5764.1028040000001</v>
      </c>
      <c r="L62" s="474">
        <v>2844.0053830000002</v>
      </c>
      <c r="M62" s="202" t="s">
        <v>4401</v>
      </c>
      <c r="N62" s="178" t="s">
        <v>4402</v>
      </c>
      <c r="O62" s="202" t="s">
        <v>4403</v>
      </c>
      <c r="P62" s="178" t="s">
        <v>4404</v>
      </c>
      <c r="Q62" s="202" t="s">
        <v>4405</v>
      </c>
      <c r="R62" s="318" t="s">
        <v>3705</v>
      </c>
      <c r="S62" s="133">
        <v>2150</v>
      </c>
      <c r="T62" s="133">
        <v>2150</v>
      </c>
      <c r="U62" s="269">
        <v>2150</v>
      </c>
      <c r="V62" s="269">
        <v>700</v>
      </c>
      <c r="AA62" s="185" t="s">
        <v>4460</v>
      </c>
      <c r="AB62" t="s">
        <v>4612</v>
      </c>
      <c r="AC62" s="205"/>
      <c r="AD62" s="34"/>
      <c r="AH62" s="193" t="s">
        <v>3579</v>
      </c>
      <c r="AI62" s="192" t="s">
        <v>3172</v>
      </c>
    </row>
    <row r="63" spans="1:37" ht="15.75" thickBot="1">
      <c r="A63" s="659"/>
      <c r="B63" s="177" t="str">
        <f t="shared" si="0"/>
        <v>Treviso černá mat - maximální doporučená délka profilu 2750 mm</v>
      </c>
      <c r="C63" s="170">
        <f t="shared" si="3"/>
        <v>835.22238800000002</v>
      </c>
      <c r="D63" s="170">
        <f t="shared" si="4"/>
        <v>599.35075200000006</v>
      </c>
      <c r="E63" s="473">
        <v>835.22238800000002</v>
      </c>
      <c r="F63" s="474">
        <v>599.35075200000006</v>
      </c>
      <c r="G63" s="474">
        <v>30.689347210000001</v>
      </c>
      <c r="H63" s="474">
        <v>21.931745899999999</v>
      </c>
      <c r="I63" s="474">
        <v>118.32485</v>
      </c>
      <c r="J63" s="474">
        <v>87.941699999999997</v>
      </c>
      <c r="K63" s="474">
        <v>11215.25389</v>
      </c>
      <c r="L63" s="474">
        <v>8002.01271</v>
      </c>
      <c r="M63" s="179" t="s">
        <v>4422</v>
      </c>
      <c r="N63" s="179" t="s">
        <v>4462</v>
      </c>
      <c r="O63" s="178" t="s">
        <v>4426</v>
      </c>
      <c r="P63" s="179" t="s">
        <v>4423</v>
      </c>
      <c r="Q63" s="202" t="s">
        <v>4424</v>
      </c>
      <c r="R63" s="318" t="s">
        <v>4425</v>
      </c>
      <c r="S63" s="133">
        <v>2750</v>
      </c>
      <c r="T63" s="133">
        <v>2750</v>
      </c>
      <c r="U63" s="133">
        <v>2750</v>
      </c>
      <c r="V63" s="133">
        <v>700</v>
      </c>
      <c r="AA63" s="185" t="s">
        <v>4477</v>
      </c>
      <c r="AB63" t="s">
        <v>4613</v>
      </c>
      <c r="AC63" s="205"/>
      <c r="AD63" s="34"/>
      <c r="AH63" s="193" t="s">
        <v>3580</v>
      </c>
      <c r="AI63" s="192" t="s">
        <v>3173</v>
      </c>
    </row>
    <row r="64" spans="1:37" ht="15.75" thickBot="1">
      <c r="A64" s="201"/>
      <c r="B64" s="177" t="str">
        <f t="shared" si="0"/>
        <v>BRW kašmír - maximální doporučená délka profilu 2500 mm</v>
      </c>
      <c r="C64" s="170">
        <f t="shared" si="3"/>
        <v>639.06099400000005</v>
      </c>
      <c r="D64" s="170">
        <f t="shared" si="4"/>
        <v>213.0160032</v>
      </c>
      <c r="E64" s="473">
        <v>639.06099400000005</v>
      </c>
      <c r="F64" s="474">
        <v>213.0160032</v>
      </c>
      <c r="G64" s="474">
        <v>23.48160803</v>
      </c>
      <c r="H64" s="474">
        <v>7.7947893439999998</v>
      </c>
      <c r="I64" s="474">
        <v>90.534925000000001</v>
      </c>
      <c r="J64" s="474">
        <v>31.255469999999999</v>
      </c>
      <c r="K64" s="474">
        <v>8581.2250779999995</v>
      </c>
      <c r="L64" s="474">
        <v>2844.0053830000002</v>
      </c>
      <c r="M64" s="178" t="s">
        <v>4406</v>
      </c>
      <c r="N64" s="178" t="s">
        <v>4408</v>
      </c>
      <c r="O64" s="178" t="s">
        <v>4407</v>
      </c>
      <c r="P64" s="178" t="s">
        <v>4409</v>
      </c>
      <c r="Q64" s="202" t="s">
        <v>4410</v>
      </c>
      <c r="R64" s="318" t="s">
        <v>4411</v>
      </c>
      <c r="S64" s="133">
        <v>2500</v>
      </c>
      <c r="T64" s="133">
        <v>2500</v>
      </c>
      <c r="U64" s="269">
        <v>2700</v>
      </c>
      <c r="V64" s="269">
        <v>700</v>
      </c>
      <c r="AA64" s="185" t="s">
        <v>4478</v>
      </c>
      <c r="AB64" t="s">
        <v>4614</v>
      </c>
      <c r="AH64" s="193" t="s">
        <v>3527</v>
      </c>
      <c r="AI64" s="192" t="s">
        <v>3174</v>
      </c>
    </row>
    <row r="65" spans="1:35" ht="15.75" thickBot="1">
      <c r="A65" s="201"/>
      <c r="B65" s="177" t="str">
        <f t="shared" si="0"/>
        <v>Verona kašmír - maximální doporučená délka profilu 2150 mm</v>
      </c>
      <c r="C65" s="170">
        <f t="shared" si="3"/>
        <v>639.06099400000005</v>
      </c>
      <c r="D65" s="170">
        <f t="shared" si="4"/>
        <v>213.0160032</v>
      </c>
      <c r="E65" s="473">
        <v>639.06099400000005</v>
      </c>
      <c r="F65" s="474">
        <v>213.0160032</v>
      </c>
      <c r="G65" s="474">
        <v>23.48160803</v>
      </c>
      <c r="H65" s="474">
        <v>7.7947893439999998</v>
      </c>
      <c r="I65" s="474">
        <v>90.534925000000001</v>
      </c>
      <c r="J65" s="474">
        <v>31.255469999999999</v>
      </c>
      <c r="K65" s="474">
        <v>8581.2250779999995</v>
      </c>
      <c r="L65" s="474">
        <v>2844.0053830000002</v>
      </c>
      <c r="M65" s="178" t="s">
        <v>4412</v>
      </c>
      <c r="N65" s="178" t="s">
        <v>4413</v>
      </c>
      <c r="O65" s="178" t="s">
        <v>4414</v>
      </c>
      <c r="P65" s="178" t="s">
        <v>4415</v>
      </c>
      <c r="Q65" s="202" t="s">
        <v>4416</v>
      </c>
      <c r="R65" s="318" t="s">
        <v>4417</v>
      </c>
      <c r="S65" s="133">
        <v>2150</v>
      </c>
      <c r="T65" s="133">
        <v>2150</v>
      </c>
      <c r="U65" s="269">
        <v>2150</v>
      </c>
      <c r="V65" s="269">
        <v>700</v>
      </c>
      <c r="AA65" s="185" t="s">
        <v>3270</v>
      </c>
      <c r="AB65" t="s">
        <v>4615</v>
      </c>
      <c r="AH65" s="193" t="s">
        <v>3528</v>
      </c>
      <c r="AI65" s="192" t="s">
        <v>3175</v>
      </c>
    </row>
    <row r="66" spans="1:35" s="475" customFormat="1" ht="15.75" thickBot="1">
      <c r="A66" s="201"/>
      <c r="B66" s="177" t="str">
        <f t="shared" si="0"/>
        <v>Rimini elox - max délka profilu 1100 mm</v>
      </c>
      <c r="C66" s="170" t="str">
        <f t="shared" ref="C66:C70" si="5">IF($D$1=1,E66,IF(OR($D$1=2,$D$1=5,),G66,IF($D$1=3,I66,IF($D$1=4,K66,IF($D$1=6,G66*1.3,0)))))</f>
        <v xml:space="preserve">  280,52    </v>
      </c>
      <c r="D66" s="170" t="str">
        <f t="shared" ref="D66:D70" si="6">IF($D$1=1,F66,IF(OR($D$1=2,$D$1=5),H66,IF($D$1=3,J66,IF($D$1=4,L66,IF($D$1=6,H66*1.3,0)))))</f>
        <v xml:space="preserve">  170,53    </v>
      </c>
      <c r="E66" s="480" t="s">
        <v>4495</v>
      </c>
      <c r="F66" s="480" t="s">
        <v>4496</v>
      </c>
      <c r="G66" s="480" t="s">
        <v>4497</v>
      </c>
      <c r="H66" s="480" t="s">
        <v>4498</v>
      </c>
      <c r="I66" s="480" t="s">
        <v>4499</v>
      </c>
      <c r="J66" s="480" t="s">
        <v>4500</v>
      </c>
      <c r="K66" s="480" t="s">
        <v>4501</v>
      </c>
      <c r="L66" s="480" t="s">
        <v>4502</v>
      </c>
      <c r="M66" s="185" t="s">
        <v>4458</v>
      </c>
      <c r="N66" s="178" t="s">
        <v>4461</v>
      </c>
      <c r="O66" s="178" t="s">
        <v>4465</v>
      </c>
      <c r="P66" s="178" t="s">
        <v>4468</v>
      </c>
      <c r="Q66" s="202" t="s">
        <v>4470</v>
      </c>
      <c r="R66" s="318" t="s">
        <v>4474</v>
      </c>
      <c r="S66" s="475">
        <v>1100</v>
      </c>
      <c r="T66" s="475">
        <v>1100</v>
      </c>
      <c r="U66" s="475">
        <v>1100</v>
      </c>
      <c r="V66" s="475">
        <v>500</v>
      </c>
      <c r="AA66" s="185" t="s">
        <v>3271</v>
      </c>
      <c r="AB66" t="s">
        <v>4616</v>
      </c>
      <c r="AH66" s="476" t="s">
        <v>269</v>
      </c>
      <c r="AI66" s="477" t="s">
        <v>3178</v>
      </c>
    </row>
    <row r="67" spans="1:35" s="475" customFormat="1" ht="15.75" thickBot="1">
      <c r="A67" s="201"/>
      <c r="B67" s="177" t="str">
        <f t="shared" si="0"/>
        <v>Rimini černý mat - max délka profilu 1100 mm</v>
      </c>
      <c r="C67" s="170" t="str">
        <f t="shared" si="5"/>
        <v xml:space="preserve">  523,69    </v>
      </c>
      <c r="D67" s="170" t="str">
        <f t="shared" si="6"/>
        <v xml:space="preserve">  170,53    </v>
      </c>
      <c r="E67" s="480" t="s">
        <v>4503</v>
      </c>
      <c r="F67" s="480" t="s">
        <v>4496</v>
      </c>
      <c r="G67" s="480" t="s">
        <v>4504</v>
      </c>
      <c r="H67" s="480" t="s">
        <v>4498</v>
      </c>
      <c r="I67" s="480" t="s">
        <v>4505</v>
      </c>
      <c r="J67" s="480" t="s">
        <v>4500</v>
      </c>
      <c r="K67" s="480" t="s">
        <v>4506</v>
      </c>
      <c r="L67" s="480" t="s">
        <v>4502</v>
      </c>
      <c r="M67" s="185" t="s">
        <v>4459</v>
      </c>
      <c r="N67" s="178" t="s">
        <v>4463</v>
      </c>
      <c r="O67" s="178" t="s">
        <v>4466</v>
      </c>
      <c r="P67" s="178" t="s">
        <v>4471</v>
      </c>
      <c r="Q67" s="202" t="s">
        <v>4472</v>
      </c>
      <c r="R67" s="318" t="s">
        <v>4475</v>
      </c>
      <c r="S67" s="475">
        <v>1100</v>
      </c>
      <c r="T67" s="475">
        <v>1100</v>
      </c>
      <c r="U67" s="475">
        <v>1100</v>
      </c>
      <c r="V67" s="475">
        <v>500</v>
      </c>
      <c r="AA67" s="185" t="s">
        <v>3272</v>
      </c>
      <c r="AB67" t="s">
        <v>4617</v>
      </c>
      <c r="AH67" s="476" t="s">
        <v>270</v>
      </c>
      <c r="AI67" s="477" t="s">
        <v>3180</v>
      </c>
    </row>
    <row r="68" spans="1:35" s="475" customFormat="1" ht="15.75" thickBot="1">
      <c r="A68" s="201"/>
      <c r="B68" s="177" t="str">
        <f t="shared" si="0"/>
        <v>Rimini champagne - max délka profilu 1100 mm</v>
      </c>
      <c r="C68" s="170" t="str">
        <f t="shared" si="5"/>
        <v xml:space="preserve">  496,61    </v>
      </c>
      <c r="D68" s="170" t="str">
        <f t="shared" si="6"/>
        <v xml:space="preserve">  170,53    </v>
      </c>
      <c r="E68" s="480" t="s">
        <v>4507</v>
      </c>
      <c r="F68" s="480" t="s">
        <v>4496</v>
      </c>
      <c r="G68" s="480" t="s">
        <v>4508</v>
      </c>
      <c r="H68" s="480" t="s">
        <v>4498</v>
      </c>
      <c r="I68" s="480" t="s">
        <v>4509</v>
      </c>
      <c r="J68" s="480" t="s">
        <v>4500</v>
      </c>
      <c r="K68" s="480" t="s">
        <v>4510</v>
      </c>
      <c r="L68" s="480" t="s">
        <v>4502</v>
      </c>
      <c r="M68" s="185" t="s">
        <v>4460</v>
      </c>
      <c r="N68" s="178" t="s">
        <v>4464</v>
      </c>
      <c r="O68" s="178" t="s">
        <v>4467</v>
      </c>
      <c r="P68" s="178" t="s">
        <v>4469</v>
      </c>
      <c r="Q68" s="202" t="s">
        <v>4473</v>
      </c>
      <c r="R68" s="318" t="s">
        <v>4476</v>
      </c>
      <c r="S68" s="475">
        <v>1100</v>
      </c>
      <c r="T68" s="475">
        <v>1100</v>
      </c>
      <c r="U68" s="475">
        <v>1100</v>
      </c>
      <c r="V68" s="475">
        <v>500</v>
      </c>
      <c r="AA68" s="185" t="s">
        <v>3273</v>
      </c>
      <c r="AB68" t="s">
        <v>4618</v>
      </c>
      <c r="AH68" s="476" t="s">
        <v>870</v>
      </c>
      <c r="AI68" s="477" t="s">
        <v>3181</v>
      </c>
    </row>
    <row r="69" spans="1:35" s="475" customFormat="1" ht="15.75" thickBot="1">
      <c r="A69" s="201"/>
      <c r="B69" s="177" t="str">
        <f t="shared" si="0"/>
        <v>Rimini zlatá - max délka profilu 1100 mm</v>
      </c>
      <c r="C69" s="170" t="str">
        <f t="shared" si="5"/>
        <v xml:space="preserve">  569,27    </v>
      </c>
      <c r="D69" s="170" t="str">
        <f t="shared" si="6"/>
        <v xml:space="preserve">  170,53    </v>
      </c>
      <c r="E69" s="480" t="s">
        <v>4511</v>
      </c>
      <c r="F69" s="480" t="s">
        <v>4496</v>
      </c>
      <c r="G69" s="480" t="s">
        <v>4512</v>
      </c>
      <c r="H69" s="480" t="s">
        <v>4498</v>
      </c>
      <c r="I69" s="480" t="s">
        <v>4513</v>
      </c>
      <c r="J69" s="480" t="s">
        <v>4500</v>
      </c>
      <c r="K69" s="480" t="s">
        <v>4514</v>
      </c>
      <c r="L69" s="480" t="s">
        <v>4502</v>
      </c>
      <c r="M69" s="185" t="s">
        <v>4477</v>
      </c>
      <c r="N69" s="178" t="s">
        <v>4479</v>
      </c>
      <c r="O69" s="178" t="s">
        <v>4481</v>
      </c>
      <c r="P69" s="178" t="s">
        <v>4484</v>
      </c>
      <c r="Q69" s="202" t="s">
        <v>4485</v>
      </c>
      <c r="R69" s="318" t="s">
        <v>4488</v>
      </c>
      <c r="S69" s="475">
        <v>1100</v>
      </c>
      <c r="T69" s="475">
        <v>1100</v>
      </c>
      <c r="U69" s="475">
        <v>1100</v>
      </c>
      <c r="V69" s="475">
        <v>500</v>
      </c>
      <c r="AA69" s="185" t="s">
        <v>3274</v>
      </c>
      <c r="AB69" t="s">
        <v>4619</v>
      </c>
      <c r="AH69" s="476"/>
      <c r="AI69" s="477"/>
    </row>
    <row r="70" spans="1:35" s="475" customFormat="1" ht="15.75" thickBot="1">
      <c r="A70" s="201"/>
      <c r="B70" s="177" t="str">
        <f t="shared" si="0"/>
        <v>Rimini zlatá broušená - max délka profilu 1100 mm</v>
      </c>
      <c r="C70" s="170" t="str">
        <f t="shared" si="5"/>
        <v xml:space="preserve">  669,50    </v>
      </c>
      <c r="D70" s="170" t="str">
        <f t="shared" si="6"/>
        <v xml:space="preserve">  170,53    </v>
      </c>
      <c r="E70" s="480" t="s">
        <v>4515</v>
      </c>
      <c r="F70" s="480" t="s">
        <v>4496</v>
      </c>
      <c r="G70" s="480" t="s">
        <v>4516</v>
      </c>
      <c r="H70" s="480" t="s">
        <v>4498</v>
      </c>
      <c r="I70" s="480" t="s">
        <v>4517</v>
      </c>
      <c r="J70" s="480" t="s">
        <v>4500</v>
      </c>
      <c r="K70" s="480" t="s">
        <v>4518</v>
      </c>
      <c r="L70" s="480" t="s">
        <v>4502</v>
      </c>
      <c r="M70" s="185" t="s">
        <v>4478</v>
      </c>
      <c r="N70" s="178" t="s">
        <v>4480</v>
      </c>
      <c r="O70" s="178" t="s">
        <v>4482</v>
      </c>
      <c r="P70" s="178" t="s">
        <v>4483</v>
      </c>
      <c r="Q70" s="202" t="s">
        <v>4486</v>
      </c>
      <c r="R70" s="318" t="s">
        <v>4487</v>
      </c>
      <c r="S70" s="475">
        <v>1100</v>
      </c>
      <c r="T70" s="475">
        <v>1100</v>
      </c>
      <c r="U70" s="475">
        <v>1100</v>
      </c>
      <c r="V70" s="475">
        <v>500</v>
      </c>
      <c r="AA70" s="185" t="s">
        <v>3275</v>
      </c>
      <c r="AB70" t="s">
        <v>4620</v>
      </c>
      <c r="AH70" s="476"/>
      <c r="AI70" s="477"/>
    </row>
    <row r="71" spans="1:35">
      <c r="A71" s="201"/>
      <c r="B71" s="177" t="str">
        <f t="shared" ref="B71:B76" si="7">IF($D$1=1,M71,
IF($D$1=2,N71,
IF($D$1=3,O71,
IF($D$1=4,P71,
IF($D$1=5,Q71,
IF($D$1=6,R71,0))))))</f>
        <v>BRW champagne - maximální doporučená délka profilu 2500 mm</v>
      </c>
      <c r="C71" s="170">
        <f t="shared" ref="C71:C76" si="8">IF($D$1=1,E71,IF(OR($D$1=2,$D$1=5,),G71,IF($D$1=3,I71,IF($D$1=4,K71,IF($D$1=6,G71*1.3,0)))))</f>
        <v>399.62872800000002</v>
      </c>
      <c r="D71" s="170">
        <f t="shared" ref="D71:D76" si="9">IF($D$1=1,F71,IF(OR($D$1=2,$D$1=5),H71,IF($D$1=3,J71,IF($D$1=4,L71,IF($D$1=6,H71*1.3,0)))))</f>
        <v>211.47318000000001</v>
      </c>
      <c r="E71" s="170">
        <v>399.62872800000002</v>
      </c>
      <c r="F71" s="170">
        <v>211.47318000000001</v>
      </c>
      <c r="G71" s="170">
        <v>13.811867784431138</v>
      </c>
      <c r="H71" s="170">
        <v>7.3270562874251493</v>
      </c>
      <c r="I71" s="170">
        <v>54.088451999999997</v>
      </c>
      <c r="J71" s="170">
        <v>33.250500000000002</v>
      </c>
      <c r="K71" s="170">
        <v>5039.6998064516129</v>
      </c>
      <c r="L71" s="170">
        <v>2844.5266451612906</v>
      </c>
      <c r="M71" s="185" t="s">
        <v>3270</v>
      </c>
      <c r="N71" s="185" t="s">
        <v>3315</v>
      </c>
      <c r="O71" s="185" t="s">
        <v>3322</v>
      </c>
      <c r="P71" s="34" t="s">
        <v>3449</v>
      </c>
      <c r="Q71" s="185" t="s">
        <v>3048</v>
      </c>
      <c r="R71" s="318" t="s">
        <v>3710</v>
      </c>
      <c r="S71" s="133">
        <v>2500</v>
      </c>
      <c r="T71" s="133">
        <v>2500</v>
      </c>
      <c r="U71" s="269">
        <v>2700</v>
      </c>
      <c r="V71" s="269">
        <v>700</v>
      </c>
      <c r="AA71" s="181" t="s">
        <v>2384</v>
      </c>
      <c r="AB71" s="185" t="s">
        <v>3053</v>
      </c>
      <c r="AH71" s="192" t="s">
        <v>387</v>
      </c>
      <c r="AI71" s="192" t="s">
        <v>387</v>
      </c>
    </row>
    <row r="72" spans="1:35">
      <c r="A72" s="201"/>
      <c r="B72" s="177" t="str">
        <f t="shared" si="7"/>
        <v>BRW champagne light - maximální doporučená délka profilu 2500 mm</v>
      </c>
      <c r="C72" s="170">
        <f t="shared" si="8"/>
        <v>572.32163519999995</v>
      </c>
      <c r="D72" s="170">
        <f t="shared" si="9"/>
        <v>211.47318000000001</v>
      </c>
      <c r="E72" s="170">
        <v>572.32163519999995</v>
      </c>
      <c r="F72" s="170">
        <v>211.47318000000001</v>
      </c>
      <c r="G72" s="170">
        <v>19.780436694610778</v>
      </c>
      <c r="H72" s="170">
        <v>7.3270562874251493</v>
      </c>
      <c r="I72" s="170">
        <v>77.461876799999999</v>
      </c>
      <c r="J72" s="170">
        <v>33.250500000000002</v>
      </c>
      <c r="K72" s="170">
        <v>7217.5222451612899</v>
      </c>
      <c r="L72" s="170">
        <v>2844.5266451612906</v>
      </c>
      <c r="M72" s="185" t="s">
        <v>3271</v>
      </c>
      <c r="N72" s="185" t="s">
        <v>3316</v>
      </c>
      <c r="O72" s="185" t="s">
        <v>3323</v>
      </c>
      <c r="P72" s="34" t="s">
        <v>3450</v>
      </c>
      <c r="Q72" s="185" t="s">
        <v>3117</v>
      </c>
      <c r="R72" s="318" t="s">
        <v>3711</v>
      </c>
      <c r="S72" s="133">
        <v>2500</v>
      </c>
      <c r="T72" s="133">
        <v>2500</v>
      </c>
      <c r="U72" s="269">
        <v>2700</v>
      </c>
      <c r="V72" s="269">
        <v>700</v>
      </c>
      <c r="AA72" s="181" t="s">
        <v>1230</v>
      </c>
      <c r="AB72" s="185" t="s">
        <v>3054</v>
      </c>
      <c r="AH72" s="192" t="s">
        <v>1140</v>
      </c>
      <c r="AI72" s="192" t="s">
        <v>1140</v>
      </c>
    </row>
    <row r="73" spans="1:35">
      <c r="A73" s="201"/>
      <c r="B73" s="177" t="str">
        <f t="shared" si="7"/>
        <v>ROMA černá mat - maximální doporučená délka profilu 2696 mm</v>
      </c>
      <c r="C73" s="170">
        <f t="shared" si="8"/>
        <v>851.58864000000005</v>
      </c>
      <c r="D73" s="170">
        <f t="shared" si="9"/>
        <v>595.00979999999993</v>
      </c>
      <c r="E73" s="170">
        <v>851.58864000000005</v>
      </c>
      <c r="F73" s="170">
        <v>595.00979999999993</v>
      </c>
      <c r="G73" s="170">
        <v>29.432392814371259</v>
      </c>
      <c r="H73" s="170">
        <v>20.615712574850296</v>
      </c>
      <c r="I73" s="170">
        <v>115.25976</v>
      </c>
      <c r="J73" s="170">
        <v>93.554999999999993</v>
      </c>
      <c r="K73" s="170">
        <v>10739.345806451614</v>
      </c>
      <c r="L73" s="170">
        <v>8003.4793548387088</v>
      </c>
      <c r="M73" s="185" t="s">
        <v>3272</v>
      </c>
      <c r="N73" s="185" t="s">
        <v>3317</v>
      </c>
      <c r="O73" s="185" t="s">
        <v>3324</v>
      </c>
      <c r="P73" s="185" t="s">
        <v>3451</v>
      </c>
      <c r="Q73" s="246" t="s">
        <v>3049</v>
      </c>
      <c r="R73" s="318" t="s">
        <v>3712</v>
      </c>
      <c r="S73" s="133">
        <v>2696</v>
      </c>
      <c r="T73" s="133">
        <v>2696</v>
      </c>
      <c r="U73" s="269">
        <v>2696</v>
      </c>
      <c r="V73" s="269">
        <v>700</v>
      </c>
      <c r="AA73" s="181" t="s">
        <v>2385</v>
      </c>
      <c r="AB73" s="185" t="s">
        <v>3055</v>
      </c>
      <c r="AH73" s="192" t="s">
        <v>1136</v>
      </c>
      <c r="AI73" s="192" t="s">
        <v>1136</v>
      </c>
    </row>
    <row r="74" spans="1:35">
      <c r="A74" s="201"/>
      <c r="B74" s="177" t="str">
        <f t="shared" si="7"/>
        <v>ROMA champagne mat - maximální doporučená délka profilu 2696 mm</v>
      </c>
      <c r="C74" s="170">
        <f t="shared" si="8"/>
        <v>851.58864000000005</v>
      </c>
      <c r="D74" s="170">
        <f t="shared" si="9"/>
        <v>595.00979999999993</v>
      </c>
      <c r="E74" s="170">
        <v>851.58864000000005</v>
      </c>
      <c r="F74" s="170">
        <v>595.00979999999993</v>
      </c>
      <c r="G74" s="170">
        <v>29.432392814371259</v>
      </c>
      <c r="H74" s="170">
        <v>20.615712574850296</v>
      </c>
      <c r="I74" s="170">
        <v>115.25976</v>
      </c>
      <c r="J74" s="170">
        <v>93.554999999999993</v>
      </c>
      <c r="K74" s="170">
        <v>10739.345806451614</v>
      </c>
      <c r="L74" s="170">
        <v>8003.4793548387088</v>
      </c>
      <c r="M74" s="185" t="s">
        <v>3273</v>
      </c>
      <c r="N74" s="185" t="s">
        <v>3318</v>
      </c>
      <c r="O74" s="185" t="s">
        <v>3325</v>
      </c>
      <c r="P74" s="185" t="s">
        <v>3452</v>
      </c>
      <c r="Q74" s="185" t="s">
        <v>3050</v>
      </c>
      <c r="R74" s="318" t="s">
        <v>3713</v>
      </c>
      <c r="S74" s="133">
        <v>2696</v>
      </c>
      <c r="T74" s="133">
        <v>2696</v>
      </c>
      <c r="U74" s="269">
        <v>2696</v>
      </c>
      <c r="V74" s="269">
        <v>700</v>
      </c>
      <c r="AA74" s="181" t="s">
        <v>2386</v>
      </c>
      <c r="AB74" s="185" t="s">
        <v>2392</v>
      </c>
      <c r="AH74" s="192" t="s">
        <v>1141</v>
      </c>
      <c r="AI74" s="192" t="s">
        <v>1141</v>
      </c>
    </row>
    <row r="75" spans="1:35">
      <c r="A75" s="201"/>
      <c r="B75" s="177" t="str">
        <f t="shared" si="7"/>
        <v>ROMA GRIP černá mat - maximální doporučená délka profilu 2696 mm</v>
      </c>
      <c r="C75" s="170">
        <f t="shared" si="8"/>
        <v>851.58864000000005</v>
      </c>
      <c r="D75" s="170">
        <f t="shared" si="9"/>
        <v>595.00979999999993</v>
      </c>
      <c r="E75" s="170">
        <v>851.58864000000005</v>
      </c>
      <c r="F75" s="170">
        <v>595.00979999999993</v>
      </c>
      <c r="G75" s="170">
        <v>29.432392814371259</v>
      </c>
      <c r="H75" s="170">
        <v>20.615712574850296</v>
      </c>
      <c r="I75" s="170">
        <v>115.25976</v>
      </c>
      <c r="J75" s="170">
        <v>93.554999999999993</v>
      </c>
      <c r="K75" s="170">
        <v>10739.345806451614</v>
      </c>
      <c r="L75" s="170">
        <v>8003.4793548387088</v>
      </c>
      <c r="M75" s="185" t="s">
        <v>3274</v>
      </c>
      <c r="N75" s="185" t="s">
        <v>3319</v>
      </c>
      <c r="O75" s="185" t="s">
        <v>3326</v>
      </c>
      <c r="P75" s="185" t="s">
        <v>3453</v>
      </c>
      <c r="Q75" s="214" t="s">
        <v>3051</v>
      </c>
      <c r="R75" s="318" t="s">
        <v>3714</v>
      </c>
      <c r="S75" s="133">
        <v>2696</v>
      </c>
      <c r="T75" s="133">
        <v>2696</v>
      </c>
      <c r="U75" s="269">
        <v>2696</v>
      </c>
      <c r="V75" s="269">
        <v>700</v>
      </c>
      <c r="AA75" s="181" t="s">
        <v>1233</v>
      </c>
      <c r="AB75" s="185" t="s">
        <v>1235</v>
      </c>
      <c r="AH75" s="192" t="s">
        <v>549</v>
      </c>
      <c r="AI75" s="192" t="s">
        <v>3141</v>
      </c>
    </row>
    <row r="76" spans="1:35">
      <c r="A76" s="201"/>
      <c r="B76" s="177" t="str">
        <f t="shared" si="7"/>
        <v>ROMA GRIP champagne mat - maximální doporučená délka profilu 2696 mm</v>
      </c>
      <c r="C76" s="170">
        <f t="shared" si="8"/>
        <v>851.58864000000005</v>
      </c>
      <c r="D76" s="170">
        <f t="shared" si="9"/>
        <v>595.00979999999993</v>
      </c>
      <c r="E76" s="170">
        <v>851.58864000000005</v>
      </c>
      <c r="F76" s="170">
        <v>595.00979999999993</v>
      </c>
      <c r="G76" s="170">
        <v>29.432392814371259</v>
      </c>
      <c r="H76" s="170">
        <v>20.615712574850296</v>
      </c>
      <c r="I76" s="170">
        <v>115.25976</v>
      </c>
      <c r="J76" s="170">
        <v>93.554999999999993</v>
      </c>
      <c r="K76" s="170">
        <v>10739.345806451614</v>
      </c>
      <c r="L76" s="170">
        <v>8003.4793548387088</v>
      </c>
      <c r="M76" s="185" t="s">
        <v>3275</v>
      </c>
      <c r="N76" s="185" t="s">
        <v>3320</v>
      </c>
      <c r="O76" s="185" t="s">
        <v>3327</v>
      </c>
      <c r="P76" s="185" t="s">
        <v>3454</v>
      </c>
      <c r="Q76" s="185" t="s">
        <v>3052</v>
      </c>
      <c r="R76" s="318" t="s">
        <v>3715</v>
      </c>
      <c r="S76" s="133">
        <v>2696</v>
      </c>
      <c r="T76" s="133">
        <v>2696</v>
      </c>
      <c r="U76" s="269">
        <v>2696</v>
      </c>
      <c r="V76" s="269">
        <v>700</v>
      </c>
      <c r="AA76" s="181" t="s">
        <v>1420</v>
      </c>
      <c r="AB76" s="185" t="s">
        <v>1422</v>
      </c>
      <c r="AH76" s="192" t="s">
        <v>866</v>
      </c>
      <c r="AI76" s="192" t="s">
        <v>3144</v>
      </c>
    </row>
    <row r="77" spans="1:35">
      <c r="B77" s="182"/>
      <c r="C77" s="134"/>
      <c r="D77" s="134"/>
      <c r="E77" s="134"/>
      <c r="F77" s="134"/>
      <c r="G77" s="183"/>
      <c r="H77" s="183"/>
      <c r="I77" s="183"/>
      <c r="J77" s="183"/>
      <c r="K77" s="184"/>
      <c r="L77" s="184"/>
      <c r="M77" s="181"/>
      <c r="N77" s="181"/>
      <c r="O77" s="185"/>
      <c r="P77" s="181"/>
      <c r="AA77" s="178" t="s">
        <v>3276</v>
      </c>
      <c r="AB77" t="s">
        <v>554</v>
      </c>
      <c r="AH77" s="192" t="s">
        <v>867</v>
      </c>
      <c r="AI77" s="192" t="s">
        <v>3147</v>
      </c>
    </row>
    <row r="78" spans="1:35" ht="15.75" thickBot="1">
      <c r="B78" s="182"/>
      <c r="C78" s="134" t="s">
        <v>1200</v>
      </c>
      <c r="D78" s="134" t="s">
        <v>1201</v>
      </c>
      <c r="E78" s="134"/>
      <c r="F78" s="134"/>
      <c r="G78" s="183"/>
      <c r="H78" s="183"/>
      <c r="I78" s="183"/>
      <c r="J78" s="183"/>
      <c r="K78" s="184"/>
      <c r="L78" s="184"/>
      <c r="M78" s="181"/>
      <c r="N78" s="181"/>
      <c r="O78" s="185"/>
      <c r="P78" s="181"/>
      <c r="AA78" s="178" t="s">
        <v>3277</v>
      </c>
      <c r="AB78" t="s">
        <v>4446</v>
      </c>
      <c r="AH78" s="192" t="s">
        <v>3581</v>
      </c>
      <c r="AI78" s="192" t="s">
        <v>3150</v>
      </c>
    </row>
    <row r="79" spans="1:35" ht="15.75" thickBot="1">
      <c r="A79" s="661" t="s">
        <v>1202</v>
      </c>
      <c r="B79" s="177"/>
      <c r="C79" s="186" t="str">
        <f>$B$32</f>
        <v>Siena (elox.) - maximální doporučená délka profilu 2500 mm</v>
      </c>
      <c r="D79" s="187" t="str">
        <f>B49</f>
        <v>Varna (elox.) - maximální doporučená délka profilu 2500 mm</v>
      </c>
      <c r="E79" s="134"/>
      <c r="F79" s="134"/>
      <c r="G79" s="183"/>
      <c r="H79" s="183"/>
      <c r="I79" s="183"/>
      <c r="J79" s="183"/>
      <c r="K79" s="184"/>
      <c r="L79" s="184"/>
      <c r="M79" s="181" t="s">
        <v>2384</v>
      </c>
      <c r="N79" s="181" t="s">
        <v>2387</v>
      </c>
      <c r="O79" s="185" t="s">
        <v>3053</v>
      </c>
      <c r="P79" s="181" t="s">
        <v>2394</v>
      </c>
      <c r="Q79" s="133" t="s">
        <v>2390</v>
      </c>
      <c r="R79" s="318" t="s">
        <v>3716</v>
      </c>
      <c r="S79" s="133">
        <v>2500</v>
      </c>
      <c r="T79" s="133">
        <v>2500</v>
      </c>
      <c r="U79" s="269">
        <v>2700</v>
      </c>
      <c r="V79" s="269">
        <v>700</v>
      </c>
      <c r="AA79" s="178" t="s">
        <v>3278</v>
      </c>
      <c r="AB79" t="s">
        <v>4447</v>
      </c>
      <c r="AH79" s="192" t="s">
        <v>393</v>
      </c>
      <c r="AI79" s="192" t="s">
        <v>3152</v>
      </c>
    </row>
    <row r="80" spans="1:35" ht="15.75" thickBot="1">
      <c r="A80" s="662"/>
      <c r="B80" s="177"/>
      <c r="C80" s="186">
        <f>$B$33</f>
        <v>0</v>
      </c>
      <c r="D80" s="187" t="str">
        <f>$B$54</f>
        <v>Varna černá - maximální doporučená délka profilu 1200 mm</v>
      </c>
      <c r="M80" s="181" t="s">
        <v>1230</v>
      </c>
      <c r="N80" s="181" t="s">
        <v>1231</v>
      </c>
      <c r="O80" s="185" t="s">
        <v>3054</v>
      </c>
      <c r="P80" s="181" t="s">
        <v>1232</v>
      </c>
      <c r="Q80" s="133" t="s">
        <v>1345</v>
      </c>
      <c r="R80" s="318" t="s">
        <v>3717</v>
      </c>
      <c r="S80" s="133">
        <v>1200</v>
      </c>
      <c r="T80" s="133">
        <v>2500</v>
      </c>
      <c r="U80" s="269">
        <v>2700</v>
      </c>
      <c r="V80" s="269">
        <v>700</v>
      </c>
      <c r="AA80" s="178" t="s">
        <v>3363</v>
      </c>
      <c r="AB80" t="s">
        <v>4568</v>
      </c>
      <c r="AH80" s="192" t="s">
        <v>868</v>
      </c>
      <c r="AI80" s="192" t="s">
        <v>3153</v>
      </c>
    </row>
    <row r="81" spans="1:35" ht="15.75" thickBot="1">
      <c r="A81" s="662"/>
      <c r="B81" s="177"/>
      <c r="C81" s="186" t="str">
        <f>$B$27</f>
        <v>Palio (elox.) - maximální doporučená délka profilu 2500 mm</v>
      </c>
      <c r="D81" s="187" t="str">
        <f>B49</f>
        <v>Varna (elox.) - maximální doporučená délka profilu 2500 mm</v>
      </c>
      <c r="E81" s="134"/>
      <c r="F81" s="134"/>
      <c r="G81" s="183"/>
      <c r="H81" s="183"/>
      <c r="I81" s="183"/>
      <c r="J81" s="183"/>
      <c r="K81" s="184"/>
      <c r="L81" s="184"/>
      <c r="M81" s="181" t="s">
        <v>2385</v>
      </c>
      <c r="N81" s="181" t="s">
        <v>2388</v>
      </c>
      <c r="O81" s="185" t="s">
        <v>3055</v>
      </c>
      <c r="P81" s="181" t="s">
        <v>2395</v>
      </c>
      <c r="Q81" s="133" t="s">
        <v>2391</v>
      </c>
      <c r="R81" s="318" t="s">
        <v>3718</v>
      </c>
      <c r="S81" s="133">
        <v>2500</v>
      </c>
      <c r="T81" s="133">
        <v>2500</v>
      </c>
      <c r="U81" s="269">
        <v>2700</v>
      </c>
      <c r="V81" s="269">
        <v>700</v>
      </c>
      <c r="AA81" s="178" t="s">
        <v>3279</v>
      </c>
      <c r="AB81" t="s">
        <v>4448</v>
      </c>
      <c r="AH81" s="192" t="s">
        <v>860</v>
      </c>
      <c r="AI81" s="192" t="s">
        <v>3154</v>
      </c>
    </row>
    <row r="82" spans="1:35" ht="15.75" thickBot="1">
      <c r="A82" s="662"/>
      <c r="B82" s="177" t="str">
        <f t="shared" ref="B82:B83" si="10">IF($D$1=1,M82,
IF($D$1=2,N82,
IF($D$1=3,O82,
IF($D$1=4,P82,
IF($D$1=5,Q82,
IF($D$1=6,R82,0))))))</f>
        <v>Rocca elox (Vlevo a vpravo) + Varna elox (Nahoře a dole)</v>
      </c>
      <c r="C82" s="186" t="str">
        <f>B50</f>
        <v>Rocca (elox.) - maximální doporučená délka profilu 2150 mm</v>
      </c>
      <c r="D82" s="268" t="str">
        <f>B49</f>
        <v>Varna (elox.) - maximální doporučená délka profilu 2500 mm</v>
      </c>
      <c r="E82" s="134"/>
      <c r="F82" s="134"/>
      <c r="G82" s="183"/>
      <c r="H82" s="183"/>
      <c r="I82" s="183"/>
      <c r="J82" s="183"/>
      <c r="K82" s="184"/>
      <c r="L82" s="184"/>
      <c r="M82" s="181" t="s">
        <v>2386</v>
      </c>
      <c r="N82" s="181" t="s">
        <v>2389</v>
      </c>
      <c r="O82" s="185" t="s">
        <v>2392</v>
      </c>
      <c r="P82" s="181" t="s">
        <v>2396</v>
      </c>
      <c r="Q82" s="133" t="s">
        <v>2393</v>
      </c>
      <c r="R82" s="318" t="s">
        <v>3719</v>
      </c>
      <c r="S82" s="133">
        <v>2500</v>
      </c>
      <c r="T82" s="133">
        <v>2500</v>
      </c>
      <c r="U82" s="269">
        <v>2150</v>
      </c>
      <c r="V82" s="269">
        <v>700</v>
      </c>
      <c r="AA82" s="179" t="s">
        <v>3280</v>
      </c>
      <c r="AB82" t="s">
        <v>4449</v>
      </c>
      <c r="AH82" s="192" t="s">
        <v>3582</v>
      </c>
      <c r="AI82" s="192" t="s">
        <v>3155</v>
      </c>
    </row>
    <row r="83" spans="1:35" ht="15.75" thickBot="1">
      <c r="A83" s="662"/>
      <c r="B83" s="177" t="str">
        <f t="shared" si="10"/>
        <v>Rocca černá (Vlevo a vpravo) + Varna černá (Nahoře a dole)</v>
      </c>
      <c r="C83" s="186" t="str">
        <f>B42</f>
        <v>Rocca černá mat - maximální doporučená délka profilu 2150 mm</v>
      </c>
      <c r="D83" s="268" t="str">
        <f>$B$54</f>
        <v>Varna černá - maximální doporučená délka profilu 1200 mm</v>
      </c>
      <c r="E83" s="134"/>
      <c r="F83" s="134"/>
      <c r="G83" s="183"/>
      <c r="H83" s="183"/>
      <c r="I83" s="183"/>
      <c r="J83" s="183"/>
      <c r="K83" s="184"/>
      <c r="L83" s="184"/>
      <c r="M83" s="181" t="s">
        <v>1233</v>
      </c>
      <c r="N83" s="181" t="s">
        <v>1234</v>
      </c>
      <c r="O83" s="185" t="s">
        <v>1235</v>
      </c>
      <c r="P83" s="181" t="s">
        <v>1236</v>
      </c>
      <c r="Q83" s="133" t="s">
        <v>1346</v>
      </c>
      <c r="R83" s="318" t="s">
        <v>3720</v>
      </c>
      <c r="S83" s="133">
        <v>1200</v>
      </c>
      <c r="T83" s="133">
        <v>2150</v>
      </c>
      <c r="U83" s="269">
        <v>2150</v>
      </c>
      <c r="V83" s="269">
        <v>700</v>
      </c>
      <c r="AA83" s="179" t="s">
        <v>3281</v>
      </c>
      <c r="AB83" t="s">
        <v>4450</v>
      </c>
      <c r="AH83" s="192" t="s">
        <v>3583</v>
      </c>
      <c r="AI83" s="192" t="s">
        <v>2567</v>
      </c>
    </row>
    <row r="84" spans="1:35" ht="15.75" thickBot="1">
      <c r="A84" s="663"/>
      <c r="B84" s="177"/>
      <c r="C84" s="134">
        <f>$B$28</f>
        <v>0</v>
      </c>
      <c r="D84" s="134" t="str">
        <f>$B$54</f>
        <v>Varna černá - maximální doporučená délka profilu 1200 mm</v>
      </c>
      <c r="E84" s="134"/>
      <c r="F84" s="134"/>
      <c r="G84" s="183"/>
      <c r="H84" s="183"/>
      <c r="I84" s="183"/>
      <c r="J84" s="183"/>
      <c r="K84" s="184"/>
      <c r="L84" s="184"/>
      <c r="M84" s="181" t="s">
        <v>1420</v>
      </c>
      <c r="N84" s="181" t="s">
        <v>1421</v>
      </c>
      <c r="O84" s="185" t="s">
        <v>1422</v>
      </c>
      <c r="P84" s="181" t="s">
        <v>1423</v>
      </c>
      <c r="Q84" s="133" t="s">
        <v>1424</v>
      </c>
      <c r="R84" s="318" t="s">
        <v>3721</v>
      </c>
      <c r="S84" s="133">
        <v>1200</v>
      </c>
      <c r="T84" s="133">
        <v>2500</v>
      </c>
      <c r="U84" s="269">
        <v>2700</v>
      </c>
      <c r="V84" s="269">
        <v>700</v>
      </c>
      <c r="AA84" s="180" t="s">
        <v>3463</v>
      </c>
      <c r="AB84" t="s">
        <v>1603</v>
      </c>
      <c r="AH84" s="192" t="s">
        <v>3584</v>
      </c>
      <c r="AI84" s="192" t="s">
        <v>3159</v>
      </c>
    </row>
    <row r="85" spans="1:35">
      <c r="A85" s="135"/>
      <c r="B85" s="266"/>
      <c r="C85" s="267"/>
      <c r="D85" s="267"/>
      <c r="E85" s="134"/>
      <c r="F85" s="134"/>
      <c r="G85" s="183"/>
      <c r="H85" s="183"/>
      <c r="I85" s="183"/>
      <c r="J85" s="183"/>
      <c r="K85" s="184"/>
      <c r="L85" s="184"/>
      <c r="M85" s="181"/>
      <c r="N85" s="181"/>
      <c r="O85" s="185"/>
      <c r="P85" s="181"/>
      <c r="AA85" s="179" t="s">
        <v>3282</v>
      </c>
      <c r="AB85" t="s">
        <v>4451</v>
      </c>
      <c r="AH85" s="192" t="s">
        <v>3585</v>
      </c>
      <c r="AI85" s="192" t="s">
        <v>3161</v>
      </c>
    </row>
    <row r="86" spans="1:35">
      <c r="A86" s="135"/>
      <c r="B86" s="133" t="s">
        <v>3455</v>
      </c>
      <c r="AA86" s="179" t="s">
        <v>4435</v>
      </c>
      <c r="AB86" t="s">
        <v>4569</v>
      </c>
      <c r="AH86" s="192" t="s">
        <v>3586</v>
      </c>
      <c r="AI86" s="192" t="s">
        <v>3164</v>
      </c>
    </row>
    <row r="87" spans="1:35">
      <c r="A87" s="135"/>
      <c r="B87" s="182"/>
      <c r="C87" s="182"/>
      <c r="D87" s="182"/>
      <c r="E87" s="134"/>
      <c r="F87" s="134"/>
      <c r="G87" s="183"/>
      <c r="H87" s="183"/>
      <c r="I87" s="183"/>
      <c r="J87" s="183"/>
      <c r="K87" s="184"/>
      <c r="L87" s="184"/>
      <c r="M87" s="181"/>
      <c r="N87" s="181"/>
      <c r="O87" s="185"/>
      <c r="P87" s="181"/>
      <c r="AA87" s="179" t="s">
        <v>4428</v>
      </c>
      <c r="AB87" t="s">
        <v>4443</v>
      </c>
      <c r="AH87" s="192" t="s">
        <v>3587</v>
      </c>
      <c r="AI87" s="192" t="s">
        <v>3165</v>
      </c>
    </row>
    <row r="88" spans="1:35">
      <c r="A88" s="135"/>
      <c r="AA88" s="179" t="s">
        <v>3367</v>
      </c>
      <c r="AB88" t="s">
        <v>555</v>
      </c>
      <c r="AH88" s="192" t="s">
        <v>3588</v>
      </c>
      <c r="AI88" s="192" t="s">
        <v>3172</v>
      </c>
    </row>
    <row r="89" spans="1:35">
      <c r="A89" s="135"/>
      <c r="AA89" s="179" t="s">
        <v>3371</v>
      </c>
      <c r="AB89" t="s">
        <v>4570</v>
      </c>
      <c r="AH89" s="192" t="s">
        <v>3589</v>
      </c>
      <c r="AI89" s="192" t="s">
        <v>3173</v>
      </c>
    </row>
    <row r="90" spans="1:35">
      <c r="A90" s="135"/>
      <c r="B90" s="182"/>
      <c r="C90" s="134"/>
      <c r="D90" s="134"/>
      <c r="E90" s="134"/>
      <c r="F90" s="134"/>
      <c r="G90" s="183"/>
      <c r="H90" s="183"/>
      <c r="I90" s="183"/>
      <c r="J90" s="183"/>
      <c r="K90" s="184"/>
      <c r="L90" s="184"/>
      <c r="M90" s="181"/>
      <c r="N90" s="181"/>
      <c r="O90" s="185"/>
      <c r="P90" s="181"/>
      <c r="AA90" s="179" t="s">
        <v>3375</v>
      </c>
      <c r="AB90" t="s">
        <v>4571</v>
      </c>
      <c r="AH90" s="192" t="s">
        <v>3590</v>
      </c>
      <c r="AI90" s="192" t="s">
        <v>3174</v>
      </c>
    </row>
    <row r="91" spans="1:35">
      <c r="B91" s="182"/>
      <c r="C91" s="134"/>
      <c r="D91" s="134"/>
      <c r="E91" s="134"/>
      <c r="F91" s="134"/>
      <c r="G91" s="183"/>
      <c r="H91" s="183"/>
      <c r="I91" s="183"/>
      <c r="J91" s="183"/>
      <c r="K91" s="184"/>
      <c r="L91" s="184"/>
      <c r="M91" s="181"/>
      <c r="N91" s="181"/>
      <c r="O91" s="185"/>
      <c r="P91" s="181"/>
      <c r="AA91" s="179" t="s">
        <v>3283</v>
      </c>
      <c r="AB91" t="s">
        <v>4572</v>
      </c>
      <c r="AH91" s="192" t="s">
        <v>3591</v>
      </c>
      <c r="AI91" s="192" t="s">
        <v>3175</v>
      </c>
    </row>
    <row r="92" spans="1:35">
      <c r="B92" s="176" t="s">
        <v>24</v>
      </c>
      <c r="C92" s="171" t="s">
        <v>25</v>
      </c>
      <c r="D92" s="172"/>
      <c r="E92" s="171" t="s">
        <v>113</v>
      </c>
      <c r="F92" s="172"/>
      <c r="G92" s="171" t="s">
        <v>114</v>
      </c>
      <c r="H92" s="172"/>
      <c r="I92" s="171" t="s">
        <v>74</v>
      </c>
      <c r="J92" s="172"/>
      <c r="K92" s="171" t="s">
        <v>75</v>
      </c>
      <c r="L92" s="172"/>
      <c r="M92" s="181"/>
      <c r="N92" s="181"/>
      <c r="O92" s="185"/>
      <c r="P92" s="181"/>
      <c r="AA92" s="178" t="s">
        <v>3284</v>
      </c>
      <c r="AB92" t="s">
        <v>4573</v>
      </c>
      <c r="AH92" s="192" t="s">
        <v>267</v>
      </c>
      <c r="AI92" s="192" t="s">
        <v>3178</v>
      </c>
    </row>
    <row r="93" spans="1:35">
      <c r="B93" s="182" t="str">
        <f>B565</f>
        <v>Transparentní</v>
      </c>
      <c r="C93" s="170">
        <f t="shared" ref="C93:C99" si="11">IF($D$1=1,E93,IF(OR($D$1=2,$D$1=5),G93,IF($D$1=3,I93,IF($D$1=4,K93,IF($D$1=6,G93*1.3,0)))))</f>
        <v>148.71600000000001</v>
      </c>
      <c r="E93" s="188">
        <v>148.71600000000001</v>
      </c>
      <c r="G93" s="189">
        <v>5.1684790419161688</v>
      </c>
      <c r="I93" s="189">
        <v>22.842000000000002</v>
      </c>
      <c r="K93" s="190">
        <v>2116.4516129032259</v>
      </c>
      <c r="M93" s="181"/>
      <c r="N93" s="181"/>
      <c r="O93" s="185"/>
      <c r="P93" s="181"/>
      <c r="AA93" s="179" t="s">
        <v>3285</v>
      </c>
      <c r="AB93" t="s">
        <v>4574</v>
      </c>
      <c r="AH93" s="192" t="s">
        <v>268</v>
      </c>
      <c r="AI93" s="192" t="s">
        <v>3180</v>
      </c>
    </row>
    <row r="94" spans="1:35">
      <c r="B94" s="182" t="str">
        <f>B566</f>
        <v>Bílá</v>
      </c>
      <c r="C94" s="170">
        <f t="shared" si="11"/>
        <v>123.93</v>
      </c>
      <c r="E94" s="188">
        <v>123.93</v>
      </c>
      <c r="G94" s="189">
        <v>4.3070658682634742</v>
      </c>
      <c r="I94" s="189">
        <v>19.035000000000004</v>
      </c>
      <c r="K94" s="189">
        <v>1763.7096774193551</v>
      </c>
      <c r="M94" s="181"/>
      <c r="N94" s="181"/>
      <c r="O94" s="185"/>
      <c r="P94" s="181"/>
      <c r="AA94" s="179" t="s">
        <v>3286</v>
      </c>
      <c r="AB94" t="s">
        <v>4575</v>
      </c>
      <c r="AH94" s="192" t="s">
        <v>871</v>
      </c>
      <c r="AI94" s="192" t="s">
        <v>3181</v>
      </c>
    </row>
    <row r="95" spans="1:35">
      <c r="B95" s="182" t="str">
        <f>B567</f>
        <v>Černá</v>
      </c>
      <c r="C95" s="170">
        <f t="shared" si="11"/>
        <v>148.71600000000001</v>
      </c>
      <c r="E95" s="188">
        <v>148.71600000000001</v>
      </c>
      <c r="G95" s="189">
        <v>5.1684790419161688</v>
      </c>
      <c r="I95" s="189">
        <v>22.842000000000002</v>
      </c>
      <c r="K95" s="190">
        <v>2116.4516129032259</v>
      </c>
      <c r="M95" s="181"/>
      <c r="N95" s="181"/>
      <c r="O95" s="185"/>
      <c r="P95" s="181"/>
      <c r="AA95" s="180" t="s">
        <v>3379</v>
      </c>
      <c r="AB95" t="s">
        <v>4576</v>
      </c>
      <c r="AH95" s="192" t="s">
        <v>388</v>
      </c>
      <c r="AI95" s="192" t="s">
        <v>387</v>
      </c>
    </row>
    <row r="96" spans="1:35">
      <c r="B96" s="182" t="s">
        <v>1215</v>
      </c>
      <c r="C96" s="170">
        <f t="shared" si="11"/>
        <v>656.82899999999995</v>
      </c>
      <c r="D96" s="134"/>
      <c r="E96" s="134">
        <v>656.82899999999995</v>
      </c>
      <c r="G96" s="134">
        <v>22.827449101796407</v>
      </c>
      <c r="I96" s="183">
        <v>100.88550000000001</v>
      </c>
      <c r="J96" s="183"/>
      <c r="K96" s="183">
        <v>9347.6612903225796</v>
      </c>
      <c r="L96" s="184"/>
      <c r="M96" s="181"/>
      <c r="N96" s="181"/>
      <c r="O96" s="185"/>
      <c r="P96" s="181"/>
      <c r="AA96" s="178" t="s">
        <v>3287</v>
      </c>
      <c r="AB96" t="s">
        <v>4577</v>
      </c>
      <c r="AH96" s="192" t="s">
        <v>1138</v>
      </c>
      <c r="AI96" s="192" t="s">
        <v>1140</v>
      </c>
    </row>
    <row r="97" spans="1:35">
      <c r="B97" s="177" t="str">
        <f t="shared" ref="B97:B98" si="12">IF($D$1=1,M97,
IF($D$1=2,N97,
IF($D$1=3,O97,
IF($D$1=4,P97,
IF($D$1=5,Q97,
IF($D$1=6,R97,0))))))</f>
        <v>Lesk</v>
      </c>
      <c r="C97" s="170">
        <f t="shared" si="11"/>
        <v>64.489499999999992</v>
      </c>
      <c r="E97" s="134">
        <v>64.489499999999992</v>
      </c>
      <c r="G97" s="133">
        <v>2.2412694610778447</v>
      </c>
      <c r="I97" s="183">
        <v>9.9052500000000006</v>
      </c>
      <c r="K97" s="133">
        <v>917.7822580645161</v>
      </c>
      <c r="M97" s="181" t="s">
        <v>1933</v>
      </c>
      <c r="N97" s="181" t="s">
        <v>1933</v>
      </c>
      <c r="O97" s="185" t="s">
        <v>1937</v>
      </c>
      <c r="P97" s="181" t="s">
        <v>1938</v>
      </c>
      <c r="Q97" s="133" t="s">
        <v>1935</v>
      </c>
      <c r="R97" s="318" t="s">
        <v>3722</v>
      </c>
      <c r="AA97" s="178" t="s">
        <v>4555</v>
      </c>
      <c r="AB97" t="s">
        <v>4444</v>
      </c>
      <c r="AH97" s="192" t="s">
        <v>1137</v>
      </c>
      <c r="AI97" s="192" t="s">
        <v>1136</v>
      </c>
    </row>
    <row r="98" spans="1:35">
      <c r="B98" s="177" t="str">
        <f t="shared" si="12"/>
        <v>Mat</v>
      </c>
      <c r="C98" s="170">
        <f t="shared" si="11"/>
        <v>42.801749999999998</v>
      </c>
      <c r="E98" s="134">
        <v>42.801749999999998</v>
      </c>
      <c r="G98" s="133">
        <v>1.4875329341317365</v>
      </c>
      <c r="I98" s="183">
        <v>6.5741249999999996</v>
      </c>
      <c r="K98" s="133">
        <v>609.13306451612902</v>
      </c>
      <c r="M98" s="181" t="s">
        <v>1934</v>
      </c>
      <c r="N98" s="181" t="s">
        <v>1934</v>
      </c>
      <c r="O98" s="185" t="s">
        <v>1939</v>
      </c>
      <c r="P98" s="181" t="s">
        <v>1936</v>
      </c>
      <c r="Q98" s="133" t="s">
        <v>1936</v>
      </c>
      <c r="R98" s="318" t="s">
        <v>1934</v>
      </c>
      <c r="AA98" s="178" t="s">
        <v>3288</v>
      </c>
      <c r="AB98" t="s">
        <v>4578</v>
      </c>
      <c r="AH98" s="192" t="s">
        <v>1142</v>
      </c>
      <c r="AI98" s="192" t="s">
        <v>1141</v>
      </c>
    </row>
    <row r="99" spans="1:35">
      <c r="B99" s="182" t="s">
        <v>1216</v>
      </c>
      <c r="C99" s="170">
        <f t="shared" si="11"/>
        <v>23.538438000000006</v>
      </c>
      <c r="E99" s="134">
        <v>23.538438000000006</v>
      </c>
      <c r="G99" s="133">
        <v>0.85050000000000014</v>
      </c>
      <c r="I99" s="183">
        <v>3.912300000000001</v>
      </c>
      <c r="K99" s="133">
        <v>311.88402000000002</v>
      </c>
      <c r="AA99" s="178" t="s">
        <v>3289</v>
      </c>
      <c r="AB99" t="s">
        <v>4579</v>
      </c>
      <c r="AH99" s="192" t="s">
        <v>553</v>
      </c>
      <c r="AI99" s="192" t="s">
        <v>3141</v>
      </c>
    </row>
    <row r="100" spans="1:35">
      <c r="B100" s="191" t="s">
        <v>6</v>
      </c>
      <c r="C100" s="665" t="s">
        <v>28</v>
      </c>
      <c r="D100" s="665"/>
      <c r="E100" s="665" t="s">
        <v>28</v>
      </c>
      <c r="F100" s="665"/>
      <c r="G100" s="665" t="s">
        <v>28</v>
      </c>
      <c r="H100" s="665"/>
      <c r="I100" s="665" t="s">
        <v>28</v>
      </c>
      <c r="J100" s="665"/>
      <c r="K100" s="665" t="s">
        <v>28</v>
      </c>
      <c r="L100" s="666"/>
      <c r="M100" s="175"/>
      <c r="AA100" s="178" t="s">
        <v>3290</v>
      </c>
      <c r="AB100" t="s">
        <v>4580</v>
      </c>
      <c r="AH100" s="192" t="s">
        <v>864</v>
      </c>
      <c r="AI100" s="192" t="s">
        <v>3144</v>
      </c>
    </row>
    <row r="101" spans="1:35">
      <c r="A101" s="660" t="s">
        <v>1195</v>
      </c>
      <c r="B101" s="326" t="str">
        <f t="shared" ref="B101" si="13">IF($D$1=1,M101,
IF($D$1=2,N101,
IF($D$1=3,O101,
IF($D$1=4,P101,
IF($D$1=5,Q101,
IF($D$1=6,R101,0))))))</f>
        <v>Čiré</v>
      </c>
      <c r="C101" s="170">
        <f t="shared" ref="C101:C114" si="14">IF($D$1=1,E101,IF(OR($D$1=2,$D$1=5),G101,IF($D$1=3,I101,IF($D$1=4,K101,IF($D$1=6,G101*1.3,0)))))</f>
        <v>1288.8720000000001</v>
      </c>
      <c r="D101" s="249"/>
      <c r="E101" s="251">
        <v>1288.8720000000001</v>
      </c>
      <c r="F101" s="251"/>
      <c r="G101" s="134">
        <v>44.793485029940122</v>
      </c>
      <c r="H101" s="134"/>
      <c r="I101" s="251">
        <v>203.86080000000001</v>
      </c>
      <c r="J101" s="251"/>
      <c r="K101" s="251">
        <v>18342.580645161292</v>
      </c>
      <c r="L101" s="251"/>
      <c r="M101" s="192" t="s">
        <v>385</v>
      </c>
      <c r="N101" s="192" t="s">
        <v>386</v>
      </c>
      <c r="O101" s="192" t="s">
        <v>387</v>
      </c>
      <c r="P101" s="192" t="s">
        <v>388</v>
      </c>
      <c r="Q101" s="133" t="s">
        <v>1399</v>
      </c>
      <c r="R101" s="318" t="s">
        <v>3731</v>
      </c>
      <c r="T101" s="133">
        <v>2550</v>
      </c>
      <c r="U101" s="133">
        <v>1605</v>
      </c>
      <c r="AA101" s="179" t="s">
        <v>3383</v>
      </c>
      <c r="AB101" t="s">
        <v>4581</v>
      </c>
      <c r="AH101" s="192" t="s">
        <v>328</v>
      </c>
      <c r="AI101" s="192" t="s">
        <v>3152</v>
      </c>
    </row>
    <row r="102" spans="1:35">
      <c r="A102" s="660"/>
      <c r="B102" s="182" t="s">
        <v>2196</v>
      </c>
      <c r="C102" s="170">
        <f t="shared" si="14"/>
        <v>157.12618723199998</v>
      </c>
      <c r="D102" s="134"/>
      <c r="E102">
        <v>157.12618723199998</v>
      </c>
      <c r="G102">
        <v>6.1819200000000007</v>
      </c>
      <c r="H102"/>
      <c r="I102">
        <v>27.538704000000006</v>
      </c>
      <c r="J102" s="251"/>
      <c r="K102">
        <v>2137.5912960000005</v>
      </c>
      <c r="L102" s="251"/>
      <c r="M102" s="192" t="s">
        <v>1139</v>
      </c>
      <c r="N102" s="192" t="s">
        <v>1139</v>
      </c>
      <c r="O102" s="192" t="s">
        <v>1140</v>
      </c>
      <c r="P102" s="192" t="s">
        <v>1138</v>
      </c>
      <c r="Q102" s="133" t="s">
        <v>1438</v>
      </c>
      <c r="R102" s="318" t="s">
        <v>3723</v>
      </c>
      <c r="AA102" s="180" t="s">
        <v>3387</v>
      </c>
      <c r="AB102" t="s">
        <v>4582</v>
      </c>
      <c r="AH102" s="192" t="s">
        <v>869</v>
      </c>
      <c r="AI102" s="192" t="s">
        <v>3153</v>
      </c>
    </row>
    <row r="103" spans="1:35">
      <c r="A103" s="660"/>
      <c r="B103" s="182" t="s">
        <v>2198</v>
      </c>
      <c r="C103" s="170">
        <f t="shared" si="14"/>
        <v>166.14551520000003</v>
      </c>
      <c r="D103" s="249"/>
      <c r="E103" s="251">
        <v>166.14551520000003</v>
      </c>
      <c r="F103" s="251"/>
      <c r="G103" s="134">
        <v>6.5318400000000008</v>
      </c>
      <c r="H103" s="134"/>
      <c r="I103" s="251">
        <v>29.113344000000001</v>
      </c>
      <c r="J103" s="251"/>
      <c r="K103" s="251">
        <v>2260.2965760000002</v>
      </c>
      <c r="L103" s="251"/>
      <c r="M103" s="192" t="s">
        <v>988</v>
      </c>
      <c r="N103" s="192" t="s">
        <v>988</v>
      </c>
      <c r="O103" s="192" t="s">
        <v>1136</v>
      </c>
      <c r="P103" s="192" t="s">
        <v>1137</v>
      </c>
      <c r="Q103" s="133" t="s">
        <v>1436</v>
      </c>
      <c r="R103" s="318" t="s">
        <v>3724</v>
      </c>
      <c r="AA103" s="179" t="s">
        <v>3291</v>
      </c>
      <c r="AB103" t="s">
        <v>4583</v>
      </c>
      <c r="AH103" s="192" t="s">
        <v>861</v>
      </c>
      <c r="AI103" s="192" t="s">
        <v>3154</v>
      </c>
    </row>
    <row r="104" spans="1:35">
      <c r="A104" s="660"/>
      <c r="B104" s="185" t="str">
        <f t="shared" ref="B104:B143" si="15">IF($D$1=1,M104,
IF($D$1=2,N104,
IF($D$1=3,O104,
IF($D$1=4,P104,
IF($D$1=5,Q104,
IF($D$1=6,R104,0))))))</f>
        <v>Folie</v>
      </c>
      <c r="C104" s="170">
        <f t="shared" si="14"/>
        <v>167.31191520000004</v>
      </c>
      <c r="D104" s="249"/>
      <c r="E104" s="251">
        <v>167.31191520000004</v>
      </c>
      <c r="G104" s="251">
        <v>7.6982400000000002</v>
      </c>
      <c r="I104" s="134">
        <v>30.279744000000004</v>
      </c>
      <c r="J104" s="251"/>
      <c r="K104" s="134">
        <v>2261.4629760000003</v>
      </c>
      <c r="L104" s="251"/>
      <c r="M104" s="192" t="s">
        <v>933</v>
      </c>
      <c r="N104" s="192" t="s">
        <v>933</v>
      </c>
      <c r="O104" s="192" t="s">
        <v>1141</v>
      </c>
      <c r="P104" s="192" t="s">
        <v>1142</v>
      </c>
      <c r="Q104" s="133" t="s">
        <v>1437</v>
      </c>
      <c r="R104" s="318" t="s">
        <v>3725</v>
      </c>
      <c r="AA104" s="179" t="s">
        <v>3292</v>
      </c>
      <c r="AB104" t="s">
        <v>4584</v>
      </c>
      <c r="AH104" s="192" t="s">
        <v>3592</v>
      </c>
      <c r="AI104" s="192" t="s">
        <v>3155</v>
      </c>
    </row>
    <row r="105" spans="1:35">
      <c r="A105" s="660"/>
      <c r="B105" s="185" t="str">
        <f t="shared" si="15"/>
        <v>Čiré kalené (dodání 3 týdny)</v>
      </c>
      <c r="C105" s="170">
        <f t="shared" si="14"/>
        <v>168.4783152</v>
      </c>
      <c r="D105" s="249"/>
      <c r="E105" s="251">
        <v>168.4783152</v>
      </c>
      <c r="F105" s="251"/>
      <c r="G105" s="134">
        <v>8.8646400000000014</v>
      </c>
      <c r="H105" s="134"/>
      <c r="I105" s="251">
        <v>31.446144000000004</v>
      </c>
      <c r="J105" s="251"/>
      <c r="K105" s="251">
        <v>2262.6293760000003</v>
      </c>
      <c r="L105" s="251"/>
      <c r="M105" s="192" t="s">
        <v>547</v>
      </c>
      <c r="N105" s="192" t="s">
        <v>548</v>
      </c>
      <c r="O105" s="192" t="s">
        <v>2378</v>
      </c>
      <c r="P105" s="192" t="s">
        <v>553</v>
      </c>
      <c r="Q105" s="133" t="s">
        <v>3601</v>
      </c>
      <c r="R105" s="318" t="s">
        <v>3726</v>
      </c>
      <c r="AA105" s="179" t="s">
        <v>3293</v>
      </c>
      <c r="AB105" t="s">
        <v>4585</v>
      </c>
      <c r="AH105" s="192" t="s">
        <v>3593</v>
      </c>
      <c r="AI105" s="192" t="s">
        <v>2567</v>
      </c>
    </row>
    <row r="106" spans="1:35">
      <c r="A106" s="660"/>
      <c r="B106" s="185" t="str">
        <f t="shared" si="15"/>
        <v>Satinato</v>
      </c>
      <c r="C106" s="170">
        <f t="shared" si="14"/>
        <v>1644.1379999999999</v>
      </c>
      <c r="D106" s="249"/>
      <c r="E106" s="251">
        <v>1644.1379999999999</v>
      </c>
      <c r="F106" s="251"/>
      <c r="G106" s="134">
        <v>57.140407185628746</v>
      </c>
      <c r="H106" s="134"/>
      <c r="I106" s="251">
        <v>260.0532</v>
      </c>
      <c r="J106" s="251"/>
      <c r="K106" s="251">
        <v>23398.548387096776</v>
      </c>
      <c r="L106" s="251"/>
      <c r="M106" s="192" t="s">
        <v>389</v>
      </c>
      <c r="N106" s="192" t="s">
        <v>389</v>
      </c>
      <c r="O106" s="192" t="s">
        <v>3142</v>
      </c>
      <c r="P106" s="192" t="s">
        <v>389</v>
      </c>
      <c r="Q106" s="133" t="s">
        <v>389</v>
      </c>
      <c r="R106" s="318" t="s">
        <v>389</v>
      </c>
      <c r="T106" s="133">
        <v>2550</v>
      </c>
      <c r="U106" s="133">
        <v>1605</v>
      </c>
      <c r="AA106" s="179" t="s">
        <v>3294</v>
      </c>
      <c r="AB106" t="s">
        <v>4586</v>
      </c>
      <c r="AH106" s="192" t="s">
        <v>3594</v>
      </c>
      <c r="AI106" s="192" t="s">
        <v>3159</v>
      </c>
    </row>
    <row r="107" spans="1:35">
      <c r="A107" s="660"/>
      <c r="B107" s="185" t="str">
        <f t="shared" si="15"/>
        <v>MASTER SOFT</v>
      </c>
      <c r="C107" s="170">
        <f t="shared" si="14"/>
        <v>2131.5959999999995</v>
      </c>
      <c r="D107" s="249"/>
      <c r="E107" s="251">
        <v>2131.5959999999995</v>
      </c>
      <c r="F107" s="251"/>
      <c r="G107" s="134">
        <v>74.081532934131729</v>
      </c>
      <c r="H107" s="134"/>
      <c r="I107" s="251">
        <v>337.15439999999995</v>
      </c>
      <c r="J107" s="251"/>
      <c r="K107" s="251">
        <v>30335.806451612902</v>
      </c>
      <c r="L107" s="251"/>
      <c r="M107" s="192" t="s">
        <v>3521</v>
      </c>
      <c r="N107" s="192" t="s">
        <v>3521</v>
      </c>
      <c r="O107" s="192" t="s">
        <v>3143</v>
      </c>
      <c r="P107" s="192" t="s">
        <v>3521</v>
      </c>
      <c r="Q107" s="133" t="s">
        <v>3521</v>
      </c>
      <c r="R107" s="318" t="s">
        <v>3521</v>
      </c>
      <c r="T107" s="133">
        <v>2700</v>
      </c>
      <c r="U107" s="133">
        <v>1605</v>
      </c>
      <c r="AA107" s="179" t="s">
        <v>3295</v>
      </c>
      <c r="AB107" t="s">
        <v>4587</v>
      </c>
      <c r="AH107" s="192" t="s">
        <v>3595</v>
      </c>
      <c r="AI107" s="192" t="s">
        <v>3161</v>
      </c>
    </row>
    <row r="108" spans="1:35">
      <c r="A108" s="660"/>
      <c r="B108" s="185" t="str">
        <f t="shared" si="15"/>
        <v>Satinato hnědé / Decormat Braz</v>
      </c>
      <c r="C108" s="170">
        <f t="shared" si="14"/>
        <v>2090.2860000000001</v>
      </c>
      <c r="D108" s="134"/>
      <c r="E108" s="251">
        <v>2090.2860000000001</v>
      </c>
      <c r="F108" s="251"/>
      <c r="G108" s="134">
        <v>72.64584431137726</v>
      </c>
      <c r="H108" s="134"/>
      <c r="I108" s="251">
        <v>330.62040000000002</v>
      </c>
      <c r="J108" s="251"/>
      <c r="K108" s="251">
        <v>29747.903225806454</v>
      </c>
      <c r="L108" s="251"/>
      <c r="M108" s="192" t="s">
        <v>3522</v>
      </c>
      <c r="N108" s="192" t="s">
        <v>3618</v>
      </c>
      <c r="O108" s="192" t="s">
        <v>3529</v>
      </c>
      <c r="P108" s="192" t="s">
        <v>3620</v>
      </c>
      <c r="Q108" s="133" t="s">
        <v>3621</v>
      </c>
      <c r="R108" s="318" t="s">
        <v>3732</v>
      </c>
      <c r="T108" s="133">
        <v>2700</v>
      </c>
      <c r="U108" s="133">
        <v>1605</v>
      </c>
      <c r="AA108" s="179" t="s">
        <v>3296</v>
      </c>
      <c r="AB108" t="s">
        <v>4588</v>
      </c>
      <c r="AH108" s="192" t="s">
        <v>3596</v>
      </c>
      <c r="AI108" s="192" t="s">
        <v>3164</v>
      </c>
    </row>
    <row r="109" spans="1:35">
      <c r="A109" s="660"/>
      <c r="B109" s="185" t="str">
        <f t="shared" si="15"/>
        <v>Satinato grafit / Decormat grafit</v>
      </c>
      <c r="C109" s="170">
        <f t="shared" si="14"/>
        <v>2090.2860000000001</v>
      </c>
      <c r="D109" s="249"/>
      <c r="E109" s="251">
        <v>2090.2860000000001</v>
      </c>
      <c r="F109" s="251"/>
      <c r="G109" s="134">
        <v>72.64584431137726</v>
      </c>
      <c r="H109" s="134"/>
      <c r="I109" s="251">
        <v>330.62040000000002</v>
      </c>
      <c r="J109" s="251"/>
      <c r="K109" s="251">
        <v>29747.903225806454</v>
      </c>
      <c r="L109" s="251"/>
      <c r="M109" s="192" t="s">
        <v>3523</v>
      </c>
      <c r="N109" s="192" t="s">
        <v>3619</v>
      </c>
      <c r="O109" s="192" t="s">
        <v>3530</v>
      </c>
      <c r="P109" s="192" t="s">
        <v>3619</v>
      </c>
      <c r="Q109" s="133" t="s">
        <v>3622</v>
      </c>
      <c r="R109" s="318" t="s">
        <v>3733</v>
      </c>
      <c r="T109" s="133">
        <v>2700</v>
      </c>
      <c r="U109" s="133">
        <v>1605</v>
      </c>
      <c r="AA109" s="178" t="s">
        <v>3297</v>
      </c>
      <c r="AB109" t="s">
        <v>4589</v>
      </c>
      <c r="AH109" s="192" t="s">
        <v>3597</v>
      </c>
      <c r="AI109" s="192" t="s">
        <v>3165</v>
      </c>
    </row>
    <row r="110" spans="1:35">
      <c r="A110" s="660"/>
      <c r="B110" s="185" t="str">
        <f t="shared" si="15"/>
        <v>Masterscreen - max rozměr 2160x1650 mm</v>
      </c>
      <c r="C110" s="170">
        <f t="shared" si="14"/>
        <v>2280.3119999999999</v>
      </c>
      <c r="D110" s="249"/>
      <c r="E110" s="251">
        <v>2280.3119999999999</v>
      </c>
      <c r="F110" s="251"/>
      <c r="G110" s="134">
        <v>79.250011976047915</v>
      </c>
      <c r="H110" s="134"/>
      <c r="I110" s="251">
        <v>360.67679999999996</v>
      </c>
      <c r="J110" s="251"/>
      <c r="K110" s="251">
        <v>32452.258064516129</v>
      </c>
      <c r="L110" s="251"/>
      <c r="M110" s="192" t="s">
        <v>3557</v>
      </c>
      <c r="N110" s="192" t="s">
        <v>3558</v>
      </c>
      <c r="O110" s="192" t="s">
        <v>3559</v>
      </c>
      <c r="P110" s="192" t="s">
        <v>3560</v>
      </c>
      <c r="Q110" s="133" t="s">
        <v>3561</v>
      </c>
      <c r="R110" s="318" t="s">
        <v>3734</v>
      </c>
      <c r="T110" s="133">
        <v>2160</v>
      </c>
      <c r="U110" s="133">
        <v>1650</v>
      </c>
      <c r="AA110" s="178" t="s">
        <v>3298</v>
      </c>
      <c r="AB110" t="s">
        <v>4590</v>
      </c>
      <c r="AH110" s="193" t="s">
        <v>3598</v>
      </c>
      <c r="AI110" s="192" t="s">
        <v>3172</v>
      </c>
    </row>
    <row r="111" spans="1:35">
      <c r="A111" s="660"/>
      <c r="B111" s="185" t="str">
        <f t="shared" si="15"/>
        <v>Venus VG10</v>
      </c>
      <c r="C111" s="170">
        <f t="shared" si="14"/>
        <v>2062.1952000000001</v>
      </c>
      <c r="D111" s="134"/>
      <c r="E111" s="251">
        <v>2062.1952000000001</v>
      </c>
      <c r="F111" s="251"/>
      <c r="G111" s="134">
        <v>71.669576047904201</v>
      </c>
      <c r="H111" s="134"/>
      <c r="I111" s="251">
        <v>326.17728000000005</v>
      </c>
      <c r="J111" s="251"/>
      <c r="K111" s="251">
        <v>29348.129032258068</v>
      </c>
      <c r="L111" s="251"/>
      <c r="M111" s="192" t="s">
        <v>812</v>
      </c>
      <c r="N111" s="192" t="s">
        <v>812</v>
      </c>
      <c r="O111" s="192" t="s">
        <v>3146</v>
      </c>
      <c r="P111" s="192" t="s">
        <v>812</v>
      </c>
      <c r="Q111" s="192" t="s">
        <v>812</v>
      </c>
      <c r="R111" s="318" t="s">
        <v>812</v>
      </c>
      <c r="T111" s="133">
        <v>3210</v>
      </c>
      <c r="U111" s="133">
        <v>2250</v>
      </c>
      <c r="AA111" s="179" t="s">
        <v>4558</v>
      </c>
      <c r="AB111" t="s">
        <v>4591</v>
      </c>
      <c r="AH111" s="193" t="s">
        <v>3533</v>
      </c>
      <c r="AI111" s="192" t="s">
        <v>3173</v>
      </c>
    </row>
    <row r="112" spans="1:35">
      <c r="A112" s="660"/>
      <c r="B112" s="185" t="str">
        <f t="shared" si="15"/>
        <v>Stopsol bronz - max rozměr 2250x1605 mm</v>
      </c>
      <c r="C112" s="170">
        <f t="shared" si="14"/>
        <v>2776.0319999999997</v>
      </c>
      <c r="D112" s="249"/>
      <c r="E112" s="251">
        <v>2776.0319999999997</v>
      </c>
      <c r="F112" s="251"/>
      <c r="G112" s="134">
        <v>96.478275449101787</v>
      </c>
      <c r="H112" s="134"/>
      <c r="I112" s="251">
        <v>439.08479999999997</v>
      </c>
      <c r="J112" s="251"/>
      <c r="K112" s="251">
        <v>39507.096774193546</v>
      </c>
      <c r="L112" s="251"/>
      <c r="M112" s="192" t="s">
        <v>3567</v>
      </c>
      <c r="N112" s="192" t="s">
        <v>3568</v>
      </c>
      <c r="O112" s="192" t="s">
        <v>3569</v>
      </c>
      <c r="P112" s="192" t="s">
        <v>3570</v>
      </c>
      <c r="Q112" s="133" t="s">
        <v>3571</v>
      </c>
      <c r="R112" s="318" t="s">
        <v>3727</v>
      </c>
      <c r="T112" s="133">
        <v>2250</v>
      </c>
      <c r="U112" s="133">
        <v>1605</v>
      </c>
      <c r="AA112" s="179" t="s">
        <v>3299</v>
      </c>
      <c r="AB112" t="s">
        <v>4433</v>
      </c>
      <c r="AH112" s="193" t="s">
        <v>3599</v>
      </c>
      <c r="AI112" s="192" t="s">
        <v>3174</v>
      </c>
    </row>
    <row r="113" spans="1:35">
      <c r="A113" s="660"/>
      <c r="B113" s="185" t="str">
        <f t="shared" si="15"/>
        <v>Lakomat</v>
      </c>
      <c r="C113" s="170">
        <f t="shared" si="14"/>
        <v>1825.9019999999998</v>
      </c>
      <c r="D113" s="249"/>
      <c r="E113" s="251">
        <v>1825.9019999999998</v>
      </c>
      <c r="F113" s="251"/>
      <c r="G113" s="134">
        <v>63.457437125748505</v>
      </c>
      <c r="H113" s="134"/>
      <c r="I113" s="251">
        <v>288.80279999999999</v>
      </c>
      <c r="J113" s="251"/>
      <c r="K113" s="251">
        <v>25985.322580645159</v>
      </c>
      <c r="L113" s="251"/>
      <c r="M113" s="192" t="s">
        <v>390</v>
      </c>
      <c r="N113" s="192" t="s">
        <v>390</v>
      </c>
      <c r="O113" s="192" t="s">
        <v>3148</v>
      </c>
      <c r="P113" s="192" t="s">
        <v>390</v>
      </c>
      <c r="Q113" s="133" t="s">
        <v>3602</v>
      </c>
      <c r="R113" s="318" t="s">
        <v>390</v>
      </c>
      <c r="T113" s="133">
        <v>2550</v>
      </c>
      <c r="U113" s="133">
        <v>1605</v>
      </c>
      <c r="AA113" s="179" t="s">
        <v>3300</v>
      </c>
      <c r="AB113" t="s">
        <v>4592</v>
      </c>
      <c r="AH113" s="193" t="s">
        <v>3600</v>
      </c>
      <c r="AI113" s="192" t="s">
        <v>3175</v>
      </c>
    </row>
    <row r="114" spans="1:35">
      <c r="A114" s="660"/>
      <c r="B114" s="185" t="str">
        <f t="shared" si="15"/>
        <v>Planibel dark grey</v>
      </c>
      <c r="C114" s="170">
        <f t="shared" si="14"/>
        <v>2082.0239999999999</v>
      </c>
      <c r="D114" s="249"/>
      <c r="E114" s="251">
        <v>2082.0239999999999</v>
      </c>
      <c r="F114" s="251"/>
      <c r="G114" s="134">
        <v>72.36</v>
      </c>
      <c r="H114" s="134"/>
      <c r="I114" s="251">
        <v>319.79000000000002</v>
      </c>
      <c r="J114" s="251"/>
      <c r="K114" s="251">
        <v>29630.32</v>
      </c>
      <c r="L114" s="251"/>
      <c r="M114" s="192" t="s">
        <v>4621</v>
      </c>
      <c r="N114" s="192" t="s">
        <v>4621</v>
      </c>
      <c r="O114" s="192" t="s">
        <v>4621</v>
      </c>
      <c r="P114" s="192" t="s">
        <v>4621</v>
      </c>
      <c r="Q114" s="192" t="s">
        <v>4621</v>
      </c>
      <c r="R114" s="192" t="s">
        <v>4621</v>
      </c>
      <c r="T114" s="133">
        <v>2000</v>
      </c>
      <c r="U114" s="133">
        <v>1605</v>
      </c>
      <c r="AA114" s="179" t="s">
        <v>3301</v>
      </c>
      <c r="AB114" t="s">
        <v>556</v>
      </c>
      <c r="AH114" s="193" t="s">
        <v>329</v>
      </c>
      <c r="AI114" s="192" t="s">
        <v>3178</v>
      </c>
    </row>
    <row r="115" spans="1:35">
      <c r="A115" s="660"/>
      <c r="B115" s="185" t="str">
        <f t="shared" si="15"/>
        <v>Antisol bronz</v>
      </c>
      <c r="C115" s="170">
        <f t="shared" ref="C115:C125" si="16">IF($D$1=1,E115,IF(OR($D$1=2,$D$1=5),G115,IF($D$1=3,I115,IF($D$1=4,K115,IF($D$1=6,G115*1.3,0)))))</f>
        <v>1632.5712000000001</v>
      </c>
      <c r="D115" s="249"/>
      <c r="E115" s="251">
        <v>1632.5712000000001</v>
      </c>
      <c r="F115" s="251"/>
      <c r="G115" s="134">
        <v>56.738414371257491</v>
      </c>
      <c r="H115" s="134"/>
      <c r="I115" s="251">
        <v>258.22368</v>
      </c>
      <c r="J115" s="251"/>
      <c r="K115" s="251">
        <v>23233.93548387097</v>
      </c>
      <c r="L115" s="251"/>
      <c r="M115" s="192" t="s">
        <v>397</v>
      </c>
      <c r="N115" s="192" t="s">
        <v>397</v>
      </c>
      <c r="O115" s="192" t="s">
        <v>3150</v>
      </c>
      <c r="P115" s="192" t="s">
        <v>397</v>
      </c>
      <c r="Q115" s="133" t="s">
        <v>892</v>
      </c>
      <c r="R115" s="318" t="s">
        <v>892</v>
      </c>
      <c r="T115" s="133">
        <v>2550</v>
      </c>
      <c r="U115" s="133">
        <v>1605</v>
      </c>
      <c r="AA115" s="179" t="s">
        <v>3302</v>
      </c>
      <c r="AB115" t="s">
        <v>4593</v>
      </c>
      <c r="AH115" s="193" t="s">
        <v>330</v>
      </c>
      <c r="AI115" s="192" t="s">
        <v>3180</v>
      </c>
    </row>
    <row r="116" spans="1:35">
      <c r="A116" s="660"/>
      <c r="B116" s="185" t="str">
        <f t="shared" si="15"/>
        <v>Antisol grafit</v>
      </c>
      <c r="C116" s="170">
        <f t="shared" si="16"/>
        <v>1632.5712000000001</v>
      </c>
      <c r="D116" s="249"/>
      <c r="E116" s="251">
        <v>1632.5712000000001</v>
      </c>
      <c r="F116" s="251"/>
      <c r="G116" s="134">
        <v>56.738414371257491</v>
      </c>
      <c r="H116" s="134"/>
      <c r="I116" s="251">
        <v>258.22368</v>
      </c>
      <c r="J116" s="251"/>
      <c r="K116" s="251">
        <v>23233.93548387097</v>
      </c>
      <c r="L116" s="251"/>
      <c r="M116" s="192" t="s">
        <v>398</v>
      </c>
      <c r="N116" s="192" t="s">
        <v>398</v>
      </c>
      <c r="O116" s="192" t="s">
        <v>3151</v>
      </c>
      <c r="P116" s="192" t="s">
        <v>398</v>
      </c>
      <c r="Q116" s="133" t="s">
        <v>893</v>
      </c>
      <c r="R116" s="318" t="s">
        <v>893</v>
      </c>
      <c r="T116" s="133">
        <v>2550</v>
      </c>
      <c r="U116" s="133">
        <v>1605</v>
      </c>
      <c r="AA116" s="180" t="s">
        <v>3303</v>
      </c>
      <c r="AB116" t="s">
        <v>4594</v>
      </c>
      <c r="AH116" s="193" t="s">
        <v>872</v>
      </c>
      <c r="AI116" s="192" t="s">
        <v>3181</v>
      </c>
    </row>
    <row r="117" spans="1:35">
      <c r="A117" s="660"/>
      <c r="B117" s="185" t="str">
        <f t="shared" si="15"/>
        <v>Zrcadlo</v>
      </c>
      <c r="C117" s="170">
        <f t="shared" si="16"/>
        <v>1718.4960000000001</v>
      </c>
      <c r="D117" s="249"/>
      <c r="E117" s="251">
        <v>1718.4960000000001</v>
      </c>
      <c r="F117" s="251"/>
      <c r="G117" s="134">
        <v>59.724646706586839</v>
      </c>
      <c r="H117" s="134"/>
      <c r="I117" s="251">
        <v>271.81440000000003</v>
      </c>
      <c r="J117" s="251"/>
      <c r="K117" s="251">
        <v>24456.774193548394</v>
      </c>
      <c r="L117" s="251"/>
      <c r="M117" s="192" t="s">
        <v>391</v>
      </c>
      <c r="N117" s="192" t="s">
        <v>392</v>
      </c>
      <c r="O117" s="192" t="s">
        <v>3152</v>
      </c>
      <c r="P117" s="192" t="s">
        <v>328</v>
      </c>
      <c r="Q117" s="133" t="s">
        <v>894</v>
      </c>
      <c r="R117" s="318" t="s">
        <v>3735</v>
      </c>
      <c r="T117" s="133">
        <v>2550</v>
      </c>
      <c r="U117" s="133">
        <v>1605</v>
      </c>
      <c r="AA117" s="179" t="s">
        <v>3304</v>
      </c>
      <c r="AB117" t="s">
        <v>4445</v>
      </c>
      <c r="AH117" s="133" t="s">
        <v>1399</v>
      </c>
      <c r="AI117" s="192" t="s">
        <v>387</v>
      </c>
    </row>
    <row r="118" spans="1:35">
      <c r="A118" s="660"/>
      <c r="B118" s="185" t="str">
        <f t="shared" si="15"/>
        <v>Zrcadlo hnědé</v>
      </c>
      <c r="C118" s="170">
        <f t="shared" si="16"/>
        <v>2255.5260000000003</v>
      </c>
      <c r="D118" s="249"/>
      <c r="E118" s="251">
        <v>2255.5260000000003</v>
      </c>
      <c r="F118" s="251"/>
      <c r="G118" s="134">
        <v>78.388598802395222</v>
      </c>
      <c r="H118" s="134"/>
      <c r="I118" s="251">
        <v>356.75640000000004</v>
      </c>
      <c r="J118" s="251"/>
      <c r="K118" s="251">
        <v>32099.516129032261</v>
      </c>
      <c r="L118" s="251"/>
      <c r="M118" s="192" t="s">
        <v>857</v>
      </c>
      <c r="N118" s="192" t="s">
        <v>865</v>
      </c>
      <c r="O118" s="192" t="s">
        <v>3153</v>
      </c>
      <c r="P118" s="192" t="s">
        <v>869</v>
      </c>
      <c r="Q118" s="133" t="s">
        <v>895</v>
      </c>
      <c r="R118" s="318" t="s">
        <v>3736</v>
      </c>
      <c r="T118" s="133">
        <v>2250</v>
      </c>
      <c r="U118" s="133">
        <v>1605</v>
      </c>
      <c r="AA118" s="178" t="s">
        <v>3305</v>
      </c>
      <c r="AB118" t="s">
        <v>4595</v>
      </c>
      <c r="AH118" s="133" t="s">
        <v>1438</v>
      </c>
      <c r="AI118" s="192" t="s">
        <v>1140</v>
      </c>
    </row>
    <row r="119" spans="1:35">
      <c r="A119" s="660"/>
      <c r="B119" s="185" t="str">
        <f t="shared" si="15"/>
        <v>Zrcadlo grafit</v>
      </c>
      <c r="C119" s="170">
        <f t="shared" si="16"/>
        <v>2255.5260000000003</v>
      </c>
      <c r="D119" s="249"/>
      <c r="E119" s="251">
        <v>2255.5260000000003</v>
      </c>
      <c r="F119" s="251"/>
      <c r="G119" s="134">
        <v>78.388598802395222</v>
      </c>
      <c r="H119" s="134"/>
      <c r="I119" s="251">
        <v>356.75640000000004</v>
      </c>
      <c r="J119" s="251"/>
      <c r="K119" s="251">
        <v>32099.516129032261</v>
      </c>
      <c r="L119" s="251"/>
      <c r="M119" s="192" t="s">
        <v>858</v>
      </c>
      <c r="N119" s="192" t="s">
        <v>859</v>
      </c>
      <c r="O119" s="192" t="s">
        <v>3154</v>
      </c>
      <c r="P119" s="192" t="s">
        <v>861</v>
      </c>
      <c r="Q119" s="133" t="s">
        <v>3603</v>
      </c>
      <c r="R119" s="318" t="s">
        <v>3728</v>
      </c>
      <c r="T119" s="133">
        <v>2550</v>
      </c>
      <c r="U119" s="133">
        <v>1605</v>
      </c>
      <c r="AA119" s="178" t="s">
        <v>3306</v>
      </c>
      <c r="AB119" t="s">
        <v>4596</v>
      </c>
      <c r="AH119" s="133" t="s">
        <v>1436</v>
      </c>
      <c r="AI119" s="192" t="s">
        <v>1136</v>
      </c>
    </row>
    <row r="120" spans="1:35">
      <c r="A120" s="660"/>
      <c r="B120" s="185" t="str">
        <f t="shared" si="15"/>
        <v>VISIOSUN horizont</v>
      </c>
      <c r="C120" s="170">
        <f t="shared" si="16"/>
        <v>2131.5959999999995</v>
      </c>
      <c r="D120" s="249"/>
      <c r="E120" s="251">
        <v>2131.5959999999995</v>
      </c>
      <c r="F120" s="251"/>
      <c r="G120" s="134">
        <v>74.081532934131729</v>
      </c>
      <c r="H120" s="134"/>
      <c r="I120" s="251">
        <v>337.15439999999995</v>
      </c>
      <c r="J120" s="251"/>
      <c r="K120" s="251">
        <v>30335.806451612902</v>
      </c>
      <c r="L120" s="251"/>
      <c r="M120" s="192" t="s">
        <v>3546</v>
      </c>
      <c r="N120" s="192" t="s">
        <v>3546</v>
      </c>
      <c r="O120" s="192" t="s">
        <v>3155</v>
      </c>
      <c r="P120" s="192" t="s">
        <v>3592</v>
      </c>
      <c r="Q120" s="133" t="s">
        <v>3546</v>
      </c>
      <c r="R120" s="318" t="s">
        <v>3737</v>
      </c>
      <c r="T120" s="133">
        <v>3210</v>
      </c>
      <c r="U120" s="133">
        <v>2000</v>
      </c>
      <c r="AA120" s="178" t="s">
        <v>3307</v>
      </c>
      <c r="AB120" t="s">
        <v>4597</v>
      </c>
      <c r="AH120" s="133" t="s">
        <v>1437</v>
      </c>
      <c r="AI120" s="192" t="s">
        <v>1141</v>
      </c>
    </row>
    <row r="121" spans="1:35">
      <c r="A121" s="660"/>
      <c r="B121" s="185" t="str">
        <f t="shared" si="15"/>
        <v>Krizet - max rozměr 2130x1650 mm</v>
      </c>
      <c r="C121" s="170">
        <f t="shared" si="16"/>
        <v>2280.3119999999999</v>
      </c>
      <c r="D121" s="249"/>
      <c r="E121" s="251">
        <v>2280.3119999999999</v>
      </c>
      <c r="F121" s="251"/>
      <c r="G121" s="134">
        <v>79.250011976047915</v>
      </c>
      <c r="H121" s="134"/>
      <c r="I121" s="251">
        <v>360.67679999999996</v>
      </c>
      <c r="J121" s="251"/>
      <c r="K121" s="251">
        <v>32452.258064516129</v>
      </c>
      <c r="L121" s="251"/>
      <c r="M121" s="192" t="s">
        <v>3562</v>
      </c>
      <c r="N121" s="192" t="s">
        <v>3563</v>
      </c>
      <c r="O121" s="192" t="s">
        <v>3564</v>
      </c>
      <c r="P121" s="192" t="s">
        <v>3565</v>
      </c>
      <c r="Q121" s="133" t="s">
        <v>3566</v>
      </c>
      <c r="R121" s="318" t="s">
        <v>3729</v>
      </c>
      <c r="T121" s="133">
        <v>2130</v>
      </c>
      <c r="U121" s="133">
        <v>1650</v>
      </c>
      <c r="AA121" s="202" t="s">
        <v>3392</v>
      </c>
      <c r="AB121" t="s">
        <v>4598</v>
      </c>
      <c r="AH121" s="133" t="s">
        <v>3601</v>
      </c>
      <c r="AI121" s="192" t="s">
        <v>3141</v>
      </c>
    </row>
    <row r="122" spans="1:35">
      <c r="A122" s="660"/>
      <c r="B122" s="185" t="str">
        <f t="shared" si="15"/>
        <v>Master (Carre)</v>
      </c>
      <c r="C122" s="170">
        <f t="shared" si="16"/>
        <v>1847.3831999999998</v>
      </c>
      <c r="D122" s="249"/>
      <c r="E122" s="251">
        <v>1847.3831999999998</v>
      </c>
      <c r="F122" s="251"/>
      <c r="G122" s="134">
        <v>64.203995209580839</v>
      </c>
      <c r="H122" s="134"/>
      <c r="I122" s="251">
        <v>292.20047999999997</v>
      </c>
      <c r="J122" s="251"/>
      <c r="K122" s="251">
        <v>26291.032258064515</v>
      </c>
      <c r="L122" s="251"/>
      <c r="M122" s="192" t="s">
        <v>394</v>
      </c>
      <c r="N122" s="192" t="s">
        <v>394</v>
      </c>
      <c r="O122" s="192" t="s">
        <v>3157</v>
      </c>
      <c r="P122" s="192" t="s">
        <v>394</v>
      </c>
      <c r="Q122" s="133" t="s">
        <v>394</v>
      </c>
      <c r="R122" s="318" t="s">
        <v>394</v>
      </c>
      <c r="T122" s="133">
        <v>2700</v>
      </c>
      <c r="U122" s="133">
        <v>1605</v>
      </c>
      <c r="AA122" s="178" t="s">
        <v>3308</v>
      </c>
      <c r="AB122" t="s">
        <v>4599</v>
      </c>
      <c r="AH122" s="133" t="s">
        <v>889</v>
      </c>
      <c r="AI122" s="192" t="s">
        <v>3144</v>
      </c>
    </row>
    <row r="123" spans="1:35">
      <c r="A123" s="660"/>
      <c r="B123" s="185" t="str">
        <f t="shared" si="15"/>
        <v>Master  Ligne horizont</v>
      </c>
      <c r="C123" s="170">
        <f t="shared" si="16"/>
        <v>1847.3831999999998</v>
      </c>
      <c r="D123" s="249"/>
      <c r="E123" s="251">
        <v>1847.3831999999998</v>
      </c>
      <c r="F123" s="251"/>
      <c r="G123" s="134">
        <v>64.203995209580839</v>
      </c>
      <c r="H123" s="134"/>
      <c r="I123" s="251">
        <v>292.20047999999997</v>
      </c>
      <c r="J123" s="251"/>
      <c r="K123" s="251">
        <v>26291.032258064515</v>
      </c>
      <c r="L123" s="251"/>
      <c r="M123" s="193" t="s">
        <v>3547</v>
      </c>
      <c r="N123" s="192" t="s">
        <v>3547</v>
      </c>
      <c r="O123" s="192" t="s">
        <v>2567</v>
      </c>
      <c r="P123" s="192" t="s">
        <v>3593</v>
      </c>
      <c r="Q123" s="133" t="s">
        <v>3604</v>
      </c>
      <c r="R123" s="318" t="s">
        <v>3738</v>
      </c>
      <c r="T123" s="133">
        <v>2700</v>
      </c>
      <c r="U123" s="133">
        <v>1605</v>
      </c>
      <c r="AA123" s="178" t="s">
        <v>3309</v>
      </c>
      <c r="AB123" t="s">
        <v>4600</v>
      </c>
      <c r="AH123" s="133" t="s">
        <v>890</v>
      </c>
      <c r="AI123" s="192" t="s">
        <v>3145</v>
      </c>
    </row>
    <row r="124" spans="1:35">
      <c r="A124" s="660"/>
      <c r="B124" s="185" t="str">
        <f t="shared" si="15"/>
        <v>Master  Point</v>
      </c>
      <c r="C124" s="170">
        <f t="shared" si="16"/>
        <v>1847.3831999999998</v>
      </c>
      <c r="D124" s="249"/>
      <c r="E124" s="251">
        <v>1847.3831999999998</v>
      </c>
      <c r="F124" s="251"/>
      <c r="G124" s="134">
        <v>64.203995209580839</v>
      </c>
      <c r="H124" s="134"/>
      <c r="I124" s="251">
        <v>292.20047999999997</v>
      </c>
      <c r="J124" s="251"/>
      <c r="K124" s="251">
        <v>26291.032258064515</v>
      </c>
      <c r="L124" s="251"/>
      <c r="M124" s="193" t="s">
        <v>395</v>
      </c>
      <c r="N124" s="192" t="s">
        <v>395</v>
      </c>
      <c r="O124" s="192" t="s">
        <v>3158</v>
      </c>
      <c r="P124" s="192" t="s">
        <v>395</v>
      </c>
      <c r="Q124" s="133" t="s">
        <v>896</v>
      </c>
      <c r="R124" s="318" t="s">
        <v>896</v>
      </c>
      <c r="T124" s="133">
        <v>2700</v>
      </c>
      <c r="U124" s="133">
        <v>1605</v>
      </c>
      <c r="AA124" s="178" t="s">
        <v>3310</v>
      </c>
      <c r="AB124" t="s">
        <v>4601</v>
      </c>
      <c r="AH124" s="133" t="s">
        <v>891</v>
      </c>
      <c r="AI124" s="192" t="s">
        <v>3147</v>
      </c>
    </row>
    <row r="125" spans="1:35">
      <c r="A125" s="660"/>
      <c r="B125" s="185" t="str">
        <f t="shared" si="15"/>
        <v>FLUTES horizont</v>
      </c>
      <c r="C125" s="170">
        <f t="shared" si="16"/>
        <v>2850.3900000000003</v>
      </c>
      <c r="D125" s="249"/>
      <c r="E125" s="251">
        <v>2850.3900000000003</v>
      </c>
      <c r="F125" s="251"/>
      <c r="G125" s="134">
        <v>99.062514970059908</v>
      </c>
      <c r="H125" s="134"/>
      <c r="I125" s="251">
        <v>450.846</v>
      </c>
      <c r="J125" s="251"/>
      <c r="K125" s="251">
        <v>40565.322580645166</v>
      </c>
      <c r="L125" s="251"/>
      <c r="M125" s="193" t="s">
        <v>3548</v>
      </c>
      <c r="N125" s="192" t="s">
        <v>3548</v>
      </c>
      <c r="O125" s="192" t="s">
        <v>3159</v>
      </c>
      <c r="P125" s="192" t="s">
        <v>3594</v>
      </c>
      <c r="Q125" s="133" t="s">
        <v>3548</v>
      </c>
      <c r="R125" s="318" t="s">
        <v>3739</v>
      </c>
      <c r="T125" s="133">
        <v>2540</v>
      </c>
      <c r="U125" s="133">
        <v>1610</v>
      </c>
      <c r="AA125" s="178" t="s">
        <v>3311</v>
      </c>
      <c r="AB125" t="s">
        <v>4602</v>
      </c>
      <c r="AH125" s="133" t="s">
        <v>3602</v>
      </c>
      <c r="AI125" s="192" t="s">
        <v>3148</v>
      </c>
    </row>
    <row r="126" spans="1:35">
      <c r="A126" s="660"/>
      <c r="B126" s="182"/>
      <c r="C126" s="249"/>
      <c r="D126" s="134"/>
      <c r="E126" s="251"/>
      <c r="F126" s="251"/>
      <c r="G126" s="134"/>
      <c r="H126" s="134"/>
      <c r="I126" s="251"/>
      <c r="J126" s="251"/>
      <c r="K126" s="251"/>
      <c r="L126" s="251"/>
      <c r="M126" s="193"/>
      <c r="N126" s="192"/>
      <c r="O126" s="192"/>
      <c r="P126" s="192"/>
      <c r="AA126" s="178" t="s">
        <v>3312</v>
      </c>
      <c r="AB126" t="s">
        <v>4603</v>
      </c>
      <c r="AH126" s="133" t="s">
        <v>892</v>
      </c>
      <c r="AI126" s="192" t="s">
        <v>3150</v>
      </c>
    </row>
    <row r="127" spans="1:35">
      <c r="A127" s="660"/>
      <c r="B127" s="185" t="str">
        <f t="shared" si="15"/>
        <v>Master  Ligne vertikálně</v>
      </c>
      <c r="C127" s="170">
        <f t="shared" ref="C127:C133" si="17">IF($D$1=1,E127,IF(OR($D$1=2,$D$1=5),G127,IF($D$1=3,I127,IF($D$1=4,K127,IF($D$1=6,G127*1.3,0)))))</f>
        <v>1847.3831999999998</v>
      </c>
      <c r="D127" s="134"/>
      <c r="E127" s="251">
        <v>1847.3831999999998</v>
      </c>
      <c r="F127" s="251"/>
      <c r="G127" s="134">
        <v>64.203995209580839</v>
      </c>
      <c r="H127" s="134"/>
      <c r="I127" s="251">
        <v>292.20047999999997</v>
      </c>
      <c r="J127" s="251"/>
      <c r="K127" s="251">
        <v>26291.032258064515</v>
      </c>
      <c r="L127" s="251"/>
      <c r="M127" s="193" t="s">
        <v>3549</v>
      </c>
      <c r="N127" s="192" t="s">
        <v>3526</v>
      </c>
      <c r="O127" s="192" t="s">
        <v>3161</v>
      </c>
      <c r="P127" s="192" t="s">
        <v>3595</v>
      </c>
      <c r="Q127" s="133" t="s">
        <v>3605</v>
      </c>
      <c r="R127" s="318" t="s">
        <v>3740</v>
      </c>
      <c r="T127" s="133">
        <v>2700</v>
      </c>
      <c r="U127" s="133">
        <v>1605</v>
      </c>
      <c r="AA127" s="178" t="s">
        <v>3313</v>
      </c>
      <c r="AB127" t="s">
        <v>4604</v>
      </c>
      <c r="AH127" s="133" t="s">
        <v>893</v>
      </c>
      <c r="AI127" s="192" t="s">
        <v>3151</v>
      </c>
    </row>
    <row r="128" spans="1:35">
      <c r="A128" s="660"/>
      <c r="B128" s="185" t="str">
        <f t="shared" si="15"/>
        <v>Lacobel RAL 1013</v>
      </c>
      <c r="C128" s="170">
        <f t="shared" si="17"/>
        <v>2379.4559999999997</v>
      </c>
      <c r="D128" s="134"/>
      <c r="E128" s="251">
        <v>2379.4559999999997</v>
      </c>
      <c r="F128" s="251"/>
      <c r="G128" s="134">
        <v>82.695664670658687</v>
      </c>
      <c r="H128" s="134"/>
      <c r="I128" s="251">
        <v>376.35839999999996</v>
      </c>
      <c r="J128" s="251"/>
      <c r="K128" s="251">
        <v>33863.225806451606</v>
      </c>
      <c r="L128" s="251"/>
      <c r="M128" s="193" t="s">
        <v>35</v>
      </c>
      <c r="N128" s="193" t="s">
        <v>35</v>
      </c>
      <c r="O128" s="192" t="s">
        <v>3162</v>
      </c>
      <c r="P128" s="193" t="s">
        <v>35</v>
      </c>
      <c r="Q128" s="133" t="s">
        <v>35</v>
      </c>
      <c r="R128" s="318" t="s">
        <v>35</v>
      </c>
      <c r="T128" s="133">
        <v>2550</v>
      </c>
      <c r="U128" s="133">
        <v>1605</v>
      </c>
      <c r="AA128" s="202" t="s">
        <v>3314</v>
      </c>
      <c r="AB128" t="s">
        <v>4605</v>
      </c>
      <c r="AH128" s="133" t="s">
        <v>894</v>
      </c>
      <c r="AI128" s="192" t="s">
        <v>3152</v>
      </c>
    </row>
    <row r="129" spans="1:35">
      <c r="A129" s="660"/>
      <c r="B129" s="185" t="str">
        <f t="shared" si="15"/>
        <v>Lacobel RAL 1015</v>
      </c>
      <c r="C129" s="170">
        <f t="shared" si="17"/>
        <v>1982.8799999999997</v>
      </c>
      <c r="D129" s="134"/>
      <c r="E129" s="251">
        <v>1982.8799999999997</v>
      </c>
      <c r="F129" s="251"/>
      <c r="G129" s="134">
        <v>68.913053892215572</v>
      </c>
      <c r="H129" s="134"/>
      <c r="I129" s="251">
        <v>313.63200000000001</v>
      </c>
      <c r="J129" s="251"/>
      <c r="K129" s="251">
        <v>28219.354838709674</v>
      </c>
      <c r="L129" s="251"/>
      <c r="M129" s="193" t="s">
        <v>29</v>
      </c>
      <c r="N129" s="193" t="s">
        <v>29</v>
      </c>
      <c r="O129" s="192" t="s">
        <v>3163</v>
      </c>
      <c r="P129" s="193" t="s">
        <v>29</v>
      </c>
      <c r="Q129" s="133" t="s">
        <v>29</v>
      </c>
      <c r="R129" s="318" t="s">
        <v>29</v>
      </c>
      <c r="T129" s="133">
        <v>2550</v>
      </c>
      <c r="U129" s="133">
        <v>1605</v>
      </c>
      <c r="AA129" s="202" t="s">
        <v>3396</v>
      </c>
      <c r="AB129" t="s">
        <v>4606</v>
      </c>
      <c r="AH129" s="133" t="s">
        <v>895</v>
      </c>
      <c r="AI129" s="192" t="s">
        <v>3153</v>
      </c>
    </row>
    <row r="130" spans="1:35">
      <c r="A130" s="660"/>
      <c r="B130" s="185" t="str">
        <f t="shared" si="15"/>
        <v>FLUTES vertikálně</v>
      </c>
      <c r="C130" s="170">
        <f t="shared" si="17"/>
        <v>2850.3900000000003</v>
      </c>
      <c r="D130" s="134"/>
      <c r="E130" s="251">
        <v>2850.3900000000003</v>
      </c>
      <c r="F130" s="251"/>
      <c r="G130" s="134">
        <v>99.062514970059908</v>
      </c>
      <c r="H130" s="134"/>
      <c r="I130" s="251">
        <v>450.846</v>
      </c>
      <c r="J130" s="251"/>
      <c r="K130" s="251">
        <v>40565.322580645166</v>
      </c>
      <c r="L130" s="251"/>
      <c r="M130" s="193" t="s">
        <v>3550</v>
      </c>
      <c r="N130" s="192" t="s">
        <v>3577</v>
      </c>
      <c r="O130" s="192" t="s">
        <v>3164</v>
      </c>
      <c r="P130" s="192" t="s">
        <v>3596</v>
      </c>
      <c r="Q130" s="133" t="s">
        <v>3606</v>
      </c>
      <c r="R130" s="318" t="s">
        <v>3606</v>
      </c>
      <c r="T130" s="133">
        <v>2550</v>
      </c>
      <c r="U130" s="133">
        <v>1605</v>
      </c>
      <c r="AA130" s="177" t="s">
        <v>3400</v>
      </c>
      <c r="AB130" t="s">
        <v>4607</v>
      </c>
      <c r="AH130" s="133" t="s">
        <v>3603</v>
      </c>
      <c r="AI130" s="192" t="s">
        <v>3154</v>
      </c>
    </row>
    <row r="131" spans="1:35">
      <c r="A131" s="660"/>
      <c r="B131" s="185" t="str">
        <f t="shared" si="15"/>
        <v>VISIOSUN vertikálně</v>
      </c>
      <c r="C131" s="170">
        <f t="shared" si="17"/>
        <v>2131.5959999999995</v>
      </c>
      <c r="D131" s="134"/>
      <c r="E131" s="251">
        <v>2131.5959999999995</v>
      </c>
      <c r="F131" s="251"/>
      <c r="G131" s="134">
        <v>74.081532934131729</v>
      </c>
      <c r="H131" s="134"/>
      <c r="I131" s="251">
        <v>337.15439999999995</v>
      </c>
      <c r="J131" s="251"/>
      <c r="K131" s="251">
        <v>30335.806451612902</v>
      </c>
      <c r="L131" s="251"/>
      <c r="M131" s="192" t="s">
        <v>3524</v>
      </c>
      <c r="N131" s="192" t="s">
        <v>3578</v>
      </c>
      <c r="O131" s="192" t="s">
        <v>3165</v>
      </c>
      <c r="P131" s="192" t="s">
        <v>3597</v>
      </c>
      <c r="Q131" s="133" t="s">
        <v>3607</v>
      </c>
      <c r="R131" s="318" t="s">
        <v>3607</v>
      </c>
      <c r="T131" s="133">
        <v>3210</v>
      </c>
      <c r="U131" s="133">
        <v>2000</v>
      </c>
      <c r="AA131" s="178" t="s">
        <v>4396</v>
      </c>
      <c r="AB131" t="s">
        <v>4418</v>
      </c>
      <c r="AH131" s="133" t="s">
        <v>3604</v>
      </c>
      <c r="AI131" s="192" t="s">
        <v>2567</v>
      </c>
    </row>
    <row r="132" spans="1:35">
      <c r="A132" s="660"/>
      <c r="B132" s="185" t="str">
        <f t="shared" si="15"/>
        <v>VISIOSUN satén vertikálně</v>
      </c>
      <c r="C132" s="170">
        <f t="shared" si="17"/>
        <v>3098.25</v>
      </c>
      <c r="D132" s="134"/>
      <c r="E132" s="251">
        <v>3098.25</v>
      </c>
      <c r="F132" s="251"/>
      <c r="G132" s="134">
        <v>107.67664670658684</v>
      </c>
      <c r="H132" s="249"/>
      <c r="I132" s="251">
        <v>504.42750000000001</v>
      </c>
      <c r="J132" s="251"/>
      <c r="K132" s="251">
        <v>44092.741935483871</v>
      </c>
      <c r="L132" s="251"/>
      <c r="M132" s="192" t="s">
        <v>3525</v>
      </c>
      <c r="N132" s="192" t="s">
        <v>3611</v>
      </c>
      <c r="O132" s="192" t="s">
        <v>3531</v>
      </c>
      <c r="P132" s="192" t="s">
        <v>3612</v>
      </c>
      <c r="Q132" s="133" t="s">
        <v>3613</v>
      </c>
      <c r="R132" s="318" t="s">
        <v>3741</v>
      </c>
      <c r="T132" s="133">
        <v>2000</v>
      </c>
      <c r="U132" s="133">
        <v>1605</v>
      </c>
      <c r="AA132" s="178" t="s">
        <v>4402</v>
      </c>
      <c r="AB132" t="s">
        <v>4608</v>
      </c>
      <c r="AH132" s="133" t="s">
        <v>896</v>
      </c>
      <c r="AI132" s="192" t="s">
        <v>3158</v>
      </c>
    </row>
    <row r="133" spans="1:35">
      <c r="A133" s="660"/>
      <c r="B133" s="185" t="str">
        <f t="shared" si="15"/>
        <v>VISIOSUN satén horizont</v>
      </c>
      <c r="C133" s="170">
        <f t="shared" si="17"/>
        <v>3098.25</v>
      </c>
      <c r="D133" s="134"/>
      <c r="E133" s="251">
        <v>3098.25</v>
      </c>
      <c r="F133" s="251"/>
      <c r="G133" s="134">
        <v>107.67664670658684</v>
      </c>
      <c r="H133" s="249"/>
      <c r="I133" s="251">
        <v>504.42750000000001</v>
      </c>
      <c r="J133" s="251"/>
      <c r="K133" s="251">
        <v>44092.741935483871</v>
      </c>
      <c r="L133" s="251"/>
      <c r="M133" s="192" t="s">
        <v>3614</v>
      </c>
      <c r="N133" s="192" t="s">
        <v>3614</v>
      </c>
      <c r="O133" s="192" t="s">
        <v>3532</v>
      </c>
      <c r="P133" s="192" t="s">
        <v>3615</v>
      </c>
      <c r="Q133" s="133" t="s">
        <v>3616</v>
      </c>
      <c r="R133" s="318" t="s">
        <v>3742</v>
      </c>
      <c r="T133" s="133">
        <v>2000</v>
      </c>
      <c r="U133" s="133">
        <v>1605</v>
      </c>
      <c r="AA133" s="179" t="s">
        <v>4462</v>
      </c>
      <c r="AB133" t="s">
        <v>4609</v>
      </c>
      <c r="AH133" s="133" t="s">
        <v>3605</v>
      </c>
      <c r="AI133" s="192" t="s">
        <v>3161</v>
      </c>
    </row>
    <row r="134" spans="1:35">
      <c r="A134" s="660"/>
      <c r="B134" s="182"/>
      <c r="C134" s="249"/>
      <c r="D134" s="134"/>
      <c r="E134" s="251" t="e">
        <v>#N/A</v>
      </c>
      <c r="G134" s="134" t="e">
        <v>#N/A</v>
      </c>
      <c r="I134" s="251"/>
      <c r="K134" s="251" t="e">
        <v>#N/A</v>
      </c>
      <c r="M134" s="193"/>
      <c r="N134" s="193"/>
      <c r="O134" s="192"/>
      <c r="P134" s="193"/>
      <c r="R134" s="318"/>
      <c r="T134" s="133">
        <v>2550</v>
      </c>
      <c r="U134" s="133">
        <v>1605</v>
      </c>
      <c r="AA134" s="178" t="s">
        <v>4408</v>
      </c>
      <c r="AB134" t="s">
        <v>4419</v>
      </c>
      <c r="AH134" s="133" t="s">
        <v>3606</v>
      </c>
      <c r="AI134" s="192" t="s">
        <v>3164</v>
      </c>
    </row>
    <row r="135" spans="1:35">
      <c r="A135" s="660"/>
      <c r="B135" s="185" t="str">
        <f t="shared" si="15"/>
        <v>Lacobel RAL 7035</v>
      </c>
      <c r="C135" s="170">
        <f>IF($D$1=1,E135,IF(OR($D$1=2,$D$1=5),G135,IF($D$1=3,I135,IF($D$1=4,K135,IF($D$1=6,G135*1.3,0)))))</f>
        <v>1982.8799999999997</v>
      </c>
      <c r="D135" s="134"/>
      <c r="E135" s="251">
        <v>1982.8799999999997</v>
      </c>
      <c r="F135" s="251"/>
      <c r="G135" s="134">
        <v>68.913053892215572</v>
      </c>
      <c r="I135" s="251">
        <v>313.63200000000001</v>
      </c>
      <c r="J135" s="251"/>
      <c r="K135" s="251">
        <v>28219.354838709674</v>
      </c>
      <c r="L135" s="251"/>
      <c r="M135" s="193" t="s">
        <v>32</v>
      </c>
      <c r="N135" s="193" t="s">
        <v>32</v>
      </c>
      <c r="O135" s="192" t="s">
        <v>3166</v>
      </c>
      <c r="P135" s="193" t="s">
        <v>32</v>
      </c>
      <c r="Q135" s="133" t="s">
        <v>32</v>
      </c>
      <c r="R135" s="318" t="s">
        <v>32</v>
      </c>
      <c r="T135" s="133">
        <v>2550</v>
      </c>
      <c r="U135" s="133">
        <v>1605</v>
      </c>
      <c r="AA135" s="178" t="s">
        <v>4413</v>
      </c>
      <c r="AB135" t="s">
        <v>4420</v>
      </c>
      <c r="AH135" s="133" t="s">
        <v>3607</v>
      </c>
      <c r="AI135" s="192" t="s">
        <v>3165</v>
      </c>
    </row>
    <row r="136" spans="1:35">
      <c r="A136" s="660"/>
      <c r="B136" s="182"/>
      <c r="C136" s="249"/>
      <c r="D136" s="134"/>
      <c r="E136" s="251" t="e">
        <v>#N/A</v>
      </c>
      <c r="G136" s="134" t="e">
        <v>#N/A</v>
      </c>
      <c r="I136" s="251" t="e">
        <v>#N/A</v>
      </c>
      <c r="K136" s="251" t="e">
        <v>#N/A</v>
      </c>
      <c r="M136" s="193"/>
      <c r="N136" s="193"/>
      <c r="O136" s="192"/>
      <c r="P136" s="193"/>
      <c r="R136" s="318"/>
      <c r="T136" s="133">
        <v>2550</v>
      </c>
      <c r="U136" s="133">
        <v>1605</v>
      </c>
      <c r="AA136" s="178" t="s">
        <v>4461</v>
      </c>
      <c r="AB136" t="s">
        <v>4610</v>
      </c>
      <c r="AH136" s="133" t="s">
        <v>3608</v>
      </c>
      <c r="AI136" s="192" t="s">
        <v>3172</v>
      </c>
    </row>
    <row r="137" spans="1:35">
      <c r="A137" s="660"/>
      <c r="B137" s="185" t="str">
        <f t="shared" si="15"/>
        <v>Lacobel RAL 9003</v>
      </c>
      <c r="C137" s="170">
        <f t="shared" ref="C137:C143" si="18">IF($D$1=1,E137,IF(OR($D$1=2,$D$1=5),G137,IF($D$1=3,I137,IF($D$1=4,K137,IF($D$1=6,G137*1.3,0)))))</f>
        <v>2379.4559999999997</v>
      </c>
      <c r="D137" s="134"/>
      <c r="E137" s="251">
        <v>2379.4559999999997</v>
      </c>
      <c r="F137" s="251"/>
      <c r="G137" s="134">
        <v>82.695664670658687</v>
      </c>
      <c r="H137" s="134"/>
      <c r="I137" s="251">
        <v>376.35839999999996</v>
      </c>
      <c r="J137" s="251"/>
      <c r="K137" s="251">
        <v>33863.225806451606</v>
      </c>
      <c r="L137" s="251"/>
      <c r="M137" s="193" t="s">
        <v>36</v>
      </c>
      <c r="N137" s="193" t="s">
        <v>36</v>
      </c>
      <c r="O137" s="192" t="s">
        <v>3167</v>
      </c>
      <c r="P137" s="193" t="s">
        <v>36</v>
      </c>
      <c r="Q137" s="133" t="s">
        <v>36</v>
      </c>
      <c r="R137" s="318" t="s">
        <v>3730</v>
      </c>
      <c r="T137" s="133">
        <v>2550</v>
      </c>
      <c r="U137" s="133">
        <v>1605</v>
      </c>
      <c r="AA137" s="178" t="s">
        <v>4463</v>
      </c>
      <c r="AB137" t="s">
        <v>4611</v>
      </c>
      <c r="AH137" s="133" t="s">
        <v>3609</v>
      </c>
      <c r="AI137" s="192" t="s">
        <v>3173</v>
      </c>
    </row>
    <row r="138" spans="1:35">
      <c r="A138" s="660"/>
      <c r="B138" s="185" t="str">
        <f t="shared" si="15"/>
        <v>Lacobel RAL 9005</v>
      </c>
      <c r="C138" s="170">
        <f t="shared" si="18"/>
        <v>1804.4207999999999</v>
      </c>
      <c r="D138" s="134"/>
      <c r="E138" s="251">
        <v>1804.4207999999999</v>
      </c>
      <c r="F138" s="251"/>
      <c r="G138" s="134">
        <v>62.710879041916165</v>
      </c>
      <c r="H138" s="249"/>
      <c r="I138" s="251">
        <v>285.40511999999995</v>
      </c>
      <c r="J138" s="251"/>
      <c r="K138" s="251">
        <v>25679.612903225803</v>
      </c>
      <c r="L138" s="251"/>
      <c r="M138" s="193" t="s">
        <v>38</v>
      </c>
      <c r="N138" s="193" t="s">
        <v>38</v>
      </c>
      <c r="O138" s="192" t="s">
        <v>3168</v>
      </c>
      <c r="P138" s="193" t="s">
        <v>38</v>
      </c>
      <c r="Q138" s="133" t="s">
        <v>38</v>
      </c>
      <c r="R138" s="318" t="s">
        <v>38</v>
      </c>
      <c r="T138" s="133">
        <v>2550</v>
      </c>
      <c r="U138" s="133">
        <v>1605</v>
      </c>
      <c r="AA138" s="178" t="s">
        <v>4464</v>
      </c>
      <c r="AB138" t="s">
        <v>4612</v>
      </c>
      <c r="AH138" s="133" t="s">
        <v>3535</v>
      </c>
      <c r="AI138" s="192" t="s">
        <v>3174</v>
      </c>
    </row>
    <row r="139" spans="1:35">
      <c r="A139" s="660"/>
      <c r="B139" s="185" t="str">
        <f t="shared" si="15"/>
        <v>Lacobel RAL 9006</v>
      </c>
      <c r="C139" s="170">
        <f t="shared" si="18"/>
        <v>2379.4559999999997</v>
      </c>
      <c r="D139" s="134"/>
      <c r="E139" s="251">
        <v>2379.4559999999997</v>
      </c>
      <c r="F139" s="251"/>
      <c r="G139" s="134">
        <v>82.695664670658687</v>
      </c>
      <c r="H139" s="249"/>
      <c r="I139" s="251">
        <v>376.35839999999996</v>
      </c>
      <c r="J139" s="251"/>
      <c r="K139" s="251">
        <v>33863.225806451606</v>
      </c>
      <c r="L139" s="251"/>
      <c r="M139" s="193" t="s">
        <v>37</v>
      </c>
      <c r="N139" s="193" t="s">
        <v>37</v>
      </c>
      <c r="O139" s="192" t="s">
        <v>3169</v>
      </c>
      <c r="P139" s="193" t="s">
        <v>37</v>
      </c>
      <c r="Q139" s="133" t="s">
        <v>37</v>
      </c>
      <c r="R139" s="318" t="s">
        <v>37</v>
      </c>
      <c r="T139" s="133">
        <v>2550</v>
      </c>
      <c r="U139" s="133">
        <v>1605</v>
      </c>
      <c r="AA139" s="178" t="s">
        <v>4479</v>
      </c>
      <c r="AB139" t="s">
        <v>4613</v>
      </c>
      <c r="AH139" s="133" t="s">
        <v>3536</v>
      </c>
      <c r="AI139" s="192" t="s">
        <v>3175</v>
      </c>
    </row>
    <row r="140" spans="1:35">
      <c r="A140" s="660"/>
      <c r="B140" s="185" t="str">
        <f t="shared" si="15"/>
        <v>Lacobel RAL 9007</v>
      </c>
      <c r="C140" s="170">
        <f t="shared" si="18"/>
        <v>2379.4559999999997</v>
      </c>
      <c r="D140" s="134"/>
      <c r="E140" s="251">
        <v>2379.4559999999997</v>
      </c>
      <c r="F140" s="251"/>
      <c r="G140" s="134">
        <v>82.695664670658687</v>
      </c>
      <c r="H140" s="249"/>
      <c r="I140" s="251">
        <v>376.35839999999996</v>
      </c>
      <c r="J140" s="251"/>
      <c r="K140" s="251">
        <v>33863.225806451606</v>
      </c>
      <c r="L140" s="251"/>
      <c r="M140" s="193" t="s">
        <v>557</v>
      </c>
      <c r="N140" s="193" t="s">
        <v>557</v>
      </c>
      <c r="O140" s="192" t="s">
        <v>3170</v>
      </c>
      <c r="P140" s="193" t="s">
        <v>557</v>
      </c>
      <c r="Q140" s="133" t="s">
        <v>557</v>
      </c>
      <c r="R140" s="318" t="s">
        <v>557</v>
      </c>
      <c r="T140" s="133">
        <v>2550</v>
      </c>
      <c r="U140" s="133">
        <v>1605</v>
      </c>
      <c r="AA140" s="178" t="s">
        <v>4480</v>
      </c>
      <c r="AB140" t="s">
        <v>4614</v>
      </c>
      <c r="AH140" s="133" t="s">
        <v>897</v>
      </c>
      <c r="AI140" s="192" t="s">
        <v>3178</v>
      </c>
    </row>
    <row r="141" spans="1:35">
      <c r="A141" s="660"/>
      <c r="B141" s="185" t="str">
        <f t="shared" si="15"/>
        <v>Lacobel RAL 9010</v>
      </c>
      <c r="C141" s="170">
        <f t="shared" si="18"/>
        <v>1804.4207999999999</v>
      </c>
      <c r="D141" s="134"/>
      <c r="E141" s="251">
        <v>1804.4207999999999</v>
      </c>
      <c r="F141" s="251"/>
      <c r="G141" s="134">
        <v>62.710879041916165</v>
      </c>
      <c r="H141" s="249"/>
      <c r="I141" s="251">
        <v>285.40511999999995</v>
      </c>
      <c r="J141" s="251"/>
      <c r="K141" s="251">
        <v>25679.612903225803</v>
      </c>
      <c r="L141" s="251"/>
      <c r="M141" s="193" t="s">
        <v>30</v>
      </c>
      <c r="N141" s="193" t="s">
        <v>30</v>
      </c>
      <c r="O141" s="192" t="s">
        <v>3171</v>
      </c>
      <c r="P141" s="193" t="s">
        <v>30</v>
      </c>
      <c r="Q141" s="133" t="s">
        <v>30</v>
      </c>
      <c r="R141" s="318" t="s">
        <v>30</v>
      </c>
      <c r="T141" s="133">
        <v>2550</v>
      </c>
      <c r="U141" s="133">
        <v>1605</v>
      </c>
      <c r="AA141" s="185" t="s">
        <v>3315</v>
      </c>
      <c r="AB141" t="s">
        <v>4615</v>
      </c>
      <c r="AH141" s="133" t="s">
        <v>898</v>
      </c>
      <c r="AI141" s="192" t="s">
        <v>3180</v>
      </c>
    </row>
    <row r="142" spans="1:35">
      <c r="A142" s="660"/>
      <c r="B142" s="185" t="str">
        <f t="shared" si="15"/>
        <v>Moru hnědá vertikálně</v>
      </c>
      <c r="C142" s="170">
        <f t="shared" si="18"/>
        <v>3098.25</v>
      </c>
      <c r="D142" s="134"/>
      <c r="E142" s="251">
        <v>3098.25</v>
      </c>
      <c r="F142" s="251"/>
      <c r="G142" s="134">
        <v>107.67664670658684</v>
      </c>
      <c r="H142" s="249"/>
      <c r="I142" s="251">
        <v>490.05</v>
      </c>
      <c r="J142" s="251"/>
      <c r="K142" s="251">
        <v>44092.741935483871</v>
      </c>
      <c r="L142" s="251"/>
      <c r="M142" s="193" t="s">
        <v>3551</v>
      </c>
      <c r="N142" s="193" t="s">
        <v>3579</v>
      </c>
      <c r="O142" s="192" t="s">
        <v>3172</v>
      </c>
      <c r="P142" s="193" t="s">
        <v>3598</v>
      </c>
      <c r="Q142" s="133" t="s">
        <v>3608</v>
      </c>
      <c r="R142" s="318" t="s">
        <v>3743</v>
      </c>
      <c r="T142" s="133">
        <v>2440</v>
      </c>
      <c r="U142" s="133">
        <v>2100</v>
      </c>
      <c r="AA142" s="185" t="s">
        <v>3316</v>
      </c>
      <c r="AB142" t="s">
        <v>4616</v>
      </c>
      <c r="AH142" s="133" t="s">
        <v>3610</v>
      </c>
      <c r="AI142" s="192" t="s">
        <v>3181</v>
      </c>
    </row>
    <row r="143" spans="1:35">
      <c r="A143" s="660"/>
      <c r="B143" s="185" t="str">
        <f t="shared" si="15"/>
        <v>Moru grafit vertikálně</v>
      </c>
      <c r="C143" s="170">
        <f t="shared" si="18"/>
        <v>3098.25</v>
      </c>
      <c r="D143" s="134"/>
      <c r="E143" s="251">
        <v>3098.25</v>
      </c>
      <c r="F143" s="251"/>
      <c r="G143" s="134">
        <v>107.67664670658684</v>
      </c>
      <c r="H143" s="249"/>
      <c r="I143" s="251">
        <v>490.05</v>
      </c>
      <c r="J143" s="251"/>
      <c r="K143" s="251">
        <v>44092.741935483871</v>
      </c>
      <c r="L143" s="251"/>
      <c r="M143" s="193" t="s">
        <v>3552</v>
      </c>
      <c r="N143" s="193" t="s">
        <v>3580</v>
      </c>
      <c r="O143" s="192" t="s">
        <v>3173</v>
      </c>
      <c r="P143" s="193" t="s">
        <v>3533</v>
      </c>
      <c r="Q143" s="133" t="s">
        <v>3534</v>
      </c>
      <c r="R143" s="318" t="s">
        <v>3609</v>
      </c>
      <c r="T143" s="133">
        <v>2440</v>
      </c>
      <c r="U143" s="133">
        <v>2100</v>
      </c>
      <c r="AA143" s="185" t="s">
        <v>3317</v>
      </c>
      <c r="AB143" t="s">
        <v>4617</v>
      </c>
      <c r="AH143" s="192" t="s">
        <v>3525</v>
      </c>
      <c r="AI143" s="133" t="s">
        <v>3490</v>
      </c>
    </row>
    <row r="144" spans="1:35">
      <c r="A144" s="660"/>
      <c r="B144" s="182"/>
      <c r="C144" s="249"/>
      <c r="D144" s="134"/>
      <c r="E144" s="251"/>
      <c r="G144" s="134"/>
      <c r="I144" s="251"/>
      <c r="K144" s="251"/>
      <c r="M144" s="193" t="s">
        <v>33</v>
      </c>
      <c r="N144" s="193" t="s">
        <v>33</v>
      </c>
      <c r="O144" s="192" t="s">
        <v>33</v>
      </c>
      <c r="P144" s="193" t="s">
        <v>33</v>
      </c>
      <c r="Q144" s="133" t="s">
        <v>33</v>
      </c>
      <c r="R144" s="318" t="s">
        <v>33</v>
      </c>
      <c r="AA144" s="185" t="s">
        <v>3318</v>
      </c>
      <c r="AB144" t="s">
        <v>4618</v>
      </c>
      <c r="AH144" s="192" t="s">
        <v>3611</v>
      </c>
      <c r="AI144" s="133" t="s">
        <v>3490</v>
      </c>
    </row>
    <row r="145" spans="1:35">
      <c r="A145" s="660"/>
      <c r="B145" s="182"/>
      <c r="C145" s="249"/>
      <c r="D145" s="134"/>
      <c r="E145" s="251"/>
      <c r="G145" s="134"/>
      <c r="I145" s="251"/>
      <c r="K145" s="251"/>
      <c r="M145" s="193" t="s">
        <v>34</v>
      </c>
      <c r="N145" s="193" t="s">
        <v>34</v>
      </c>
      <c r="O145" s="192" t="s">
        <v>34</v>
      </c>
      <c r="P145" s="193" t="s">
        <v>34</v>
      </c>
      <c r="Q145" s="133" t="s">
        <v>34</v>
      </c>
      <c r="R145" s="318" t="s">
        <v>34</v>
      </c>
      <c r="AA145" s="185" t="s">
        <v>3319</v>
      </c>
      <c r="AB145" t="s">
        <v>4619</v>
      </c>
      <c r="AH145" s="192" t="s">
        <v>3490</v>
      </c>
      <c r="AI145" s="133" t="s">
        <v>3490</v>
      </c>
    </row>
    <row r="146" spans="1:35">
      <c r="A146" s="660"/>
      <c r="B146" s="185" t="str">
        <f t="shared" ref="B146:B147" si="19">IF($D$1=1,M146,
IF($D$1=2,N146,
IF($D$1=3,O146,
IF($D$1=4,P146,
IF($D$1=5,Q146,
IF($D$1=6,R146,0))))))</f>
        <v>Moru hnědá hozintálně</v>
      </c>
      <c r="C146" s="170">
        <f>IF($D$1=1,E146,IF(OR($D$1=2,$D$1=5),G146,IF($D$1=3,I146,IF($D$1=4,K146,IF($D$1=6,G146*1.3,0)))))</f>
        <v>3098.25</v>
      </c>
      <c r="D146" s="134"/>
      <c r="E146" s="251">
        <v>3098.25</v>
      </c>
      <c r="F146" s="251"/>
      <c r="G146" s="134">
        <v>107.67664670658684</v>
      </c>
      <c r="H146" s="249"/>
      <c r="I146" s="251">
        <v>490.05</v>
      </c>
      <c r="J146" s="251"/>
      <c r="K146" s="251">
        <v>44092.741935483871</v>
      </c>
      <c r="L146" s="251"/>
      <c r="M146" s="193" t="s">
        <v>3553</v>
      </c>
      <c r="N146" s="193" t="s">
        <v>3527</v>
      </c>
      <c r="O146" s="192" t="s">
        <v>3174</v>
      </c>
      <c r="P146" s="193" t="s">
        <v>3599</v>
      </c>
      <c r="Q146" s="133" t="s">
        <v>3535</v>
      </c>
      <c r="R146" s="318" t="s">
        <v>3744</v>
      </c>
      <c r="T146" s="133">
        <v>2440</v>
      </c>
      <c r="U146" s="133">
        <v>2100</v>
      </c>
      <c r="AA146" s="185" t="s">
        <v>3320</v>
      </c>
      <c r="AB146" t="s">
        <v>4620</v>
      </c>
      <c r="AH146" s="192" t="s">
        <v>3612</v>
      </c>
      <c r="AI146" s="133" t="s">
        <v>3490</v>
      </c>
    </row>
    <row r="147" spans="1:35">
      <c r="A147" s="660"/>
      <c r="B147" s="185" t="str">
        <f t="shared" si="19"/>
        <v>Moru grafit horizontálně</v>
      </c>
      <c r="C147" s="170">
        <f>IF($D$1=1,E147,IF(OR($D$1=2,$D$1=5),G147,IF($D$1=3,I147,IF($D$1=4,K147,IF($D$1=6,G147*1.3,0)))))</f>
        <v>3098.25</v>
      </c>
      <c r="D147" s="134"/>
      <c r="E147" s="251">
        <v>3098.25</v>
      </c>
      <c r="F147" s="251"/>
      <c r="G147" s="134">
        <v>107.67664670658684</v>
      </c>
      <c r="H147" s="249"/>
      <c r="I147" s="251">
        <v>490.05</v>
      </c>
      <c r="J147" s="251"/>
      <c r="K147" s="251">
        <v>44092.741935483871</v>
      </c>
      <c r="L147" s="251"/>
      <c r="M147" s="193" t="s">
        <v>3554</v>
      </c>
      <c r="N147" s="193" t="s">
        <v>3528</v>
      </c>
      <c r="O147" s="192" t="s">
        <v>3175</v>
      </c>
      <c r="P147" s="193" t="s">
        <v>3600</v>
      </c>
      <c r="Q147" s="133" t="s">
        <v>3536</v>
      </c>
      <c r="R147" s="318" t="s">
        <v>3536</v>
      </c>
      <c r="T147" s="133">
        <v>2440</v>
      </c>
      <c r="U147" s="133">
        <v>2100</v>
      </c>
      <c r="AA147" s="181" t="s">
        <v>2387</v>
      </c>
      <c r="AB147" s="185" t="s">
        <v>3053</v>
      </c>
      <c r="AH147" s="133" t="s">
        <v>3613</v>
      </c>
      <c r="AI147" s="133" t="s">
        <v>3490</v>
      </c>
    </row>
    <row r="148" spans="1:35">
      <c r="A148" s="660"/>
      <c r="B148" s="182"/>
      <c r="C148" s="249"/>
      <c r="D148" s="134"/>
      <c r="E148" s="251" t="e">
        <v>#N/A</v>
      </c>
      <c r="G148" s="134" t="e">
        <v>#N/A</v>
      </c>
      <c r="I148" s="251" t="e">
        <v>#N/A</v>
      </c>
      <c r="K148" s="251" t="e">
        <v>#N/A</v>
      </c>
      <c r="M148" s="193" t="s">
        <v>31</v>
      </c>
      <c r="N148" s="193" t="s">
        <v>31</v>
      </c>
      <c r="O148" s="192" t="s">
        <v>31</v>
      </c>
      <c r="P148" s="193" t="s">
        <v>31</v>
      </c>
      <c r="Q148" s="133" t="s">
        <v>31</v>
      </c>
      <c r="R148" s="318" t="s">
        <v>31</v>
      </c>
      <c r="AA148" s="181" t="s">
        <v>1231</v>
      </c>
      <c r="AB148" s="185" t="s">
        <v>3054</v>
      </c>
      <c r="AH148" s="192" t="s">
        <v>3614</v>
      </c>
      <c r="AI148" s="133" t="s">
        <v>3491</v>
      </c>
    </row>
    <row r="149" spans="1:35">
      <c r="A149" s="660"/>
      <c r="B149" s="182"/>
      <c r="C149" s="249"/>
      <c r="D149" s="134"/>
      <c r="E149" s="251" t="e">
        <v>#N/A</v>
      </c>
      <c r="G149" s="134" t="e">
        <v>#N/A</v>
      </c>
      <c r="I149" s="251" t="e">
        <v>#N/A</v>
      </c>
      <c r="K149" s="251" t="e">
        <v>#N/A</v>
      </c>
      <c r="M149" s="193" t="s">
        <v>3617</v>
      </c>
      <c r="N149" s="193"/>
      <c r="O149" s="192"/>
      <c r="P149" s="193"/>
      <c r="R149" s="318"/>
      <c r="T149" s="133">
        <v>2550</v>
      </c>
      <c r="U149" s="133">
        <v>1605</v>
      </c>
      <c r="AA149" s="181" t="s">
        <v>2388</v>
      </c>
      <c r="AB149" s="185" t="s">
        <v>3055</v>
      </c>
      <c r="AH149" s="192" t="s">
        <v>3491</v>
      </c>
      <c r="AI149" s="133" t="s">
        <v>3491</v>
      </c>
    </row>
    <row r="150" spans="1:35">
      <c r="A150" s="660"/>
      <c r="B150" s="182"/>
      <c r="C150" s="249"/>
      <c r="D150" s="134"/>
      <c r="E150" s="251" t="e">
        <v>#N/A</v>
      </c>
      <c r="G150" s="134" t="e">
        <v>#N/A</v>
      </c>
      <c r="I150" s="251" t="e">
        <v>#N/A</v>
      </c>
      <c r="K150" s="251" t="e">
        <v>#N/A</v>
      </c>
      <c r="M150" s="193" t="s">
        <v>39</v>
      </c>
      <c r="N150" s="193" t="s">
        <v>39</v>
      </c>
      <c r="O150" s="192" t="s">
        <v>39</v>
      </c>
      <c r="P150" s="193" t="s">
        <v>39</v>
      </c>
      <c r="Q150" s="133" t="s">
        <v>39</v>
      </c>
      <c r="R150" s="318" t="s">
        <v>39</v>
      </c>
      <c r="AA150" s="181" t="s">
        <v>2389</v>
      </c>
      <c r="AB150" s="185" t="s">
        <v>2392</v>
      </c>
      <c r="AH150" s="192" t="s">
        <v>3615</v>
      </c>
      <c r="AI150" s="133" t="s">
        <v>3491</v>
      </c>
    </row>
    <row r="151" spans="1:35">
      <c r="A151" s="660"/>
      <c r="B151" s="182"/>
      <c r="C151" s="249"/>
      <c r="D151" s="134"/>
      <c r="E151" s="251" t="e">
        <v>#N/A</v>
      </c>
      <c r="G151" s="134" t="e">
        <v>#N/A</v>
      </c>
      <c r="I151" s="251" t="e">
        <v>#N/A</v>
      </c>
      <c r="K151" s="251" t="e">
        <v>#N/A</v>
      </c>
      <c r="M151" s="193"/>
      <c r="N151" s="193"/>
      <c r="O151" s="192"/>
      <c r="P151" s="193"/>
      <c r="R151" s="318"/>
      <c r="T151" s="133">
        <v>2550</v>
      </c>
      <c r="U151" s="133">
        <v>1605</v>
      </c>
      <c r="AA151" s="181" t="s">
        <v>1234</v>
      </c>
      <c r="AB151" s="185" t="s">
        <v>1235</v>
      </c>
      <c r="AH151" s="133" t="s">
        <v>3616</v>
      </c>
      <c r="AI151" s="133" t="s">
        <v>3491</v>
      </c>
    </row>
    <row r="152" spans="1:35">
      <c r="A152" s="660"/>
      <c r="B152" s="182"/>
      <c r="C152" s="249"/>
      <c r="D152" s="134"/>
      <c r="E152" s="251" t="e">
        <v>#N/A</v>
      </c>
      <c r="G152" s="134" t="e">
        <v>#N/A</v>
      </c>
      <c r="I152" s="251" t="e">
        <v>#N/A</v>
      </c>
      <c r="K152" s="251" t="e">
        <v>#N/A</v>
      </c>
      <c r="M152" s="193"/>
      <c r="N152" s="193"/>
      <c r="O152" s="192"/>
      <c r="P152" s="193"/>
      <c r="R152" s="318"/>
      <c r="T152" s="133">
        <v>2550</v>
      </c>
      <c r="U152" s="133">
        <v>1605</v>
      </c>
      <c r="AA152" s="181" t="s">
        <v>1421</v>
      </c>
      <c r="AB152" s="185" t="s">
        <v>1422</v>
      </c>
      <c r="AH152" s="185" t="s">
        <v>3013</v>
      </c>
      <c r="AI152" s="205" t="s">
        <v>3016</v>
      </c>
    </row>
    <row r="153" spans="1:35">
      <c r="A153" s="660"/>
      <c r="B153" s="182"/>
      <c r="C153" s="249"/>
      <c r="D153" s="134"/>
      <c r="E153" s="251" t="e">
        <v>#N/A</v>
      </c>
      <c r="G153" s="134" t="e">
        <v>#N/A</v>
      </c>
      <c r="I153" s="251" t="e">
        <v>#N/A</v>
      </c>
      <c r="K153" s="251" t="e">
        <v>#N/A</v>
      </c>
      <c r="M153" s="193"/>
      <c r="N153" s="193"/>
      <c r="O153" s="192"/>
      <c r="P153" s="193"/>
      <c r="R153" s="318"/>
      <c r="T153" s="133">
        <v>2550</v>
      </c>
      <c r="U153" s="133">
        <v>1605</v>
      </c>
      <c r="AA153" s="178" t="s">
        <v>3328</v>
      </c>
      <c r="AB153" t="s">
        <v>554</v>
      </c>
      <c r="AH153" s="185" t="s">
        <v>2566</v>
      </c>
      <c r="AI153" s="205" t="s">
        <v>2565</v>
      </c>
    </row>
    <row r="154" spans="1:35">
      <c r="A154" s="660"/>
      <c r="B154" s="182"/>
      <c r="C154" s="249"/>
      <c r="D154" s="134"/>
      <c r="E154" s="251" t="e">
        <v>#N/A</v>
      </c>
      <c r="G154" s="134" t="e">
        <v>#N/A</v>
      </c>
      <c r="I154" s="251" t="e">
        <v>#N/A</v>
      </c>
      <c r="K154" s="251" t="e">
        <v>#N/A</v>
      </c>
      <c r="M154" s="193"/>
      <c r="N154" s="193"/>
      <c r="O154" s="192"/>
      <c r="P154" s="193"/>
      <c r="R154" s="318"/>
      <c r="T154" s="133">
        <v>2550</v>
      </c>
      <c r="U154" s="133">
        <v>1605</v>
      </c>
      <c r="AA154" s="178" t="s">
        <v>3329</v>
      </c>
      <c r="AB154" t="s">
        <v>4446</v>
      </c>
      <c r="AH154" s="185" t="s">
        <v>3018</v>
      </c>
      <c r="AI154" s="205" t="s">
        <v>3022</v>
      </c>
    </row>
    <row r="155" spans="1:35">
      <c r="A155" s="660"/>
      <c r="B155" s="182"/>
      <c r="C155" s="249"/>
      <c r="D155" s="134"/>
      <c r="E155" s="251" t="e">
        <v>#N/A</v>
      </c>
      <c r="G155" s="134" t="e">
        <v>#N/A</v>
      </c>
      <c r="I155" s="251" t="e">
        <v>#N/A</v>
      </c>
      <c r="K155" s="251" t="e">
        <v>#N/A</v>
      </c>
      <c r="M155" s="193"/>
      <c r="N155" s="193"/>
      <c r="O155" s="192"/>
      <c r="P155" s="193"/>
      <c r="R155" s="318"/>
      <c r="T155" s="133">
        <v>2550</v>
      </c>
      <c r="U155" s="133">
        <v>1605</v>
      </c>
      <c r="AA155" s="178" t="s">
        <v>3330</v>
      </c>
      <c r="AB155" t="s">
        <v>4447</v>
      </c>
      <c r="AH155" s="185" t="s">
        <v>3019</v>
      </c>
      <c r="AI155" s="205" t="s">
        <v>3023</v>
      </c>
    </row>
    <row r="156" spans="1:35">
      <c r="A156" s="660"/>
      <c r="B156" s="185" t="str">
        <f t="shared" ref="B156:B157" si="20">IF($D$1=1,M156,
IF($D$1=2,N156,
IF($D$1=3,O156,
IF($D$1=4,P156,
IF($D$1=5,Q156,
IF($D$1=6,R156,0))))))</f>
        <v>Matelac RAL 9003</v>
      </c>
      <c r="C156" s="170">
        <f>IF($D$1=1,E156,IF(OR($D$1=2,$D$1=5),G156,IF($D$1=3,I156,IF($D$1=4,K156,IF($D$1=6,G156*1.3,0)))))</f>
        <v>3759.21</v>
      </c>
      <c r="D156" s="134"/>
      <c r="E156" s="251">
        <v>3759.21</v>
      </c>
      <c r="F156" s="251"/>
      <c r="G156" s="134">
        <v>130.64766467065868</v>
      </c>
      <c r="H156" s="249"/>
      <c r="I156" s="251">
        <v>594.59400000000005</v>
      </c>
      <c r="J156" s="251"/>
      <c r="K156" s="251">
        <v>53499.193548387106</v>
      </c>
      <c r="L156" s="251"/>
      <c r="M156" s="193" t="s">
        <v>40</v>
      </c>
      <c r="N156" s="193" t="s">
        <v>40</v>
      </c>
      <c r="O156" s="192" t="s">
        <v>3176</v>
      </c>
      <c r="P156" s="193" t="s">
        <v>3176</v>
      </c>
      <c r="Q156" s="133" t="s">
        <v>3176</v>
      </c>
      <c r="R156" s="318" t="s">
        <v>40</v>
      </c>
      <c r="T156" s="133">
        <v>2550</v>
      </c>
      <c r="U156" s="133">
        <v>1605</v>
      </c>
      <c r="AA156" s="178" t="s">
        <v>3364</v>
      </c>
      <c r="AB156" t="s">
        <v>4568</v>
      </c>
      <c r="AH156" s="206" t="s">
        <v>3015</v>
      </c>
      <c r="AI156" s="205" t="s">
        <v>3016</v>
      </c>
    </row>
    <row r="157" spans="1:35">
      <c r="A157" s="660"/>
      <c r="B157" s="185" t="str">
        <f t="shared" si="20"/>
        <v>Matelac RAL 9005</v>
      </c>
      <c r="C157" s="170">
        <f>IF($D$1=1,E157,IF(OR($D$1=2,$D$1=5),G157,IF($D$1=3,I157,IF($D$1=4,K157,IF($D$1=6,G157*1.3,0)))))</f>
        <v>3007.3679999999999</v>
      </c>
      <c r="D157" s="134"/>
      <c r="E157" s="251">
        <v>3007.3679999999999</v>
      </c>
      <c r="F157" s="251"/>
      <c r="G157" s="134">
        <v>104.51813173652697</v>
      </c>
      <c r="H157" s="249"/>
      <c r="I157" s="251">
        <v>475.67520000000002</v>
      </c>
      <c r="J157" s="251"/>
      <c r="K157" s="251">
        <v>42799.354838709682</v>
      </c>
      <c r="L157" s="251"/>
      <c r="M157" s="193" t="s">
        <v>41</v>
      </c>
      <c r="N157" s="193" t="s">
        <v>41</v>
      </c>
      <c r="O157" s="192" t="s">
        <v>3177</v>
      </c>
      <c r="P157" s="193" t="s">
        <v>3177</v>
      </c>
      <c r="Q157" s="133" t="s">
        <v>3177</v>
      </c>
      <c r="R157" s="318" t="s">
        <v>41</v>
      </c>
      <c r="T157" s="133">
        <v>2550</v>
      </c>
      <c r="U157" s="133">
        <v>1605</v>
      </c>
      <c r="AA157" s="178" t="s">
        <v>3331</v>
      </c>
      <c r="AB157" t="s">
        <v>4448</v>
      </c>
      <c r="AH157" s="206" t="s">
        <v>3014</v>
      </c>
      <c r="AI157" s="205" t="s">
        <v>2565</v>
      </c>
    </row>
    <row r="158" spans="1:35">
      <c r="A158" s="660"/>
      <c r="B158" s="182"/>
      <c r="C158" s="249"/>
      <c r="D158" s="134"/>
      <c r="E158" s="251" t="e">
        <v>#N/A</v>
      </c>
      <c r="G158" s="134" t="e">
        <v>#N/A</v>
      </c>
      <c r="I158" s="251" t="e">
        <v>#N/A</v>
      </c>
      <c r="K158" s="251" t="e">
        <v>#N/A</v>
      </c>
      <c r="M158" s="193"/>
      <c r="N158" s="193"/>
      <c r="O158" s="192"/>
      <c r="P158" s="193"/>
      <c r="R158" s="318"/>
      <c r="T158" s="133">
        <v>2550</v>
      </c>
      <c r="U158" s="133">
        <v>1605</v>
      </c>
      <c r="AA158" s="178" t="s">
        <v>3332</v>
      </c>
      <c r="AB158" t="s">
        <v>4449</v>
      </c>
      <c r="AH158" s="206" t="s">
        <v>3021</v>
      </c>
      <c r="AI158" s="205" t="s">
        <v>3022</v>
      </c>
    </row>
    <row r="159" spans="1:35">
      <c r="A159" s="660"/>
      <c r="B159" s="182"/>
      <c r="C159" s="249"/>
      <c r="D159" s="134"/>
      <c r="E159" s="251" t="e">
        <v>#N/A</v>
      </c>
      <c r="G159" s="134" t="e">
        <v>#N/A</v>
      </c>
      <c r="I159" s="251" t="e">
        <v>#N/A</v>
      </c>
      <c r="K159" s="251" t="e">
        <v>#N/A</v>
      </c>
      <c r="M159" s="193"/>
      <c r="N159" s="193"/>
      <c r="O159" s="192"/>
      <c r="P159" s="193"/>
      <c r="R159" s="318"/>
      <c r="T159" s="133">
        <v>2550</v>
      </c>
      <c r="U159" s="133">
        <v>1605</v>
      </c>
      <c r="AA159" s="178" t="s">
        <v>3333</v>
      </c>
      <c r="AB159" t="s">
        <v>4450</v>
      </c>
      <c r="AH159" s="206" t="s">
        <v>3020</v>
      </c>
      <c r="AI159" s="205" t="s">
        <v>3023</v>
      </c>
    </row>
    <row r="160" spans="1:35">
      <c r="A160" s="660"/>
      <c r="B160" s="182"/>
      <c r="C160" s="249"/>
      <c r="D160" s="134"/>
      <c r="E160" s="251" t="e">
        <v>#N/A</v>
      </c>
      <c r="G160" s="134" t="e">
        <v>#N/A</v>
      </c>
      <c r="I160" s="251" t="e">
        <v>#N/A</v>
      </c>
      <c r="K160" s="251" t="e">
        <v>#N/A</v>
      </c>
      <c r="M160" s="193"/>
      <c r="N160" s="193"/>
      <c r="O160" s="192"/>
      <c r="P160" s="193"/>
      <c r="R160" s="318"/>
      <c r="T160" s="133">
        <v>2550</v>
      </c>
      <c r="U160" s="133">
        <v>1605</v>
      </c>
      <c r="AA160" s="179" t="s">
        <v>3464</v>
      </c>
      <c r="AB160" t="s">
        <v>1603</v>
      </c>
      <c r="AH160" s="34" t="s">
        <v>3017</v>
      </c>
      <c r="AI160" s="205" t="s">
        <v>3016</v>
      </c>
    </row>
    <row r="161" spans="1:35">
      <c r="A161" s="660"/>
      <c r="B161" s="182"/>
      <c r="C161" s="249"/>
      <c r="D161" s="134"/>
      <c r="E161" s="251" t="e">
        <v>#N/A</v>
      </c>
      <c r="G161" s="134" t="e">
        <v>#N/A</v>
      </c>
      <c r="I161" s="251" t="e">
        <v>#N/A</v>
      </c>
      <c r="K161" s="251" t="e">
        <v>#N/A</v>
      </c>
      <c r="M161" s="193"/>
      <c r="N161" s="193"/>
      <c r="O161" s="192"/>
      <c r="P161" s="193"/>
      <c r="R161" s="318"/>
      <c r="T161" s="133">
        <v>2550</v>
      </c>
      <c r="U161" s="133">
        <v>1605</v>
      </c>
      <c r="AA161" s="178" t="s">
        <v>3334</v>
      </c>
      <c r="AB161" t="s">
        <v>4451</v>
      </c>
      <c r="AH161" s="34" t="s">
        <v>3025</v>
      </c>
      <c r="AI161" s="205" t="s">
        <v>2565</v>
      </c>
    </row>
    <row r="162" spans="1:35">
      <c r="A162" s="660"/>
      <c r="B162" s="185" t="str">
        <f t="shared" ref="B162:B169" si="21">IF($D$1=1,M162,
IF($D$1=2,N162,
IF($D$1=3,O162,
IF($D$1=4,P162,
IF($D$1=5,Q162,
IF($D$1=6,R162,0))))))</f>
        <v>Matelac zrcadlo bronz</v>
      </c>
      <c r="C162" s="170">
        <f t="shared" ref="C162:C169" si="22">IF($D$1=1,E162,IF(OR($D$1=2,$D$1=5),G162,IF($D$1=3,I162,IF($D$1=4,K162,IF($D$1=6,G162*1.3,0)))))</f>
        <v>3157.7363999999998</v>
      </c>
      <c r="D162" s="134"/>
      <c r="E162" s="251">
        <v>3157.7363999999998</v>
      </c>
      <c r="F162" s="251"/>
      <c r="G162" s="134">
        <v>109.74403832335331</v>
      </c>
      <c r="H162" s="249"/>
      <c r="I162" s="251">
        <v>499.45895999999993</v>
      </c>
      <c r="J162" s="251"/>
      <c r="K162" s="251">
        <v>44939.322580645159</v>
      </c>
      <c r="L162" s="251"/>
      <c r="M162" s="193" t="s">
        <v>46</v>
      </c>
      <c r="N162" s="193" t="s">
        <v>269</v>
      </c>
      <c r="O162" s="192" t="s">
        <v>267</v>
      </c>
      <c r="P162" s="193" t="s">
        <v>329</v>
      </c>
      <c r="Q162" s="133" t="s">
        <v>897</v>
      </c>
      <c r="R162" s="318" t="s">
        <v>3745</v>
      </c>
      <c r="T162" s="133">
        <v>2550</v>
      </c>
      <c r="U162" s="133">
        <v>1605</v>
      </c>
      <c r="AA162" s="178" t="s">
        <v>4436</v>
      </c>
      <c r="AB162" t="s">
        <v>4569</v>
      </c>
      <c r="AH162" s="34" t="s">
        <v>3026</v>
      </c>
      <c r="AI162" s="205" t="s">
        <v>3022</v>
      </c>
    </row>
    <row r="163" spans="1:35">
      <c r="A163" s="660"/>
      <c r="B163" s="185" t="str">
        <f t="shared" si="21"/>
        <v>Optiwhite</v>
      </c>
      <c r="C163" s="170">
        <f t="shared" si="22"/>
        <v>1388.0159999999998</v>
      </c>
      <c r="D163" s="134"/>
      <c r="E163" s="251">
        <v>1388.0159999999998</v>
      </c>
      <c r="F163" s="251"/>
      <c r="G163" s="134">
        <v>48.239137724550893</v>
      </c>
      <c r="H163" s="249"/>
      <c r="I163" s="251">
        <v>219.54239999999999</v>
      </c>
      <c r="J163" s="251"/>
      <c r="K163" s="251">
        <v>19753.548387096773</v>
      </c>
      <c r="L163" s="251"/>
      <c r="M163" s="194" t="s">
        <v>3555</v>
      </c>
      <c r="N163" s="194" t="s">
        <v>3555</v>
      </c>
      <c r="O163" s="194" t="s">
        <v>3555</v>
      </c>
      <c r="P163" s="194" t="s">
        <v>3555</v>
      </c>
      <c r="Q163" s="194" t="s">
        <v>3555</v>
      </c>
      <c r="R163" s="318" t="s">
        <v>3555</v>
      </c>
      <c r="T163" s="133">
        <v>2550</v>
      </c>
      <c r="U163" s="133">
        <v>1605</v>
      </c>
      <c r="AA163" s="178" t="s">
        <v>4429</v>
      </c>
      <c r="AB163" t="s">
        <v>4443</v>
      </c>
      <c r="AH163" s="34" t="s">
        <v>3024</v>
      </c>
      <c r="AI163" s="205" t="s">
        <v>3023</v>
      </c>
    </row>
    <row r="164" spans="1:35">
      <c r="A164" s="660"/>
      <c r="B164" s="185" t="str">
        <f t="shared" si="21"/>
        <v>Matelac zrcadlo grafit</v>
      </c>
      <c r="C164" s="170">
        <f t="shared" si="22"/>
        <v>3157.7363999999998</v>
      </c>
      <c r="D164" s="134"/>
      <c r="E164" s="251">
        <v>3157.7363999999998</v>
      </c>
      <c r="F164" s="251"/>
      <c r="G164" s="134">
        <v>109.74403832335331</v>
      </c>
      <c r="H164" s="249"/>
      <c r="I164" s="251">
        <v>499.45895999999993</v>
      </c>
      <c r="J164" s="251"/>
      <c r="K164" s="251">
        <v>44939.322580645159</v>
      </c>
      <c r="L164" s="251"/>
      <c r="M164" s="193" t="s">
        <v>48</v>
      </c>
      <c r="N164" s="193" t="s">
        <v>270</v>
      </c>
      <c r="O164" s="192" t="s">
        <v>268</v>
      </c>
      <c r="P164" s="193" t="s">
        <v>330</v>
      </c>
      <c r="Q164" s="133" t="s">
        <v>898</v>
      </c>
      <c r="R164" s="318" t="s">
        <v>3746</v>
      </c>
      <c r="T164" s="133">
        <v>2550</v>
      </c>
      <c r="U164" s="133">
        <v>1605</v>
      </c>
      <c r="AA164" s="178" t="s">
        <v>3368</v>
      </c>
      <c r="AB164" t="s">
        <v>555</v>
      </c>
      <c r="AH164" s="205" t="s">
        <v>3030</v>
      </c>
      <c r="AI164" s="205" t="s">
        <v>3016</v>
      </c>
    </row>
    <row r="165" spans="1:35">
      <c r="A165" s="660"/>
      <c r="B165" s="185" t="str">
        <f t="shared" si="21"/>
        <v>Matelac zrcadlo stříbr.</v>
      </c>
      <c r="C165" s="170">
        <f t="shared" si="22"/>
        <v>3759.21</v>
      </c>
      <c r="D165" s="134"/>
      <c r="E165" s="251">
        <v>3759.21</v>
      </c>
      <c r="F165" s="251"/>
      <c r="G165" s="134">
        <v>130.64766467065868</v>
      </c>
      <c r="H165" s="249"/>
      <c r="I165" s="251">
        <v>594.59400000000005</v>
      </c>
      <c r="J165" s="251"/>
      <c r="K165" s="251">
        <v>53499.193548387106</v>
      </c>
      <c r="L165" s="251"/>
      <c r="M165" s="193" t="s">
        <v>47</v>
      </c>
      <c r="N165" s="193" t="s">
        <v>870</v>
      </c>
      <c r="O165" s="192" t="s">
        <v>871</v>
      </c>
      <c r="P165" s="193" t="s">
        <v>872</v>
      </c>
      <c r="Q165" s="133" t="s">
        <v>3610</v>
      </c>
      <c r="R165" s="318" t="s">
        <v>3747</v>
      </c>
      <c r="T165" s="133">
        <v>2550</v>
      </c>
      <c r="U165" s="133">
        <v>1605</v>
      </c>
      <c r="AA165" s="178" t="s">
        <v>3372</v>
      </c>
      <c r="AB165" t="s">
        <v>4570</v>
      </c>
      <c r="AH165" s="205" t="s">
        <v>3027</v>
      </c>
      <c r="AI165" s="205" t="s">
        <v>2565</v>
      </c>
    </row>
    <row r="166" spans="1:35">
      <c r="A166" s="221"/>
      <c r="B166" s="185" t="str">
        <f t="shared" si="21"/>
        <v>síťka alu zlatá - rozměr oka 10x6x1 mm</v>
      </c>
      <c r="C166" s="170">
        <f t="shared" si="22"/>
        <v>12524.803200000002</v>
      </c>
      <c r="D166" s="134"/>
      <c r="E166" s="264">
        <v>12524.803200000002</v>
      </c>
      <c r="F166" s="264"/>
      <c r="G166" s="265">
        <v>433.20431654676258</v>
      </c>
      <c r="H166" s="265"/>
      <c r="I166" s="264">
        <v>1959.5520000000001</v>
      </c>
      <c r="J166" s="264"/>
      <c r="K166" s="264">
        <v>177867.02769230737</v>
      </c>
      <c r="L166" s="264"/>
      <c r="M166" s="185" t="s">
        <v>3013</v>
      </c>
      <c r="N166" s="206" t="s">
        <v>3015</v>
      </c>
      <c r="O166" s="205" t="s">
        <v>3016</v>
      </c>
      <c r="P166" s="34" t="s">
        <v>3017</v>
      </c>
      <c r="Q166" s="205" t="s">
        <v>3030</v>
      </c>
      <c r="R166" s="318" t="s">
        <v>3748</v>
      </c>
      <c r="T166" s="133">
        <v>1000</v>
      </c>
      <c r="U166" s="133">
        <v>500</v>
      </c>
      <c r="AA166" s="178" t="s">
        <v>3376</v>
      </c>
      <c r="AB166" t="s">
        <v>4571</v>
      </c>
      <c r="AH166" s="205" t="s">
        <v>3028</v>
      </c>
      <c r="AI166" s="205" t="s">
        <v>3022</v>
      </c>
    </row>
    <row r="167" spans="1:35">
      <c r="A167" s="221"/>
      <c r="B167" s="185" t="str">
        <f t="shared" si="21"/>
        <v>síťka ocel černá mat RAL 9005 – rozměr oka 8x4x1 mm</v>
      </c>
      <c r="C167" s="170">
        <f t="shared" si="22"/>
        <v>5032.2870000000003</v>
      </c>
      <c r="D167" s="134"/>
      <c r="E167" s="264">
        <v>5032.2870000000003</v>
      </c>
      <c r="F167" s="264"/>
      <c r="G167" s="265">
        <v>174.05530575539584</v>
      </c>
      <c r="H167" s="265"/>
      <c r="I167" s="264">
        <v>787.32</v>
      </c>
      <c r="J167" s="264"/>
      <c r="K167" s="264">
        <v>71464.430769230748</v>
      </c>
      <c r="L167" s="264"/>
      <c r="M167" s="185" t="s">
        <v>2566</v>
      </c>
      <c r="N167" s="206" t="s">
        <v>3014</v>
      </c>
      <c r="O167" s="205" t="s">
        <v>2565</v>
      </c>
      <c r="P167" s="34" t="s">
        <v>3025</v>
      </c>
      <c r="Q167" s="205" t="s">
        <v>3027</v>
      </c>
      <c r="R167" s="318" t="s">
        <v>3749</v>
      </c>
      <c r="T167" s="133">
        <v>1000</v>
      </c>
      <c r="U167" s="133">
        <v>500</v>
      </c>
      <c r="AA167" s="178" t="s">
        <v>3335</v>
      </c>
      <c r="AB167" t="s">
        <v>4572</v>
      </c>
      <c r="AH167" s="205" t="s">
        <v>3029</v>
      </c>
      <c r="AI167" s="205" t="s">
        <v>3023</v>
      </c>
    </row>
    <row r="168" spans="1:35">
      <c r="A168" s="221"/>
      <c r="B168" s="185" t="str">
        <f t="shared" si="21"/>
        <v>síťka ocel bílá - rozměr oka 8x4x1 mm</v>
      </c>
      <c r="C168" s="170">
        <f t="shared" si="22"/>
        <v>5032.2870000000003</v>
      </c>
      <c r="D168" s="134"/>
      <c r="E168" s="264">
        <v>5032.2870000000003</v>
      </c>
      <c r="F168" s="264"/>
      <c r="G168" s="265">
        <v>174.05530575539584</v>
      </c>
      <c r="H168" s="265"/>
      <c r="I168" s="264">
        <v>787.32</v>
      </c>
      <c r="J168" s="264"/>
      <c r="K168" s="264">
        <v>71464.430769230748</v>
      </c>
      <c r="L168" s="264"/>
      <c r="M168" s="185" t="s">
        <v>3018</v>
      </c>
      <c r="N168" s="206" t="s">
        <v>3021</v>
      </c>
      <c r="O168" s="205" t="s">
        <v>3022</v>
      </c>
      <c r="P168" s="34" t="s">
        <v>3026</v>
      </c>
      <c r="Q168" s="205" t="s">
        <v>3028</v>
      </c>
      <c r="R168" s="318" t="s">
        <v>3750</v>
      </c>
      <c r="T168" s="133">
        <v>1000</v>
      </c>
      <c r="U168" s="133">
        <v>500</v>
      </c>
      <c r="AA168" s="178" t="s">
        <v>3336</v>
      </c>
      <c r="AB168" t="s">
        <v>4573</v>
      </c>
      <c r="AH168"/>
      <c r="AI168"/>
    </row>
    <row r="169" spans="1:35">
      <c r="B169" s="185" t="str">
        <f t="shared" si="21"/>
        <v>síťka elox - rozměr oka 10x6x1 mm</v>
      </c>
      <c r="C169" s="170">
        <f t="shared" si="22"/>
        <v>12524.803200000002</v>
      </c>
      <c r="D169" s="134"/>
      <c r="E169" s="264">
        <v>12524.803200000002</v>
      </c>
      <c r="F169" s="264"/>
      <c r="G169" s="265">
        <v>433.20431654676258</v>
      </c>
      <c r="H169" s="265"/>
      <c r="I169" s="264">
        <v>1959.5520000000001</v>
      </c>
      <c r="J169" s="264"/>
      <c r="K169" s="264">
        <v>177867.02769230737</v>
      </c>
      <c r="L169" s="264"/>
      <c r="M169" s="185" t="s">
        <v>3019</v>
      </c>
      <c r="N169" s="206" t="s">
        <v>3020</v>
      </c>
      <c r="O169" s="205" t="s">
        <v>3023</v>
      </c>
      <c r="P169" s="34" t="s">
        <v>3024</v>
      </c>
      <c r="Q169" s="205" t="s">
        <v>3029</v>
      </c>
      <c r="R169" s="318" t="s">
        <v>3751</v>
      </c>
      <c r="T169" s="133">
        <v>1000</v>
      </c>
      <c r="U169" s="133">
        <v>500</v>
      </c>
      <c r="AA169" s="178" t="s">
        <v>3337</v>
      </c>
      <c r="AB169" t="s">
        <v>4574</v>
      </c>
      <c r="AH169"/>
      <c r="AI169"/>
    </row>
    <row r="170" spans="1:35">
      <c r="B170" s="182"/>
      <c r="G170" s="664"/>
      <c r="H170" s="664"/>
      <c r="I170" s="664"/>
      <c r="J170" s="664"/>
      <c r="K170" s="664"/>
      <c r="L170" s="664"/>
      <c r="AA170" s="178" t="s">
        <v>3338</v>
      </c>
      <c r="AB170" t="s">
        <v>4575</v>
      </c>
      <c r="AH170"/>
      <c r="AI170"/>
    </row>
    <row r="171" spans="1:35">
      <c r="B171" s="182" t="str">
        <f>IF($D$1=1,M171,IF($D$1=2,N171,IF($D$1=3,O171,IF($D$1=4,P171,IF($D$1=5,Q171,IF($D$1=6,R171,0))))))</f>
        <v>Rámeček</v>
      </c>
      <c r="H171" s="133" t="s">
        <v>375</v>
      </c>
      <c r="M171" s="175" t="s">
        <v>899</v>
      </c>
      <c r="N171" s="133" t="s">
        <v>900</v>
      </c>
      <c r="O171" s="133" t="s">
        <v>930</v>
      </c>
      <c r="P171" s="133" t="s">
        <v>1113</v>
      </c>
      <c r="Q171" s="133" t="s">
        <v>929</v>
      </c>
      <c r="R171" s="318" t="s">
        <v>3752</v>
      </c>
      <c r="AA171" s="179" t="s">
        <v>3380</v>
      </c>
      <c r="AB171" t="s">
        <v>4576</v>
      </c>
      <c r="AH171"/>
      <c r="AI171"/>
    </row>
    <row r="172" spans="1:35">
      <c r="B172" s="182" t="str">
        <f t="shared" ref="B172:B235" si="23">IF($D$1=1,M172,IF($D$1=2,N172,IF($D$1=3,O172,IF($D$1=4,P172,IF($D$1=5,Q172,IF($D$1=6,R172,0))))))</f>
        <v xml:space="preserve">Standardní vrtání otvoru pro misku závěsu je 3 mm od hrany. </v>
      </c>
      <c r="G172" s="133" t="s">
        <v>375</v>
      </c>
      <c r="J172" s="133" t="s">
        <v>375</v>
      </c>
      <c r="M172" s="175" t="s">
        <v>434</v>
      </c>
      <c r="N172" s="133" t="s">
        <v>469</v>
      </c>
      <c r="O172" s="133" t="s">
        <v>875</v>
      </c>
      <c r="P172" s="133" t="s">
        <v>1237</v>
      </c>
      <c r="Q172" s="133" t="s">
        <v>1439</v>
      </c>
      <c r="R172" s="318" t="s">
        <v>3753</v>
      </c>
      <c r="AA172" s="178" t="s">
        <v>3339</v>
      </c>
      <c r="AB172" t="s">
        <v>4577</v>
      </c>
      <c r="AH172"/>
      <c r="AI172"/>
    </row>
    <row r="173" spans="1:35">
      <c r="B173" s="182" t="str">
        <f t="shared" si="23"/>
        <v>Uvedené ceny jsou bez DPH a nezahrnují cenu požadovaného kování!</v>
      </c>
      <c r="M173" s="175" t="s">
        <v>413</v>
      </c>
      <c r="N173" s="133" t="s">
        <v>470</v>
      </c>
      <c r="O173" s="133" t="s">
        <v>876</v>
      </c>
      <c r="P173" s="133" t="s">
        <v>1238</v>
      </c>
      <c r="Q173" s="133" t="s">
        <v>1440</v>
      </c>
      <c r="R173" s="318" t="s">
        <v>3754</v>
      </c>
      <c r="AA173" s="178" t="s">
        <v>4452</v>
      </c>
      <c r="AB173" t="s">
        <v>4444</v>
      </c>
      <c r="AH173"/>
      <c r="AI173"/>
    </row>
    <row r="174" spans="1:35">
      <c r="B174" s="182" t="str">
        <f t="shared" si="23"/>
        <v>Typ profilu</v>
      </c>
      <c r="M174" s="175" t="s">
        <v>149</v>
      </c>
      <c r="N174" s="133" t="s">
        <v>149</v>
      </c>
      <c r="O174" s="133" t="s">
        <v>333</v>
      </c>
      <c r="P174" s="133" t="s">
        <v>345</v>
      </c>
      <c r="Q174" s="133" t="s">
        <v>1441</v>
      </c>
      <c r="R174" s="318" t="s">
        <v>3755</v>
      </c>
      <c r="AA174" s="178" t="s">
        <v>3340</v>
      </c>
      <c r="AB174" t="s">
        <v>4578</v>
      </c>
      <c r="AH174"/>
      <c r="AI174"/>
    </row>
    <row r="175" spans="1:35">
      <c r="B175" s="182" t="str">
        <f t="shared" si="23"/>
        <v>Typ úpravy skla</v>
      </c>
      <c r="M175" s="175" t="s">
        <v>2077</v>
      </c>
      <c r="N175" s="133" t="s">
        <v>2078</v>
      </c>
      <c r="O175" s="133" t="s">
        <v>12</v>
      </c>
      <c r="P175" s="133" t="s">
        <v>275</v>
      </c>
      <c r="Q175" s="133" t="s">
        <v>1347</v>
      </c>
      <c r="R175" s="318" t="s">
        <v>3756</v>
      </c>
      <c r="AA175" s="178" t="s">
        <v>3341</v>
      </c>
      <c r="AB175" t="s">
        <v>4579</v>
      </c>
      <c r="AH175"/>
      <c r="AI175"/>
    </row>
    <row r="176" spans="1:35">
      <c r="B176" s="182" t="str">
        <f t="shared" si="23"/>
        <v>Počet kusů</v>
      </c>
      <c r="M176" s="175" t="s">
        <v>4</v>
      </c>
      <c r="N176" s="133" t="s">
        <v>153</v>
      </c>
      <c r="O176" s="133" t="s">
        <v>13</v>
      </c>
      <c r="P176" s="133" t="s">
        <v>1239</v>
      </c>
      <c r="Q176" s="133" t="s">
        <v>901</v>
      </c>
      <c r="R176" s="318" t="s">
        <v>3757</v>
      </c>
      <c r="AA176" s="178" t="s">
        <v>3342</v>
      </c>
      <c r="AB176" t="s">
        <v>4580</v>
      </c>
      <c r="AH176"/>
      <c r="AI176"/>
    </row>
    <row r="177" spans="2:35">
      <c r="B177" s="182" t="str">
        <f t="shared" si="23"/>
        <v xml:space="preserve">Šířka </v>
      </c>
      <c r="M177" s="175" t="s">
        <v>3</v>
      </c>
      <c r="N177" s="133" t="s">
        <v>154</v>
      </c>
      <c r="O177" s="133" t="s">
        <v>9</v>
      </c>
      <c r="P177" s="133" t="s">
        <v>276</v>
      </c>
      <c r="Q177" s="133" t="s">
        <v>902</v>
      </c>
      <c r="R177" s="318" t="s">
        <v>3758</v>
      </c>
      <c r="AA177" s="178" t="s">
        <v>3384</v>
      </c>
      <c r="AB177" t="s">
        <v>4581</v>
      </c>
      <c r="AH177"/>
      <c r="AI177"/>
    </row>
    <row r="178" spans="2:35">
      <c r="B178" s="182" t="str">
        <f t="shared" si="23"/>
        <v>Výška</v>
      </c>
      <c r="M178" s="175" t="s">
        <v>14</v>
      </c>
      <c r="N178" s="133" t="s">
        <v>14</v>
      </c>
      <c r="O178" s="133" t="s">
        <v>10</v>
      </c>
      <c r="P178" s="133" t="s">
        <v>277</v>
      </c>
      <c r="Q178" s="133" t="s">
        <v>903</v>
      </c>
      <c r="R178" s="318" t="s">
        <v>3759</v>
      </c>
      <c r="AA178" s="179" t="s">
        <v>3388</v>
      </c>
      <c r="AB178" t="s">
        <v>4582</v>
      </c>
      <c r="AH178"/>
      <c r="AI178"/>
    </row>
    <row r="179" spans="2:35">
      <c r="B179" s="182" t="str">
        <f t="shared" si="23"/>
        <v>Poznámky</v>
      </c>
      <c r="M179" s="175" t="s">
        <v>331</v>
      </c>
      <c r="N179" s="133" t="s">
        <v>331</v>
      </c>
      <c r="O179" s="133" t="s">
        <v>210</v>
      </c>
      <c r="P179" s="133" t="s">
        <v>332</v>
      </c>
      <c r="Q179" s="133" t="s">
        <v>1407</v>
      </c>
      <c r="R179" s="318" t="s">
        <v>3760</v>
      </c>
      <c r="AA179" s="178" t="s">
        <v>3343</v>
      </c>
      <c r="AB179" t="s">
        <v>4583</v>
      </c>
      <c r="AH179"/>
      <c r="AI179"/>
    </row>
    <row r="180" spans="2:35">
      <c r="B180" s="182" t="str">
        <f t="shared" si="23"/>
        <v>Cena rámečků celkem</v>
      </c>
      <c r="J180" s="133" t="s">
        <v>375</v>
      </c>
      <c r="M180" s="175" t="s">
        <v>16</v>
      </c>
      <c r="N180" s="133" t="s">
        <v>155</v>
      </c>
      <c r="O180" s="133" t="s">
        <v>211</v>
      </c>
      <c r="P180" s="133" t="s">
        <v>278</v>
      </c>
      <c r="Q180" s="133" t="s">
        <v>904</v>
      </c>
      <c r="R180" s="318" t="s">
        <v>3761</v>
      </c>
      <c r="AA180" s="178" t="s">
        <v>3344</v>
      </c>
      <c r="AB180" t="s">
        <v>4584</v>
      </c>
      <c r="AH180"/>
      <c r="AI180"/>
    </row>
    <row r="181" spans="2:35">
      <c r="B181" s="182" t="str">
        <f t="shared" si="23"/>
        <v>Cena kování celkem</v>
      </c>
      <c r="M181" s="133" t="s">
        <v>17</v>
      </c>
      <c r="N181" s="133" t="s">
        <v>156</v>
      </c>
      <c r="O181" s="133" t="s">
        <v>212</v>
      </c>
      <c r="P181" s="133" t="s">
        <v>279</v>
      </c>
      <c r="Q181" s="133" t="s">
        <v>1442</v>
      </c>
      <c r="R181" s="318" t="s">
        <v>3762</v>
      </c>
      <c r="AA181" s="178" t="s">
        <v>3345</v>
      </c>
      <c r="AB181" t="s">
        <v>4585</v>
      </c>
      <c r="AH181"/>
      <c r="AI181"/>
    </row>
    <row r="182" spans="2:35">
      <c r="B182" s="182" t="str">
        <f t="shared" si="23"/>
        <v>Cena za kompletní objednávku</v>
      </c>
      <c r="M182" s="133" t="s">
        <v>49</v>
      </c>
      <c r="N182" s="133" t="s">
        <v>157</v>
      </c>
      <c r="O182" s="133" t="s">
        <v>213</v>
      </c>
      <c r="P182" s="133" t="s">
        <v>280</v>
      </c>
      <c r="Q182" s="133" t="s">
        <v>1443</v>
      </c>
      <c r="R182" s="318" t="s">
        <v>3763</v>
      </c>
      <c r="AA182" s="178" t="s">
        <v>3346</v>
      </c>
      <c r="AB182" t="s">
        <v>4586</v>
      </c>
      <c r="AH182"/>
      <c r="AI182"/>
    </row>
    <row r="183" spans="2:35">
      <c r="B183" s="182" t="str">
        <f t="shared" si="23"/>
        <v>Závěsy</v>
      </c>
      <c r="M183" s="175" t="s">
        <v>399</v>
      </c>
      <c r="N183" s="133" t="s">
        <v>400</v>
      </c>
      <c r="O183" s="133" t="s">
        <v>401</v>
      </c>
      <c r="P183" s="133" t="s">
        <v>402</v>
      </c>
      <c r="Q183" s="133" t="s">
        <v>1444</v>
      </c>
      <c r="R183" s="318" t="s">
        <v>3764</v>
      </c>
      <c r="AA183" s="178" t="s">
        <v>3347</v>
      </c>
      <c r="AB183" t="s">
        <v>4587</v>
      </c>
      <c r="AH183"/>
      <c r="AI183"/>
    </row>
    <row r="184" spans="2:35">
      <c r="B184" s="182" t="str">
        <f t="shared" si="23"/>
        <v>Aventos ostatní</v>
      </c>
      <c r="M184" s="175" t="s">
        <v>403</v>
      </c>
      <c r="N184" s="133" t="s">
        <v>404</v>
      </c>
      <c r="O184" s="133" t="s">
        <v>405</v>
      </c>
      <c r="P184" s="133" t="s">
        <v>1240</v>
      </c>
      <c r="Q184" s="133" t="s">
        <v>1445</v>
      </c>
      <c r="R184" s="318" t="s">
        <v>3765</v>
      </c>
      <c r="AA184" s="178" t="s">
        <v>3348</v>
      </c>
      <c r="AB184" t="s">
        <v>4588</v>
      </c>
      <c r="AH184"/>
      <c r="AI184"/>
    </row>
    <row r="185" spans="2:35">
      <c r="B185" s="182" t="str">
        <f t="shared" si="23"/>
        <v>STRONG s tlumením</v>
      </c>
      <c r="M185" s="175" t="s">
        <v>639</v>
      </c>
      <c r="N185" s="133" t="s">
        <v>845</v>
      </c>
      <c r="O185" s="133" t="s">
        <v>846</v>
      </c>
      <c r="P185" s="133" t="s">
        <v>847</v>
      </c>
      <c r="Q185" s="133" t="s">
        <v>1446</v>
      </c>
      <c r="R185" s="318" t="s">
        <v>3766</v>
      </c>
      <c r="AA185" s="178" t="s">
        <v>3349</v>
      </c>
      <c r="AB185" t="s">
        <v>4589</v>
      </c>
      <c r="AH185"/>
      <c r="AI185"/>
    </row>
    <row r="186" spans="2:35">
      <c r="B186" s="182" t="str">
        <f t="shared" si="23"/>
        <v>Závěsy se zvedacím pístem</v>
      </c>
      <c r="M186" s="175" t="s">
        <v>406</v>
      </c>
      <c r="N186" s="133" t="s">
        <v>407</v>
      </c>
      <c r="O186" s="133" t="s">
        <v>1300</v>
      </c>
      <c r="P186" s="133" t="s">
        <v>1241</v>
      </c>
      <c r="Q186" s="133" t="s">
        <v>1447</v>
      </c>
      <c r="R186" s="318" t="s">
        <v>3767</v>
      </c>
      <c r="AA186" s="178" t="s">
        <v>3350</v>
      </c>
      <c r="AB186" t="s">
        <v>4590</v>
      </c>
      <c r="AH186"/>
      <c r="AI186"/>
    </row>
    <row r="187" spans="2:35">
      <c r="B187" s="182" t="str">
        <f t="shared" si="23"/>
        <v>horní dvířko</v>
      </c>
      <c r="M187" s="175" t="s">
        <v>3009</v>
      </c>
      <c r="N187" s="133" t="s">
        <v>158</v>
      </c>
      <c r="O187" s="133" t="s">
        <v>214</v>
      </c>
      <c r="P187" s="133" t="s">
        <v>408</v>
      </c>
      <c r="Q187" s="133" t="s">
        <v>1348</v>
      </c>
      <c r="R187" s="318" t="s">
        <v>3768</v>
      </c>
      <c r="AA187" s="178" t="s">
        <v>4559</v>
      </c>
      <c r="AB187" t="s">
        <v>4591</v>
      </c>
      <c r="AH187"/>
      <c r="AI187"/>
    </row>
    <row r="188" spans="2:35">
      <c r="B188" s="182" t="str">
        <f t="shared" si="23"/>
        <v>spodní dvířko</v>
      </c>
      <c r="M188" s="175" t="s">
        <v>3010</v>
      </c>
      <c r="N188" s="133" t="s">
        <v>159</v>
      </c>
      <c r="O188" s="133" t="s">
        <v>215</v>
      </c>
      <c r="P188" s="133" t="s">
        <v>281</v>
      </c>
      <c r="Q188" s="133" t="s">
        <v>1349</v>
      </c>
      <c r="R188" s="318" t="s">
        <v>3769</v>
      </c>
      <c r="AA188" s="178" t="s">
        <v>4453</v>
      </c>
      <c r="AB188" t="s">
        <v>4433</v>
      </c>
      <c r="AH188"/>
      <c r="AI188"/>
    </row>
    <row r="189" spans="2:35">
      <c r="B189" s="182" t="str">
        <f t="shared" si="23"/>
        <v>Naložený clip</v>
      </c>
      <c r="M189" s="154" t="s">
        <v>64</v>
      </c>
      <c r="N189" s="133" t="s">
        <v>64</v>
      </c>
      <c r="O189" s="133" t="s">
        <v>216</v>
      </c>
      <c r="P189" s="133" t="s">
        <v>282</v>
      </c>
      <c r="Q189" s="133" t="s">
        <v>1448</v>
      </c>
      <c r="R189" s="318" t="s">
        <v>3770</v>
      </c>
      <c r="AA189" s="178" t="s">
        <v>3351</v>
      </c>
      <c r="AB189" t="s">
        <v>4592</v>
      </c>
      <c r="AH189"/>
      <c r="AI189"/>
    </row>
    <row r="190" spans="2:35">
      <c r="B190" s="182" t="str">
        <f t="shared" si="23"/>
        <v>Polonaložený clip</v>
      </c>
      <c r="M190" s="154" t="s">
        <v>65</v>
      </c>
      <c r="N190" s="133" t="s">
        <v>65</v>
      </c>
      <c r="O190" s="133" t="s">
        <v>217</v>
      </c>
      <c r="P190" s="133" t="s">
        <v>1242</v>
      </c>
      <c r="Q190" s="133" t="s">
        <v>1449</v>
      </c>
      <c r="R190" s="318" t="s">
        <v>3771</v>
      </c>
      <c r="AA190" s="178" t="s">
        <v>3352</v>
      </c>
      <c r="AB190" t="s">
        <v>556</v>
      </c>
      <c r="AH190"/>
      <c r="AI190"/>
    </row>
    <row r="191" spans="2:35">
      <c r="B191" s="182" t="str">
        <f t="shared" si="23"/>
        <v>Vložený clip</v>
      </c>
      <c r="M191" s="154" t="s">
        <v>66</v>
      </c>
      <c r="N191" s="133" t="s">
        <v>66</v>
      </c>
      <c r="O191" s="133" t="s">
        <v>218</v>
      </c>
      <c r="P191" s="133" t="s">
        <v>1243</v>
      </c>
      <c r="Q191" s="133" t="s">
        <v>1450</v>
      </c>
      <c r="R191" s="318" t="s">
        <v>3772</v>
      </c>
      <c r="AA191" s="178" t="s">
        <v>3353</v>
      </c>
      <c r="AB191" t="s">
        <v>4593</v>
      </c>
      <c r="AH191"/>
      <c r="AI191"/>
    </row>
    <row r="192" spans="2:35">
      <c r="B192" s="182" t="str">
        <f t="shared" si="23"/>
        <v>Úhel 45°</v>
      </c>
      <c r="M192" s="154" t="s">
        <v>67</v>
      </c>
      <c r="N192" s="133" t="s">
        <v>160</v>
      </c>
      <c r="O192" s="133" t="s">
        <v>219</v>
      </c>
      <c r="P192" s="133" t="s">
        <v>283</v>
      </c>
      <c r="Q192" s="133" t="s">
        <v>1350</v>
      </c>
      <c r="R192" s="318" t="s">
        <v>3773</v>
      </c>
      <c r="AA192" s="202" t="s">
        <v>3354</v>
      </c>
      <c r="AB192" t="s">
        <v>4594</v>
      </c>
      <c r="AH192"/>
      <c r="AI192"/>
    </row>
    <row r="193" spans="2:35">
      <c r="B193" s="182" t="str">
        <f t="shared" si="23"/>
        <v>Naložený</v>
      </c>
      <c r="M193" s="133" t="s">
        <v>68</v>
      </c>
      <c r="N193" s="133" t="s">
        <v>161</v>
      </c>
      <c r="O193" s="133" t="s">
        <v>220</v>
      </c>
      <c r="P193" s="133" t="s">
        <v>284</v>
      </c>
      <c r="Q193" s="133" t="s">
        <v>1595</v>
      </c>
      <c r="R193" s="318" t="s">
        <v>3774</v>
      </c>
      <c r="AA193" s="178" t="s">
        <v>4455</v>
      </c>
      <c r="AB193" t="s">
        <v>4445</v>
      </c>
      <c r="AH193"/>
      <c r="AI193"/>
    </row>
    <row r="194" spans="2:35">
      <c r="B194" s="182" t="str">
        <f t="shared" si="23"/>
        <v>Polonaložený</v>
      </c>
      <c r="M194" s="133" t="s">
        <v>69</v>
      </c>
      <c r="N194" s="133" t="s">
        <v>162</v>
      </c>
      <c r="O194" s="133" t="s">
        <v>221</v>
      </c>
      <c r="P194" s="133" t="s">
        <v>1244</v>
      </c>
      <c r="Q194" s="133" t="s">
        <v>1452</v>
      </c>
      <c r="R194" s="318" t="s">
        <v>3775</v>
      </c>
      <c r="AA194" s="178" t="s">
        <v>3355</v>
      </c>
      <c r="AB194" t="s">
        <v>4595</v>
      </c>
      <c r="AH194"/>
      <c r="AI194"/>
    </row>
    <row r="195" spans="2:35">
      <c r="B195" s="182" t="str">
        <f t="shared" si="23"/>
        <v>Vložený</v>
      </c>
      <c r="M195" s="133" t="s">
        <v>70</v>
      </c>
      <c r="N195" s="133" t="s">
        <v>163</v>
      </c>
      <c r="O195" s="133" t="s">
        <v>222</v>
      </c>
      <c r="P195" s="133" t="s">
        <v>1245</v>
      </c>
      <c r="Q195" s="133" t="s">
        <v>905</v>
      </c>
      <c r="R195" s="318" t="s">
        <v>3776</v>
      </c>
      <c r="AA195" s="178" t="s">
        <v>3356</v>
      </c>
      <c r="AB195" t="s">
        <v>4596</v>
      </c>
      <c r="AH195"/>
      <c r="AI195"/>
    </row>
    <row r="196" spans="2:35">
      <c r="B196" s="182" t="str">
        <f t="shared" si="23"/>
        <v>Úhel 45°</v>
      </c>
      <c r="M196" s="133" t="s">
        <v>67</v>
      </c>
      <c r="N196" s="133" t="s">
        <v>160</v>
      </c>
      <c r="O196" s="133" t="s">
        <v>219</v>
      </c>
      <c r="P196" s="133" t="s">
        <v>283</v>
      </c>
      <c r="Q196" s="133" t="s">
        <v>1350</v>
      </c>
      <c r="R196" s="318" t="s">
        <v>3773</v>
      </c>
      <c r="AA196" s="202" t="s">
        <v>4564</v>
      </c>
      <c r="AB196" t="s">
        <v>4597</v>
      </c>
      <c r="AH196"/>
      <c r="AI196"/>
    </row>
    <row r="197" spans="2:35">
      <c r="B197" s="182" t="str">
        <f t="shared" si="23"/>
        <v>Naložený s opačnou pružinou</v>
      </c>
      <c r="M197" s="133" t="s">
        <v>71</v>
      </c>
      <c r="N197" s="133" t="s">
        <v>71</v>
      </c>
      <c r="O197" s="133" t="s">
        <v>223</v>
      </c>
      <c r="P197" s="133" t="s">
        <v>287</v>
      </c>
      <c r="Q197" s="133" t="s">
        <v>1453</v>
      </c>
      <c r="R197" s="318" t="s">
        <v>3777</v>
      </c>
      <c r="AA197" s="202" t="s">
        <v>3393</v>
      </c>
      <c r="AB197" t="s">
        <v>4598</v>
      </c>
      <c r="AH197"/>
      <c r="AI197"/>
    </row>
    <row r="198" spans="2:35">
      <c r="B198" s="182" t="str">
        <f t="shared" si="23"/>
        <v>Vložený s opačnou pružinou</v>
      </c>
      <c r="M198" s="133" t="s">
        <v>72</v>
      </c>
      <c r="N198" s="133" t="s">
        <v>72</v>
      </c>
      <c r="O198" s="133" t="s">
        <v>224</v>
      </c>
      <c r="P198" s="133" t="s">
        <v>1246</v>
      </c>
      <c r="Q198" s="133" t="s">
        <v>1454</v>
      </c>
      <c r="R198" s="318" t="s">
        <v>3778</v>
      </c>
      <c r="AA198" s="178" t="s">
        <v>3357</v>
      </c>
      <c r="AB198" t="s">
        <v>4599</v>
      </c>
      <c r="AH198"/>
      <c r="AI198"/>
    </row>
    <row r="199" spans="2:35">
      <c r="B199" s="182" t="str">
        <f t="shared" si="23"/>
        <v>Clip na vrut H2</v>
      </c>
      <c r="M199" s="175" t="s">
        <v>87</v>
      </c>
      <c r="N199" s="133" t="s">
        <v>164</v>
      </c>
      <c r="O199" s="133" t="s">
        <v>225</v>
      </c>
      <c r="P199" s="133" t="s">
        <v>288</v>
      </c>
      <c r="Q199" s="133" t="s">
        <v>1455</v>
      </c>
      <c r="R199" s="318" t="s">
        <v>3779</v>
      </c>
      <c r="AA199" s="178" t="s">
        <v>3358</v>
      </c>
      <c r="AB199" t="s">
        <v>4600</v>
      </c>
      <c r="AH199"/>
      <c r="AI199"/>
    </row>
    <row r="200" spans="2:35">
      <c r="B200" s="182" t="str">
        <f t="shared" si="23"/>
        <v>Clip na vrut H4</v>
      </c>
      <c r="M200" s="175" t="s">
        <v>88</v>
      </c>
      <c r="N200" s="133" t="s">
        <v>165</v>
      </c>
      <c r="O200" s="133" t="s">
        <v>226</v>
      </c>
      <c r="P200" s="133" t="s">
        <v>289</v>
      </c>
      <c r="Q200" s="133" t="s">
        <v>1456</v>
      </c>
      <c r="R200" s="318" t="s">
        <v>3780</v>
      </c>
      <c r="AA200" s="202" t="s">
        <v>4567</v>
      </c>
      <c r="AB200" t="s">
        <v>4601</v>
      </c>
      <c r="AH200"/>
      <c r="AI200"/>
    </row>
    <row r="201" spans="2:35">
      <c r="B201" s="182" t="str">
        <f t="shared" si="23"/>
        <v>Clip na eurošroub H2</v>
      </c>
      <c r="M201" s="175" t="s">
        <v>89</v>
      </c>
      <c r="N201" s="133" t="s">
        <v>166</v>
      </c>
      <c r="O201" s="133" t="s">
        <v>227</v>
      </c>
      <c r="P201" s="133" t="s">
        <v>290</v>
      </c>
      <c r="Q201" s="133" t="s">
        <v>1457</v>
      </c>
      <c r="R201" s="318" t="s">
        <v>4146</v>
      </c>
      <c r="AA201" s="202" t="s">
        <v>3359</v>
      </c>
      <c r="AB201" t="s">
        <v>4602</v>
      </c>
      <c r="AH201"/>
      <c r="AI201"/>
    </row>
    <row r="202" spans="2:35">
      <c r="B202" s="182" t="str">
        <f t="shared" si="23"/>
        <v>Clip na eurošroub H4</v>
      </c>
      <c r="M202" s="175" t="s">
        <v>90</v>
      </c>
      <c r="N202" s="133" t="s">
        <v>167</v>
      </c>
      <c r="O202" s="133" t="s">
        <v>228</v>
      </c>
      <c r="P202" s="133" t="s">
        <v>291</v>
      </c>
      <c r="Q202" s="133" t="s">
        <v>1458</v>
      </c>
      <c r="R202" s="318" t="s">
        <v>3781</v>
      </c>
      <c r="AA202" s="202" t="s">
        <v>3360</v>
      </c>
      <c r="AB202" t="s">
        <v>4603</v>
      </c>
      <c r="AH202"/>
      <c r="AI202"/>
    </row>
    <row r="203" spans="2:35">
      <c r="B203" s="182" t="str">
        <f t="shared" si="23"/>
        <v>Slide on na vrut H2</v>
      </c>
      <c r="M203" s="175" t="s">
        <v>91</v>
      </c>
      <c r="N203" s="133" t="s">
        <v>168</v>
      </c>
      <c r="O203" s="133" t="s">
        <v>229</v>
      </c>
      <c r="P203" s="133" t="s">
        <v>292</v>
      </c>
      <c r="Q203" s="133" t="s">
        <v>1459</v>
      </c>
      <c r="R203" s="318" t="s">
        <v>3782</v>
      </c>
      <c r="AA203" s="202" t="s">
        <v>3361</v>
      </c>
      <c r="AB203" t="s">
        <v>4604</v>
      </c>
      <c r="AH203"/>
      <c r="AI203"/>
    </row>
    <row r="204" spans="2:35">
      <c r="B204" s="182" t="str">
        <f t="shared" si="23"/>
        <v>Slide on na vrut H4</v>
      </c>
      <c r="M204" s="175" t="s">
        <v>92</v>
      </c>
      <c r="N204" s="133" t="s">
        <v>169</v>
      </c>
      <c r="O204" s="133" t="s">
        <v>230</v>
      </c>
      <c r="P204" s="133" t="s">
        <v>293</v>
      </c>
      <c r="Q204" s="133" t="s">
        <v>1460</v>
      </c>
      <c r="R204" s="318" t="s">
        <v>3783</v>
      </c>
      <c r="AA204" s="202" t="s">
        <v>3321</v>
      </c>
      <c r="AB204" t="s">
        <v>4605</v>
      </c>
      <c r="AH204"/>
      <c r="AI204"/>
    </row>
    <row r="205" spans="2:35">
      <c r="B205" s="182" t="str">
        <f t="shared" si="23"/>
        <v>Slide on na eurošroub H2</v>
      </c>
      <c r="M205" s="175" t="s">
        <v>93</v>
      </c>
      <c r="N205" s="133" t="s">
        <v>170</v>
      </c>
      <c r="O205" s="133" t="s">
        <v>231</v>
      </c>
      <c r="P205" s="133" t="s">
        <v>294</v>
      </c>
      <c r="Q205" s="133" t="s">
        <v>1461</v>
      </c>
      <c r="R205" s="318" t="s">
        <v>3784</v>
      </c>
      <c r="AA205" s="202" t="s">
        <v>3397</v>
      </c>
      <c r="AB205" t="s">
        <v>4606</v>
      </c>
      <c r="AH205"/>
      <c r="AI205"/>
    </row>
    <row r="206" spans="2:35">
      <c r="B206" s="182" t="str">
        <f t="shared" si="23"/>
        <v>Slide on na eurošroub H4</v>
      </c>
      <c r="M206" s="175" t="s">
        <v>94</v>
      </c>
      <c r="N206" s="133" t="s">
        <v>171</v>
      </c>
      <c r="O206" s="133" t="s">
        <v>232</v>
      </c>
      <c r="P206" s="133" t="s">
        <v>295</v>
      </c>
      <c r="Q206" s="133" t="s">
        <v>1462</v>
      </c>
      <c r="R206" s="318" t="s">
        <v>3785</v>
      </c>
      <c r="AA206" s="202" t="s">
        <v>3401</v>
      </c>
      <c r="AB206" t="s">
        <v>4607</v>
      </c>
      <c r="AH206"/>
      <c r="AI206"/>
    </row>
    <row r="207" spans="2:35">
      <c r="B207" s="182" t="str">
        <f t="shared" si="23"/>
        <v>Naložený pro Blumotion</v>
      </c>
      <c r="M207" s="175" t="s">
        <v>78</v>
      </c>
      <c r="N207" s="133" t="s">
        <v>172</v>
      </c>
      <c r="O207" s="133" t="s">
        <v>233</v>
      </c>
      <c r="P207" s="133" t="s">
        <v>296</v>
      </c>
      <c r="Q207" s="133" t="s">
        <v>1463</v>
      </c>
      <c r="R207" s="318" t="s">
        <v>3786</v>
      </c>
      <c r="AA207" s="178" t="s">
        <v>4397</v>
      </c>
      <c r="AB207" t="s">
        <v>4418</v>
      </c>
      <c r="AH207"/>
      <c r="AI207"/>
    </row>
    <row r="208" spans="2:35">
      <c r="B208" s="182" t="str">
        <f t="shared" si="23"/>
        <v>Polonaložený s integr. Blumotionem</v>
      </c>
      <c r="M208" s="175" t="s">
        <v>432</v>
      </c>
      <c r="N208" s="133" t="s">
        <v>471</v>
      </c>
      <c r="O208" s="133" t="s">
        <v>1301</v>
      </c>
      <c r="P208" s="133" t="s">
        <v>482</v>
      </c>
      <c r="Q208" s="133" t="s">
        <v>1464</v>
      </c>
      <c r="R208" s="318" t="s">
        <v>3787</v>
      </c>
      <c r="AA208" s="202" t="s">
        <v>4403</v>
      </c>
      <c r="AB208" t="s">
        <v>4608</v>
      </c>
      <c r="AH208"/>
      <c r="AI208"/>
    </row>
    <row r="209" spans="2:35">
      <c r="B209" s="182" t="str">
        <f t="shared" si="23"/>
        <v>Vložený s integr. Blumotionem</v>
      </c>
      <c r="M209" s="175" t="s">
        <v>433</v>
      </c>
      <c r="N209" s="133" t="s">
        <v>472</v>
      </c>
      <c r="O209" s="133" t="s">
        <v>1302</v>
      </c>
      <c r="P209" s="133" t="s">
        <v>1247</v>
      </c>
      <c r="Q209" s="133" t="s">
        <v>1465</v>
      </c>
      <c r="R209" s="318" t="s">
        <v>3788</v>
      </c>
      <c r="AA209" s="178" t="s">
        <v>4426</v>
      </c>
      <c r="AB209" t="s">
        <v>4609</v>
      </c>
      <c r="AH209"/>
      <c r="AI209"/>
    </row>
    <row r="210" spans="2:35">
      <c r="B210" s="182" t="str">
        <f t="shared" si="23"/>
        <v>45° clip naložený</v>
      </c>
      <c r="M210" s="133" t="s">
        <v>80</v>
      </c>
      <c r="N210" s="133" t="s">
        <v>173</v>
      </c>
      <c r="O210" s="133" t="s">
        <v>234</v>
      </c>
      <c r="P210" s="133" t="s">
        <v>297</v>
      </c>
      <c r="Q210" s="133" t="s">
        <v>1466</v>
      </c>
      <c r="R210" s="318" t="s">
        <v>3789</v>
      </c>
      <c r="AA210" s="178" t="s">
        <v>4407</v>
      </c>
      <c r="AB210" t="s">
        <v>4419</v>
      </c>
      <c r="AH210"/>
      <c r="AI210"/>
    </row>
    <row r="211" spans="2:35">
      <c r="B211" s="182" t="str">
        <f t="shared" si="23"/>
        <v>45° clip polonaložený</v>
      </c>
      <c r="M211" s="133" t="s">
        <v>79</v>
      </c>
      <c r="N211" s="133" t="s">
        <v>79</v>
      </c>
      <c r="O211" s="133" t="s">
        <v>235</v>
      </c>
      <c r="P211" s="133" t="s">
        <v>1248</v>
      </c>
      <c r="Q211" s="133" t="s">
        <v>1467</v>
      </c>
      <c r="R211" s="318" t="s">
        <v>3790</v>
      </c>
      <c r="AA211" s="178" t="s">
        <v>4414</v>
      </c>
      <c r="AB211" t="s">
        <v>4420</v>
      </c>
      <c r="AH211"/>
      <c r="AI211"/>
    </row>
    <row r="212" spans="2:35">
      <c r="B212" s="182" t="str">
        <f t="shared" si="23"/>
        <v>Naložený bez pružiny</v>
      </c>
      <c r="M212" s="133" t="s">
        <v>73</v>
      </c>
      <c r="N212" s="133" t="s">
        <v>73</v>
      </c>
      <c r="O212" s="133" t="s">
        <v>236</v>
      </c>
      <c r="P212" s="133" t="s">
        <v>298</v>
      </c>
      <c r="Q212" s="133" t="s">
        <v>1468</v>
      </c>
      <c r="R212" s="318" t="s">
        <v>3791</v>
      </c>
      <c r="AA212" s="178" t="s">
        <v>4465</v>
      </c>
      <c r="AB212" t="s">
        <v>4610</v>
      </c>
      <c r="AH212"/>
      <c r="AI212"/>
    </row>
    <row r="213" spans="2:35">
      <c r="B213" s="182" t="str">
        <f t="shared" si="23"/>
        <v>Naložený bez pružiny (TIP-ON)</v>
      </c>
      <c r="M213" s="133" t="s">
        <v>81</v>
      </c>
      <c r="N213" s="133" t="s">
        <v>174</v>
      </c>
      <c r="O213" s="133" t="s">
        <v>237</v>
      </c>
      <c r="P213" s="133" t="s">
        <v>299</v>
      </c>
      <c r="Q213" s="133" t="s">
        <v>1469</v>
      </c>
      <c r="R213" s="318" t="s">
        <v>3792</v>
      </c>
      <c r="AA213" s="178" t="s">
        <v>4466</v>
      </c>
      <c r="AB213" t="s">
        <v>4611</v>
      </c>
      <c r="AH213"/>
      <c r="AI213"/>
    </row>
    <row r="214" spans="2:35">
      <c r="B214" s="182" t="str">
        <f t="shared" si="23"/>
        <v>Clip na eurošroub</v>
      </c>
      <c r="M214" s="133" t="s">
        <v>83</v>
      </c>
      <c r="N214" s="133" t="s">
        <v>175</v>
      </c>
      <c r="O214" s="133" t="s">
        <v>238</v>
      </c>
      <c r="P214" s="133" t="s">
        <v>300</v>
      </c>
      <c r="Q214" s="133" t="s">
        <v>1470</v>
      </c>
      <c r="R214" s="318" t="s">
        <v>3793</v>
      </c>
      <c r="AA214" s="178" t="s">
        <v>4467</v>
      </c>
      <c r="AB214" t="s">
        <v>4612</v>
      </c>
      <c r="AH214"/>
      <c r="AI214"/>
    </row>
    <row r="215" spans="2:35">
      <c r="B215" s="182" t="str">
        <f t="shared" si="23"/>
        <v>Clip na vrut</v>
      </c>
      <c r="M215" s="133" t="s">
        <v>82</v>
      </c>
      <c r="N215" s="133" t="s">
        <v>176</v>
      </c>
      <c r="O215" s="133" t="s">
        <v>239</v>
      </c>
      <c r="P215" s="133" t="s">
        <v>301</v>
      </c>
      <c r="Q215" s="133" t="s">
        <v>1471</v>
      </c>
      <c r="R215" s="318" t="s">
        <v>3794</v>
      </c>
      <c r="AA215" s="178" t="s">
        <v>4481</v>
      </c>
      <c r="AB215" t="s">
        <v>4613</v>
      </c>
      <c r="AH215"/>
      <c r="AI215"/>
    </row>
    <row r="216" spans="2:35">
      <c r="B216" s="182" t="str">
        <f t="shared" si="23"/>
        <v xml:space="preserve">Zvýšená o 6 mm </v>
      </c>
      <c r="M216" s="133" t="s">
        <v>84</v>
      </c>
      <c r="N216" s="133" t="s">
        <v>177</v>
      </c>
      <c r="O216" s="133" t="s">
        <v>1303</v>
      </c>
      <c r="P216" s="133" t="s">
        <v>302</v>
      </c>
      <c r="Q216" s="133" t="s">
        <v>906</v>
      </c>
      <c r="R216" s="318" t="s">
        <v>3795</v>
      </c>
      <c r="AA216" s="178" t="s">
        <v>4482</v>
      </c>
      <c r="AB216" t="s">
        <v>4614</v>
      </c>
      <c r="AH216"/>
      <c r="AI216"/>
    </row>
    <row r="217" spans="2:35">
      <c r="B217" s="182" t="str">
        <f t="shared" si="23"/>
        <v>45° clip</v>
      </c>
      <c r="M217" s="133" t="s">
        <v>0</v>
      </c>
      <c r="N217" s="133" t="s">
        <v>178</v>
      </c>
      <c r="O217" s="133" t="s">
        <v>0</v>
      </c>
      <c r="P217" s="133" t="s">
        <v>1249</v>
      </c>
      <c r="Q217" s="133" t="s">
        <v>1472</v>
      </c>
      <c r="R217" s="318" t="s">
        <v>3796</v>
      </c>
      <c r="AA217" s="185" t="s">
        <v>3322</v>
      </c>
      <c r="AB217" t="s">
        <v>4615</v>
      </c>
      <c r="AH217"/>
      <c r="AI217"/>
    </row>
    <row r="218" spans="2:35">
      <c r="B218" s="182" t="str">
        <f t="shared" si="23"/>
        <v xml:space="preserve">Clip na eurošroub H0 </v>
      </c>
      <c r="M218" s="133" t="s">
        <v>86</v>
      </c>
      <c r="N218" s="133" t="s">
        <v>179</v>
      </c>
      <c r="O218" s="133" t="s">
        <v>240</v>
      </c>
      <c r="P218" s="133" t="s">
        <v>303</v>
      </c>
      <c r="Q218" s="133" t="s">
        <v>1473</v>
      </c>
      <c r="R218" s="318" t="s">
        <v>3797</v>
      </c>
      <c r="AA218" s="185" t="s">
        <v>3323</v>
      </c>
      <c r="AB218" t="s">
        <v>4616</v>
      </c>
      <c r="AH218"/>
      <c r="AI218"/>
    </row>
    <row r="219" spans="2:35">
      <c r="B219" s="182" t="str">
        <f t="shared" si="23"/>
        <v>Clip na vrut H0</v>
      </c>
      <c r="M219" s="133" t="s">
        <v>85</v>
      </c>
      <c r="N219" s="133" t="s">
        <v>180</v>
      </c>
      <c r="O219" s="133" t="s">
        <v>241</v>
      </c>
      <c r="P219" s="133" t="s">
        <v>304</v>
      </c>
      <c r="Q219" s="133" t="s">
        <v>1474</v>
      </c>
      <c r="R219" s="318" t="s">
        <v>3798</v>
      </c>
      <c r="AA219" s="185" t="s">
        <v>3324</v>
      </c>
      <c r="AB219" t="s">
        <v>4617</v>
      </c>
      <c r="AH219"/>
      <c r="AI219"/>
    </row>
    <row r="220" spans="2:35">
      <c r="B220" s="182" t="str">
        <f t="shared" si="23"/>
        <v>Výběr pozice rámečku</v>
      </c>
      <c r="M220" s="133" t="s">
        <v>104</v>
      </c>
      <c r="N220" s="133" t="s">
        <v>181</v>
      </c>
      <c r="O220" s="133" t="s">
        <v>1304</v>
      </c>
      <c r="P220" s="133" t="s">
        <v>305</v>
      </c>
      <c r="Q220" s="133" t="s">
        <v>1351</v>
      </c>
      <c r="R220" s="318" t="s">
        <v>3799</v>
      </c>
      <c r="AA220" s="185" t="s">
        <v>3325</v>
      </c>
      <c r="AB220" t="s">
        <v>4618</v>
      </c>
      <c r="AH220"/>
      <c r="AI220"/>
    </row>
    <row r="221" spans="2:35">
      <c r="B221" s="182" t="str">
        <f t="shared" si="23"/>
        <v>Výrobce závěsů</v>
      </c>
      <c r="M221" s="133" t="s">
        <v>95</v>
      </c>
      <c r="N221" s="133" t="s">
        <v>182</v>
      </c>
      <c r="O221" s="133" t="s">
        <v>242</v>
      </c>
      <c r="P221" s="133" t="s">
        <v>306</v>
      </c>
      <c r="Q221" s="133" t="s">
        <v>1352</v>
      </c>
      <c r="R221" s="318" t="s">
        <v>3800</v>
      </c>
      <c r="AA221" s="185" t="s">
        <v>3326</v>
      </c>
      <c r="AB221" t="s">
        <v>4619</v>
      </c>
      <c r="AH221"/>
      <c r="AI221"/>
    </row>
    <row r="222" spans="2:35">
      <c r="B222" s="182" t="str">
        <f t="shared" si="23"/>
        <v>Typ závěsů</v>
      </c>
      <c r="M222" s="133" t="s">
        <v>96</v>
      </c>
      <c r="N222" s="133" t="s">
        <v>183</v>
      </c>
      <c r="O222" s="133" t="s">
        <v>243</v>
      </c>
      <c r="P222" s="133" t="s">
        <v>307</v>
      </c>
      <c r="Q222" s="133" t="s">
        <v>1475</v>
      </c>
      <c r="R222" s="318" t="s">
        <v>3801</v>
      </c>
      <c r="AA222" s="185" t="s">
        <v>3327</v>
      </c>
      <c r="AB222" t="s">
        <v>4620</v>
      </c>
      <c r="AH222"/>
      <c r="AI222"/>
    </row>
    <row r="223" spans="2:35">
      <c r="B223" s="182" t="str">
        <f t="shared" si="23"/>
        <v>Typ Aventosu</v>
      </c>
      <c r="M223" s="175" t="s">
        <v>97</v>
      </c>
      <c r="N223" s="133" t="s">
        <v>97</v>
      </c>
      <c r="O223" s="133" t="s">
        <v>244</v>
      </c>
      <c r="P223" s="133" t="s">
        <v>1250</v>
      </c>
      <c r="Q223" s="133" t="s">
        <v>1476</v>
      </c>
      <c r="R223" s="318" t="s">
        <v>3802</v>
      </c>
      <c r="AA223" s="185" t="s">
        <v>3053</v>
      </c>
      <c r="AB223" s="185" t="s">
        <v>3053</v>
      </c>
      <c r="AH223"/>
      <c r="AI223"/>
    </row>
    <row r="224" spans="2:35">
      <c r="B224" s="182" t="str">
        <f t="shared" si="23"/>
        <v>Typ podložky</v>
      </c>
      <c r="M224" s="175" t="s">
        <v>98</v>
      </c>
      <c r="N224" s="133" t="s">
        <v>98</v>
      </c>
      <c r="O224" s="133" t="s">
        <v>245</v>
      </c>
      <c r="P224" s="133" t="s">
        <v>308</v>
      </c>
      <c r="Q224" s="133" t="s">
        <v>1477</v>
      </c>
      <c r="R224" s="318" t="s">
        <v>3803</v>
      </c>
      <c r="AA224" s="185" t="s">
        <v>3054</v>
      </c>
      <c r="AB224" s="185" t="s">
        <v>3054</v>
      </c>
      <c r="AH224"/>
      <c r="AI224"/>
    </row>
    <row r="225" spans="2:35">
      <c r="B225" s="182" t="str">
        <f t="shared" si="23"/>
        <v>Počet závěsů na 1 rámeček</v>
      </c>
      <c r="M225" s="175" t="s">
        <v>2327</v>
      </c>
      <c r="N225" s="133" t="s">
        <v>184</v>
      </c>
      <c r="O225" s="133" t="s">
        <v>246</v>
      </c>
      <c r="P225" s="133" t="s">
        <v>309</v>
      </c>
      <c r="Q225" s="133" t="s">
        <v>1353</v>
      </c>
      <c r="R225" s="318" t="s">
        <v>3804</v>
      </c>
      <c r="AA225" s="185" t="s">
        <v>3055</v>
      </c>
      <c r="AB225" s="185" t="s">
        <v>3055</v>
      </c>
      <c r="AH225"/>
      <c r="AI225"/>
    </row>
    <row r="226" spans="2:35">
      <c r="B226" s="182" t="str">
        <f t="shared" si="23"/>
        <v>Zvedací písty</v>
      </c>
      <c r="M226" s="175" t="s">
        <v>100</v>
      </c>
      <c r="N226" s="133" t="s">
        <v>185</v>
      </c>
      <c r="O226" s="133" t="s">
        <v>247</v>
      </c>
      <c r="P226" s="133" t="s">
        <v>1251</v>
      </c>
      <c r="Q226" s="133" t="s">
        <v>1478</v>
      </c>
      <c r="R226" s="318" t="s">
        <v>3805</v>
      </c>
      <c r="AA226" s="185" t="s">
        <v>2392</v>
      </c>
      <c r="AB226" s="185" t="s">
        <v>2392</v>
      </c>
      <c r="AH226"/>
      <c r="AI226"/>
    </row>
    <row r="227" spans="2:35">
      <c r="B227" s="182" t="str">
        <f t="shared" si="23"/>
        <v>Dodat včetně uvedeného kování</v>
      </c>
      <c r="M227" s="175" t="s">
        <v>99</v>
      </c>
      <c r="N227" s="133" t="s">
        <v>186</v>
      </c>
      <c r="O227" s="133" t="s">
        <v>274</v>
      </c>
      <c r="P227" s="133" t="s">
        <v>1252</v>
      </c>
      <c r="Q227" s="133" t="s">
        <v>1354</v>
      </c>
      <c r="R227" s="318" t="s">
        <v>3806</v>
      </c>
      <c r="AA227" s="185" t="s">
        <v>1235</v>
      </c>
      <c r="AB227" s="185" t="s">
        <v>1235</v>
      </c>
      <c r="AH227"/>
      <c r="AI227"/>
    </row>
    <row r="228" spans="2:35">
      <c r="B228" s="182" t="str">
        <f t="shared" si="23"/>
        <v>Umístění</v>
      </c>
      <c r="M228" s="175" t="s">
        <v>2112</v>
      </c>
      <c r="N228" s="133" t="s">
        <v>2113</v>
      </c>
      <c r="O228" s="133" t="s">
        <v>2114</v>
      </c>
      <c r="P228" s="133" t="s">
        <v>2116</v>
      </c>
      <c r="Q228" s="133" t="s">
        <v>2115</v>
      </c>
      <c r="R228" s="318" t="s">
        <v>3807</v>
      </c>
      <c r="AA228" s="185" t="s">
        <v>1422</v>
      </c>
      <c r="AB228" s="185" t="s">
        <v>1422</v>
      </c>
      <c r="AH228"/>
      <c r="AI228"/>
    </row>
    <row r="229" spans="2:35">
      <c r="B229" s="182" t="str">
        <f t="shared" si="23"/>
        <v>Nahoře</v>
      </c>
      <c r="M229" s="175" t="s">
        <v>111</v>
      </c>
      <c r="N229" s="133" t="s">
        <v>1134</v>
      </c>
      <c r="O229" s="133" t="s">
        <v>1132</v>
      </c>
      <c r="P229" s="133" t="s">
        <v>1133</v>
      </c>
      <c r="Q229" s="133" t="s">
        <v>1355</v>
      </c>
      <c r="R229" s="318" t="s">
        <v>3808</v>
      </c>
      <c r="AA229" s="178" t="s">
        <v>3403</v>
      </c>
      <c r="AB229" t="s">
        <v>554</v>
      </c>
      <c r="AH229"/>
      <c r="AI229"/>
    </row>
    <row r="230" spans="2:35">
      <c r="B230" s="182" t="str">
        <f t="shared" si="23"/>
        <v>Dole</v>
      </c>
      <c r="M230" s="175" t="s">
        <v>112</v>
      </c>
      <c r="N230" s="133" t="s">
        <v>112</v>
      </c>
      <c r="O230" s="133" t="s">
        <v>1305</v>
      </c>
      <c r="P230" s="133" t="s">
        <v>1135</v>
      </c>
      <c r="Q230" s="133" t="s">
        <v>916</v>
      </c>
      <c r="R230" s="318" t="s">
        <v>3809</v>
      </c>
      <c r="AA230" s="178" t="s">
        <v>3404</v>
      </c>
      <c r="AB230" t="s">
        <v>4446</v>
      </c>
      <c r="AH230"/>
      <c r="AI230"/>
    </row>
    <row r="231" spans="2:35">
      <c r="B231" s="182" t="str">
        <f t="shared" si="23"/>
        <v xml:space="preserve">Vpravo </v>
      </c>
      <c r="M231" s="175" t="s">
        <v>102</v>
      </c>
      <c r="N231" s="133" t="s">
        <v>187</v>
      </c>
      <c r="O231" s="133" t="s">
        <v>248</v>
      </c>
      <c r="P231" s="133" t="s">
        <v>310</v>
      </c>
      <c r="Q231" s="133" t="s">
        <v>907</v>
      </c>
      <c r="R231" s="318" t="s">
        <v>3810</v>
      </c>
      <c r="AA231" s="178" t="s">
        <v>3405</v>
      </c>
      <c r="AB231" t="s">
        <v>4447</v>
      </c>
      <c r="AH231"/>
      <c r="AI231"/>
    </row>
    <row r="232" spans="2:35">
      <c r="B232" s="182" t="str">
        <f t="shared" si="23"/>
        <v>Vlevo</v>
      </c>
      <c r="M232" s="175" t="s">
        <v>101</v>
      </c>
      <c r="N232" s="133" t="s">
        <v>188</v>
      </c>
      <c r="O232" s="133" t="s">
        <v>249</v>
      </c>
      <c r="P232" s="133" t="s">
        <v>311</v>
      </c>
      <c r="Q232" s="133" t="s">
        <v>908</v>
      </c>
      <c r="R232" s="318" t="s">
        <v>3811</v>
      </c>
      <c r="AA232" s="178" t="s">
        <v>3406</v>
      </c>
      <c r="AB232" t="s">
        <v>4568</v>
      </c>
      <c r="AH232"/>
      <c r="AI232"/>
    </row>
    <row r="233" spans="2:35">
      <c r="B233" s="182" t="str">
        <f t="shared" si="23"/>
        <v>2 Kusy (obě strany)</v>
      </c>
      <c r="M233" s="175" t="s">
        <v>103</v>
      </c>
      <c r="N233" s="133" t="s">
        <v>189</v>
      </c>
      <c r="O233" s="133" t="s">
        <v>250</v>
      </c>
      <c r="P233" s="133" t="s">
        <v>312</v>
      </c>
      <c r="Q233" s="133" t="s">
        <v>909</v>
      </c>
      <c r="R233" s="318" t="s">
        <v>3812</v>
      </c>
      <c r="AA233" s="178" t="s">
        <v>3407</v>
      </c>
      <c r="AB233" t="s">
        <v>4448</v>
      </c>
      <c r="AH233"/>
      <c r="AI233"/>
    </row>
    <row r="234" spans="2:35">
      <c r="B234" s="182" t="str">
        <f t="shared" si="23"/>
        <v>Provedení druhého dvířka</v>
      </c>
      <c r="M234" s="175" t="s">
        <v>115</v>
      </c>
      <c r="N234" s="133" t="s">
        <v>190</v>
      </c>
      <c r="O234" s="133" t="s">
        <v>273</v>
      </c>
      <c r="P234" s="133" t="s">
        <v>1253</v>
      </c>
      <c r="Q234" s="133" t="s">
        <v>1479</v>
      </c>
      <c r="R234" s="318" t="s">
        <v>3813</v>
      </c>
      <c r="AA234" s="179" t="s">
        <v>3408</v>
      </c>
      <c r="AB234" t="s">
        <v>4449</v>
      </c>
      <c r="AH234"/>
      <c r="AI234"/>
    </row>
    <row r="235" spans="2:35">
      <c r="B235" s="182" t="str">
        <f t="shared" si="23"/>
        <v>Úzký ALU rámeček</v>
      </c>
      <c r="M235" s="175" t="s">
        <v>105</v>
      </c>
      <c r="N235" s="133" t="s">
        <v>191</v>
      </c>
      <c r="O235" s="133" t="s">
        <v>251</v>
      </c>
      <c r="P235" s="133" t="s">
        <v>313</v>
      </c>
      <c r="Q235" s="133" t="s">
        <v>1356</v>
      </c>
      <c r="R235" s="318" t="s">
        <v>3814</v>
      </c>
      <c r="AA235" s="179" t="s">
        <v>3409</v>
      </c>
      <c r="AB235" t="s">
        <v>4450</v>
      </c>
      <c r="AH235"/>
      <c r="AI235"/>
    </row>
    <row r="236" spans="2:35">
      <c r="B236" s="182" t="str">
        <f t="shared" ref="B236:B299" si="24">IF($D$1=1,M236,IF($D$1=2,N236,IF($D$1=3,O236,IF($D$1=4,P236,IF($D$1=5,Q236,IF($D$1=6,R236,0))))))</f>
        <v>Široký ALU rámeček</v>
      </c>
      <c r="M236" s="175" t="s">
        <v>106</v>
      </c>
      <c r="N236" s="133" t="s">
        <v>192</v>
      </c>
      <c r="O236" s="133" t="s">
        <v>252</v>
      </c>
      <c r="P236" s="133" t="s">
        <v>314</v>
      </c>
      <c r="Q236" s="133" t="s">
        <v>1357</v>
      </c>
      <c r="R236" s="318" t="s">
        <v>3815</v>
      </c>
      <c r="AA236" s="179" t="s">
        <v>3465</v>
      </c>
      <c r="AB236" t="s">
        <v>1603</v>
      </c>
      <c r="AH236"/>
      <c r="AI236"/>
    </row>
    <row r="237" spans="2:35">
      <c r="B237" s="182" t="str">
        <f t="shared" si="24"/>
        <v>MDF tloušťky 16 mm</v>
      </c>
      <c r="M237" s="175" t="s">
        <v>108</v>
      </c>
      <c r="N237" s="133" t="s">
        <v>193</v>
      </c>
      <c r="O237" s="133" t="s">
        <v>253</v>
      </c>
      <c r="P237" s="133" t="s">
        <v>315</v>
      </c>
      <c r="Q237" s="133" t="s">
        <v>1480</v>
      </c>
      <c r="R237" s="318" t="s">
        <v>3816</v>
      </c>
      <c r="AA237" s="179" t="s">
        <v>3410</v>
      </c>
      <c r="AB237" t="s">
        <v>4451</v>
      </c>
      <c r="AH237"/>
      <c r="AI237"/>
    </row>
    <row r="238" spans="2:35">
      <c r="B238" s="182" t="str">
        <f t="shared" si="24"/>
        <v>MDF tloušťky 18 mm</v>
      </c>
      <c r="M238" s="175" t="s">
        <v>107</v>
      </c>
      <c r="N238" s="133" t="s">
        <v>194</v>
      </c>
      <c r="O238" s="133" t="s">
        <v>254</v>
      </c>
      <c r="P238" s="133" t="s">
        <v>316</v>
      </c>
      <c r="Q238" s="133" t="s">
        <v>1481</v>
      </c>
      <c r="R238" s="318" t="s">
        <v>3817</v>
      </c>
      <c r="AA238" s="179" t="s">
        <v>4437</v>
      </c>
      <c r="AB238" t="s">
        <v>4569</v>
      </c>
      <c r="AH238"/>
      <c r="AI238"/>
    </row>
    <row r="239" spans="2:35">
      <c r="B239" s="182" t="str">
        <f t="shared" si="24"/>
        <v>DTDL tloušťky 18 mm</v>
      </c>
      <c r="M239" s="175" t="s">
        <v>109</v>
      </c>
      <c r="N239" s="133" t="s">
        <v>195</v>
      </c>
      <c r="O239" s="133" t="s">
        <v>1306</v>
      </c>
      <c r="P239" s="133" t="s">
        <v>1254</v>
      </c>
      <c r="Q239" s="133" t="s">
        <v>965</v>
      </c>
      <c r="R239" s="318" t="s">
        <v>3818</v>
      </c>
      <c r="AA239" s="179" t="s">
        <v>4430</v>
      </c>
      <c r="AB239" t="s">
        <v>4443</v>
      </c>
      <c r="AH239"/>
      <c r="AI239"/>
    </row>
    <row r="240" spans="2:35">
      <c r="B240" s="182" t="str">
        <f t="shared" si="24"/>
        <v>Umístění závěsů</v>
      </c>
      <c r="M240" s="175" t="s">
        <v>110</v>
      </c>
      <c r="N240" s="133" t="s">
        <v>196</v>
      </c>
      <c r="O240" s="133" t="s">
        <v>255</v>
      </c>
      <c r="P240" s="133" t="s">
        <v>317</v>
      </c>
      <c r="Q240" s="133" t="s">
        <v>1358</v>
      </c>
      <c r="R240" s="318" t="s">
        <v>3819</v>
      </c>
      <c r="AA240" s="179" t="s">
        <v>3411</v>
      </c>
      <c r="AB240" t="s">
        <v>555</v>
      </c>
      <c r="AH240"/>
      <c r="AI240"/>
    </row>
    <row r="241" spans="2:35">
      <c r="B241" s="182" t="str">
        <f t="shared" si="24"/>
        <v>Nahoře</v>
      </c>
      <c r="M241" s="175" t="s">
        <v>111</v>
      </c>
      <c r="N241" s="133" t="s">
        <v>197</v>
      </c>
      <c r="O241" s="133" t="s">
        <v>1132</v>
      </c>
      <c r="P241" s="133" t="s">
        <v>1133</v>
      </c>
      <c r="Q241" s="133" t="s">
        <v>1355</v>
      </c>
      <c r="R241" s="318" t="s">
        <v>3808</v>
      </c>
      <c r="AA241" s="179" t="s">
        <v>3412</v>
      </c>
      <c r="AB241" t="s">
        <v>4570</v>
      </c>
      <c r="AH241"/>
      <c r="AI241"/>
    </row>
    <row r="242" spans="2:35">
      <c r="B242" s="182" t="str">
        <f t="shared" si="24"/>
        <v>Dole</v>
      </c>
      <c r="M242" s="175" t="s">
        <v>112</v>
      </c>
      <c r="N242" s="133" t="s">
        <v>112</v>
      </c>
      <c r="O242" s="133" t="s">
        <v>1305</v>
      </c>
      <c r="P242" s="133" t="s">
        <v>1135</v>
      </c>
      <c r="Q242" s="133" t="s">
        <v>916</v>
      </c>
      <c r="R242" s="318" t="s">
        <v>3809</v>
      </c>
      <c r="AA242" s="179" t="s">
        <v>3413</v>
      </c>
      <c r="AB242" t="s">
        <v>4571</v>
      </c>
      <c r="AH242"/>
      <c r="AI242"/>
    </row>
    <row r="243" spans="2:35">
      <c r="B243" s="182" t="str">
        <f t="shared" si="24"/>
        <v>vyberte ze seznamu</v>
      </c>
      <c r="M243" s="175" t="s">
        <v>3572</v>
      </c>
      <c r="N243" s="133" t="s">
        <v>3573</v>
      </c>
      <c r="O243" s="133" t="s">
        <v>3574</v>
      </c>
      <c r="P243" s="133" t="s">
        <v>3575</v>
      </c>
      <c r="Q243" s="133" t="s">
        <v>3576</v>
      </c>
      <c r="R243" s="318" t="s">
        <v>3820</v>
      </c>
      <c r="AA243" s="179" t="s">
        <v>3414</v>
      </c>
      <c r="AB243" t="s">
        <v>4572</v>
      </c>
      <c r="AH243"/>
      <c r="AI243"/>
    </row>
    <row r="244" spans="2:35">
      <c r="B244" s="182" t="str">
        <f t="shared" si="24"/>
        <v>Vzdálenost od levého okraje</v>
      </c>
      <c r="M244" s="175" t="s">
        <v>4368</v>
      </c>
      <c r="N244" s="133" t="s">
        <v>4369</v>
      </c>
      <c r="O244" s="133" t="s">
        <v>4370</v>
      </c>
      <c r="P244" s="133" t="s">
        <v>4371</v>
      </c>
      <c r="Q244" s="133" t="s">
        <v>4372</v>
      </c>
      <c r="R244" s="318" t="s">
        <v>4373</v>
      </c>
      <c r="AA244" s="178" t="s">
        <v>3415</v>
      </c>
      <c r="AB244" t="s">
        <v>4573</v>
      </c>
      <c r="AH244"/>
      <c r="AI244"/>
    </row>
    <row r="245" spans="2:35">
      <c r="B245" s="182" t="str">
        <f t="shared" si="24"/>
        <v>Vzdálenost závěsu od kraje</v>
      </c>
      <c r="M245" s="175" t="s">
        <v>116</v>
      </c>
      <c r="N245" s="133" t="s">
        <v>198</v>
      </c>
      <c r="O245" s="133" t="s">
        <v>256</v>
      </c>
      <c r="P245" s="133" t="s">
        <v>318</v>
      </c>
      <c r="Q245" s="133" t="s">
        <v>1482</v>
      </c>
      <c r="R245" s="318" t="s">
        <v>3821</v>
      </c>
      <c r="AA245" s="179" t="s">
        <v>3416</v>
      </c>
      <c r="AB245" t="s">
        <v>4574</v>
      </c>
      <c r="AH245"/>
      <c r="AI245"/>
    </row>
    <row r="246" spans="2:35">
      <c r="B246" s="182" t="str">
        <f t="shared" si="24"/>
        <v>Vyplňte pouze pokud nebude vrtání symetricky na střed</v>
      </c>
      <c r="M246" s="175" t="s">
        <v>117</v>
      </c>
      <c r="N246" s="133" t="s">
        <v>199</v>
      </c>
      <c r="O246" s="133" t="s">
        <v>877</v>
      </c>
      <c r="P246" s="133" t="s">
        <v>319</v>
      </c>
      <c r="Q246" s="133" t="s">
        <v>1483</v>
      </c>
      <c r="R246" s="318" t="s">
        <v>3822</v>
      </c>
      <c r="AA246" s="179" t="s">
        <v>3417</v>
      </c>
      <c r="AB246" t="s">
        <v>4575</v>
      </c>
      <c r="AH246"/>
      <c r="AI246"/>
    </row>
    <row r="247" spans="2:35">
      <c r="B247" s="182" t="str">
        <f t="shared" si="24"/>
        <v>Objednávkový formulář ALU rámečků</v>
      </c>
      <c r="M247" s="175" t="s">
        <v>118</v>
      </c>
      <c r="N247" s="133" t="s">
        <v>200</v>
      </c>
      <c r="O247" s="133" t="s">
        <v>257</v>
      </c>
      <c r="P247" s="133" t="s">
        <v>373</v>
      </c>
      <c r="Q247" s="133" t="s">
        <v>1484</v>
      </c>
      <c r="R247" s="318" t="s">
        <v>3823</v>
      </c>
      <c r="AA247" s="179" t="s">
        <v>3418</v>
      </c>
      <c r="AB247" t="s">
        <v>4576</v>
      </c>
      <c r="AH247"/>
      <c r="AI247"/>
    </row>
    <row r="248" spans="2:35">
      <c r="B248" s="182" t="str">
        <f t="shared" si="24"/>
        <v xml:space="preserve">Při vyplňování formuláře postupujte vždy shora dolů. Provedete li zpětně změnu, překontrolujte zda jsou následující položky správně. </v>
      </c>
      <c r="M248" s="175" t="s">
        <v>152</v>
      </c>
      <c r="N248" s="133" t="s">
        <v>207</v>
      </c>
      <c r="O248" s="133" t="s">
        <v>258</v>
      </c>
      <c r="P248" s="133" t="s">
        <v>1255</v>
      </c>
      <c r="Q248" s="133" t="s">
        <v>1485</v>
      </c>
      <c r="R248" s="318" t="s">
        <v>3824</v>
      </c>
      <c r="AA248" s="178" t="s">
        <v>3419</v>
      </c>
      <c r="AB248" t="s">
        <v>4577</v>
      </c>
      <c r="AH248"/>
      <c r="AI248"/>
    </row>
    <row r="249" spans="2:35">
      <c r="B249" s="182" t="str">
        <f t="shared" si="24"/>
        <v>Ceny jsou platné od 27.1.2026/Verze 8.6</v>
      </c>
      <c r="M249" s="175" t="str">
        <f>"Ceny jsou platné od 27.1.2026/Verze "&amp;B1</f>
        <v>Ceny jsou platné od 27.1.2026/Verze 8.6</v>
      </c>
      <c r="N249" s="133" t="str">
        <f>"Ceny sú platné od  27.1.2026/Verzia "&amp;B1</f>
        <v>Ceny sú platné od  27.1.2026/Verzia 8.6</v>
      </c>
      <c r="O249" s="133" t="str">
        <f>"Ceny obowiązują od 18.5.2026/Wersja "&amp;B1</f>
        <v>Ceny obowiązują od 18.5.2026/Wersja 8.6</v>
      </c>
      <c r="P249" s="133" t="str">
        <f>"Az árak érvényesek  27.1.2026 -től/"&amp;B1&amp;" - es változat"</f>
        <v>Az árak érvényesek  27.1.2026 -től/8.6 - es változat</v>
      </c>
      <c r="Q249" s="133" t="str">
        <f>"Prices are valid from  27.1.2026/Version "&amp;B1</f>
        <v>Prices are valid from  27.1.2026/Version 8.6</v>
      </c>
      <c r="R249" s="318" t="str">
        <f>"Les prix sont valables à partir du  27.1.2026/Version "&amp;B1</f>
        <v>Les prix sont valables à partir du  27.1.2026/Version 8.6</v>
      </c>
      <c r="AA249" s="178" t="s">
        <v>4456</v>
      </c>
      <c r="AB249" t="s">
        <v>4444</v>
      </c>
      <c r="AH249"/>
      <c r="AI249"/>
    </row>
    <row r="250" spans="2:35">
      <c r="B250" s="182" t="str">
        <f t="shared" si="24"/>
        <v>Cena celkem</v>
      </c>
      <c r="M250" s="175" t="s">
        <v>15</v>
      </c>
      <c r="N250" s="133" t="s">
        <v>201</v>
      </c>
      <c r="O250" s="133" t="s">
        <v>259</v>
      </c>
      <c r="P250" s="133" t="s">
        <v>320</v>
      </c>
      <c r="Q250" s="133" t="s">
        <v>1359</v>
      </c>
      <c r="R250" s="318" t="s">
        <v>3825</v>
      </c>
      <c r="AA250" s="178" t="s">
        <v>3420</v>
      </c>
      <c r="AB250" t="s">
        <v>4578</v>
      </c>
      <c r="AH250"/>
      <c r="AI250"/>
    </row>
    <row r="251" spans="2:35">
      <c r="B251" s="182" t="str">
        <f t="shared" si="24"/>
        <v>Zákazník</v>
      </c>
      <c r="M251" s="175" t="s">
        <v>120</v>
      </c>
      <c r="N251" s="133" t="s">
        <v>120</v>
      </c>
      <c r="O251" s="133" t="s">
        <v>260</v>
      </c>
      <c r="P251" s="133" t="s">
        <v>321</v>
      </c>
      <c r="Q251" s="133" t="s">
        <v>910</v>
      </c>
      <c r="R251" s="318" t="s">
        <v>3826</v>
      </c>
      <c r="AA251" s="178" t="s">
        <v>3421</v>
      </c>
      <c r="AB251" t="s">
        <v>4579</v>
      </c>
      <c r="AH251"/>
      <c r="AI251"/>
    </row>
    <row r="252" spans="2:35">
      <c r="B252" s="182" t="str">
        <f t="shared" si="24"/>
        <v>Kontaktní tel.</v>
      </c>
      <c r="M252" s="175" t="s">
        <v>122</v>
      </c>
      <c r="N252" s="133" t="s">
        <v>202</v>
      </c>
      <c r="O252" s="133" t="s">
        <v>261</v>
      </c>
      <c r="P252" s="133" t="s">
        <v>322</v>
      </c>
      <c r="Q252" s="133" t="s">
        <v>1486</v>
      </c>
      <c r="R252" s="318" t="s">
        <v>3827</v>
      </c>
      <c r="AA252" s="178" t="s">
        <v>3422</v>
      </c>
      <c r="AB252" t="s">
        <v>4580</v>
      </c>
      <c r="AH252"/>
      <c r="AI252"/>
    </row>
    <row r="253" spans="2:35">
      <c r="B253" s="182" t="str">
        <f t="shared" si="24"/>
        <v>Kontaktní e-mail</v>
      </c>
      <c r="M253" s="175" t="s">
        <v>123</v>
      </c>
      <c r="N253" s="133" t="s">
        <v>203</v>
      </c>
      <c r="O253" s="133" t="s">
        <v>262</v>
      </c>
      <c r="P253" s="133" t="s">
        <v>323</v>
      </c>
      <c r="Q253" s="133" t="s">
        <v>1487</v>
      </c>
      <c r="R253" s="318" t="s">
        <v>3828</v>
      </c>
      <c r="AA253" s="179" t="s">
        <v>3423</v>
      </c>
      <c r="AB253" t="s">
        <v>4581</v>
      </c>
      <c r="AH253"/>
      <c r="AI253"/>
    </row>
    <row r="254" spans="2:35">
      <c r="B254" s="182" t="str">
        <f t="shared" si="24"/>
        <v>Adresa provozovny</v>
      </c>
      <c r="M254" s="175" t="s">
        <v>121</v>
      </c>
      <c r="N254" s="133" t="s">
        <v>204</v>
      </c>
      <c r="O254" s="133" t="s">
        <v>263</v>
      </c>
      <c r="P254" s="133" t="s">
        <v>324</v>
      </c>
      <c r="Q254" s="133" t="s">
        <v>1488</v>
      </c>
      <c r="R254" s="318" t="s">
        <v>3829</v>
      </c>
      <c r="AA254" s="179" t="s">
        <v>3424</v>
      </c>
      <c r="AB254" t="s">
        <v>4582</v>
      </c>
      <c r="AH254"/>
      <c r="AI254"/>
    </row>
    <row r="255" spans="2:35">
      <c r="B255" s="182" t="str">
        <f t="shared" si="24"/>
        <v>IČ:</v>
      </c>
      <c r="M255" s="175" t="s">
        <v>119</v>
      </c>
      <c r="N255" s="133" t="s">
        <v>119</v>
      </c>
      <c r="O255" s="133" t="s">
        <v>264</v>
      </c>
      <c r="P255" s="133" t="s">
        <v>119</v>
      </c>
      <c r="Q255" s="133" t="s">
        <v>1360</v>
      </c>
      <c r="R255" s="318" t="s">
        <v>3830</v>
      </c>
      <c r="AA255" s="179" t="s">
        <v>3425</v>
      </c>
      <c r="AB255" t="s">
        <v>4583</v>
      </c>
      <c r="AH255"/>
      <c r="AI255"/>
    </row>
    <row r="256" spans="2:35">
      <c r="B256" s="182" t="str">
        <f t="shared" si="24"/>
        <v>Sleva na rámečky</v>
      </c>
      <c r="M256" s="175" t="s">
        <v>124</v>
      </c>
      <c r="N256" s="133" t="s">
        <v>205</v>
      </c>
      <c r="O256" s="133" t="s">
        <v>265</v>
      </c>
      <c r="P256" s="133" t="s">
        <v>325</v>
      </c>
      <c r="Q256" s="133" t="s">
        <v>911</v>
      </c>
      <c r="R256" s="318" t="s">
        <v>3831</v>
      </c>
      <c r="AA256" s="179" t="s">
        <v>3426</v>
      </c>
      <c r="AB256" t="s">
        <v>4584</v>
      </c>
      <c r="AH256"/>
      <c r="AI256"/>
    </row>
    <row r="257" spans="2:35">
      <c r="B257" s="182" t="str">
        <f t="shared" si="24"/>
        <v>Sleva na kování</v>
      </c>
      <c r="M257" s="175" t="s">
        <v>125</v>
      </c>
      <c r="N257" s="133" t="s">
        <v>206</v>
      </c>
      <c r="O257" s="133" t="s">
        <v>266</v>
      </c>
      <c r="P257" s="133" t="s">
        <v>326</v>
      </c>
      <c r="Q257" s="133" t="s">
        <v>912</v>
      </c>
      <c r="R257" s="318" t="s">
        <v>3832</v>
      </c>
      <c r="AA257" s="179" t="s">
        <v>3427</v>
      </c>
      <c r="AB257" t="s">
        <v>4585</v>
      </c>
      <c r="AH257"/>
      <c r="AI257"/>
    </row>
    <row r="258" spans="2:35">
      <c r="B258" s="182" t="str">
        <f t="shared" si="24"/>
        <v>Číslo objednávky</v>
      </c>
      <c r="M258" s="175" t="s">
        <v>145</v>
      </c>
      <c r="N258" s="133" t="s">
        <v>145</v>
      </c>
      <c r="O258" s="133" t="s">
        <v>11</v>
      </c>
      <c r="P258" s="133" t="s">
        <v>327</v>
      </c>
      <c r="Q258" s="133" t="s">
        <v>1361</v>
      </c>
      <c r="R258" s="318" t="s">
        <v>3833</v>
      </c>
      <c r="AA258" s="179" t="s">
        <v>3428</v>
      </c>
      <c r="AB258" t="s">
        <v>4586</v>
      </c>
      <c r="AH258"/>
      <c r="AI258"/>
    </row>
    <row r="259" spans="2:35">
      <c r="B259" s="182" t="str">
        <f t="shared" si="24"/>
        <v>Barevné náhledy u jednotlivých názvů RAL a REF jsou pouze orientační!!!!</v>
      </c>
      <c r="M259" s="175" t="s">
        <v>144</v>
      </c>
      <c r="N259" s="133" t="s">
        <v>209</v>
      </c>
      <c r="O259" s="133" t="s">
        <v>878</v>
      </c>
      <c r="P259" s="133" t="s">
        <v>1256</v>
      </c>
      <c r="Q259" s="133" t="s">
        <v>1362</v>
      </c>
      <c r="R259" s="318" t="s">
        <v>3834</v>
      </c>
      <c r="AA259" s="179" t="s">
        <v>3429</v>
      </c>
      <c r="AB259" t="s">
        <v>4587</v>
      </c>
      <c r="AH259"/>
      <c r="AI259"/>
    </row>
    <row r="260" spans="2:35">
      <c r="B260" s="182" t="str">
        <f t="shared" si="24"/>
        <v>Typ kování</v>
      </c>
      <c r="M260" s="175" t="s">
        <v>50</v>
      </c>
      <c r="N260" s="133" t="s">
        <v>208</v>
      </c>
      <c r="O260" s="133" t="s">
        <v>272</v>
      </c>
      <c r="P260" s="133" t="s">
        <v>874</v>
      </c>
      <c r="Q260" s="133" t="s">
        <v>1489</v>
      </c>
      <c r="R260" t="s">
        <v>3835</v>
      </c>
      <c r="AA260" s="179" t="s">
        <v>3430</v>
      </c>
      <c r="AB260" t="s">
        <v>4588</v>
      </c>
      <c r="AH260"/>
      <c r="AI260"/>
    </row>
    <row r="261" spans="2:35">
      <c r="B261" s="182" t="str">
        <f t="shared" si="24"/>
        <v>AVENTOS HF</v>
      </c>
      <c r="M261" s="175" t="s">
        <v>53</v>
      </c>
      <c r="N261" s="175" t="s">
        <v>53</v>
      </c>
      <c r="O261" s="133" t="s">
        <v>53</v>
      </c>
      <c r="P261" s="133" t="s">
        <v>53</v>
      </c>
      <c r="Q261" s="133" t="s">
        <v>53</v>
      </c>
      <c r="R261" s="319" t="s">
        <v>53</v>
      </c>
      <c r="AA261" s="178" t="s">
        <v>3431</v>
      </c>
      <c r="AB261" t="s">
        <v>4589</v>
      </c>
      <c r="AH261"/>
      <c r="AI261"/>
    </row>
    <row r="262" spans="2:35">
      <c r="B262" s="182" t="str">
        <f t="shared" si="24"/>
        <v>AVENTOS HK TOP</v>
      </c>
      <c r="M262" s="133" t="s">
        <v>886</v>
      </c>
      <c r="N262" s="133" t="s">
        <v>886</v>
      </c>
      <c r="O262" s="133" t="s">
        <v>886</v>
      </c>
      <c r="P262" s="133" t="s">
        <v>886</v>
      </c>
      <c r="Q262" s="133" t="s">
        <v>886</v>
      </c>
      <c r="R262" s="320" t="s">
        <v>886</v>
      </c>
      <c r="AA262" s="178" t="s">
        <v>3432</v>
      </c>
      <c r="AB262" t="s">
        <v>4590</v>
      </c>
      <c r="AH262"/>
      <c r="AI262"/>
    </row>
    <row r="263" spans="2:35">
      <c r="B263" s="182" t="str">
        <f t="shared" si="24"/>
        <v>AVENTOS HKS</v>
      </c>
      <c r="M263" s="133" t="s">
        <v>54</v>
      </c>
      <c r="N263" s="133" t="s">
        <v>54</v>
      </c>
      <c r="O263" s="133" t="s">
        <v>54</v>
      </c>
      <c r="P263" s="133" t="s">
        <v>1257</v>
      </c>
      <c r="Q263" s="133" t="s">
        <v>54</v>
      </c>
      <c r="R263" s="320" t="s">
        <v>54</v>
      </c>
      <c r="AA263" s="179" t="s">
        <v>4560</v>
      </c>
      <c r="AB263" t="s">
        <v>4591</v>
      </c>
      <c r="AH263"/>
      <c r="AI263"/>
    </row>
    <row r="264" spans="2:35">
      <c r="B264" s="182" t="str">
        <f t="shared" si="24"/>
        <v>AVENTOS HL</v>
      </c>
      <c r="M264" s="133" t="s">
        <v>55</v>
      </c>
      <c r="N264" s="133" t="s">
        <v>55</v>
      </c>
      <c r="O264" s="133" t="s">
        <v>55</v>
      </c>
      <c r="P264" s="133" t="s">
        <v>55</v>
      </c>
      <c r="Q264" s="133" t="s">
        <v>55</v>
      </c>
      <c r="R264" s="320" t="s">
        <v>55</v>
      </c>
      <c r="AA264" s="179" t="s">
        <v>4454</v>
      </c>
      <c r="AB264" t="s">
        <v>4433</v>
      </c>
      <c r="AH264"/>
      <c r="AI264"/>
    </row>
    <row r="265" spans="2:35">
      <c r="B265" s="182" t="str">
        <f t="shared" si="24"/>
        <v>AVENTOS HS</v>
      </c>
      <c r="M265" s="133" t="s">
        <v>56</v>
      </c>
      <c r="N265" s="133" t="s">
        <v>56</v>
      </c>
      <c r="O265" s="133" t="s">
        <v>56</v>
      </c>
      <c r="P265" s="133" t="s">
        <v>56</v>
      </c>
      <c r="Q265" s="133" t="s">
        <v>56</v>
      </c>
      <c r="R265" s="320" t="s">
        <v>56</v>
      </c>
      <c r="AA265" s="179" t="s">
        <v>3433</v>
      </c>
      <c r="AB265" t="s">
        <v>4592</v>
      </c>
      <c r="AH265"/>
      <c r="AI265"/>
    </row>
    <row r="266" spans="2:35">
      <c r="B266" s="182" t="str">
        <f t="shared" si="24"/>
        <v>AVENTOS HK-XS</v>
      </c>
      <c r="M266" s="133" t="s">
        <v>568</v>
      </c>
      <c r="N266" s="133" t="s">
        <v>568</v>
      </c>
      <c r="O266" s="133" t="s">
        <v>568</v>
      </c>
      <c r="P266" s="133" t="s">
        <v>568</v>
      </c>
      <c r="Q266" s="133" t="s">
        <v>568</v>
      </c>
      <c r="R266" s="320" t="s">
        <v>568</v>
      </c>
      <c r="AA266" s="179" t="s">
        <v>3434</v>
      </c>
      <c r="AB266" t="s">
        <v>556</v>
      </c>
      <c r="AH266"/>
      <c r="AI266"/>
    </row>
    <row r="267" spans="2:35">
      <c r="B267" s="182" t="str">
        <f t="shared" si="24"/>
        <v>AVENTOS HK-XS TIP-ON</v>
      </c>
      <c r="M267" s="133" t="s">
        <v>582</v>
      </c>
      <c r="N267" s="133" t="s">
        <v>582</v>
      </c>
      <c r="O267" s="133" t="s">
        <v>582</v>
      </c>
      <c r="P267" s="133" t="s">
        <v>582</v>
      </c>
      <c r="Q267" s="133" t="s">
        <v>582</v>
      </c>
      <c r="R267" s="320" t="s">
        <v>582</v>
      </c>
      <c r="AA267" s="179" t="s">
        <v>3435</v>
      </c>
      <c r="AB267" t="s">
        <v>4593</v>
      </c>
      <c r="AH267"/>
      <c r="AI267"/>
    </row>
    <row r="268" spans="2:35">
      <c r="B268" s="182" t="str">
        <f t="shared" si="24"/>
        <v>FGV</v>
      </c>
      <c r="M268" s="133" t="s">
        <v>1</v>
      </c>
      <c r="N268" s="133" t="s">
        <v>1</v>
      </c>
      <c r="O268" s="133" t="s">
        <v>1</v>
      </c>
      <c r="P268" s="133" t="s">
        <v>1</v>
      </c>
      <c r="Q268" s="133" t="s">
        <v>1</v>
      </c>
      <c r="R268" s="320" t="s">
        <v>1</v>
      </c>
      <c r="AA268" s="178" t="s">
        <v>3436</v>
      </c>
      <c r="AB268" t="s">
        <v>4594</v>
      </c>
    </row>
    <row r="269" spans="2:35">
      <c r="B269" s="182" t="str">
        <f t="shared" si="24"/>
        <v>BLUM</v>
      </c>
      <c r="M269" s="133" t="s">
        <v>2</v>
      </c>
      <c r="N269" s="133" t="s">
        <v>2</v>
      </c>
      <c r="O269" s="133" t="s">
        <v>2</v>
      </c>
      <c r="P269" s="133" t="s">
        <v>2</v>
      </c>
      <c r="Q269" s="133" t="s">
        <v>2</v>
      </c>
      <c r="R269" s="320" t="s">
        <v>2</v>
      </c>
      <c r="AA269" s="179" t="s">
        <v>4457</v>
      </c>
      <c r="AB269" t="s">
        <v>4445</v>
      </c>
    </row>
    <row r="270" spans="2:35">
      <c r="B270" s="182" t="str">
        <f t="shared" si="24"/>
        <v>STRONG bez tlumení</v>
      </c>
      <c r="M270" s="133" t="s">
        <v>638</v>
      </c>
      <c r="N270" s="133" t="s">
        <v>848</v>
      </c>
      <c r="O270" s="133" t="s">
        <v>849</v>
      </c>
      <c r="P270" s="133" t="s">
        <v>850</v>
      </c>
      <c r="Q270" s="133" t="s">
        <v>1490</v>
      </c>
      <c r="R270" s="318" t="s">
        <v>3836</v>
      </c>
      <c r="AA270" s="178" t="s">
        <v>3437</v>
      </c>
      <c r="AB270" t="s">
        <v>4595</v>
      </c>
    </row>
    <row r="271" spans="2:35">
      <c r="B271" s="182" t="str">
        <f t="shared" si="24"/>
        <v>HETTICH</v>
      </c>
      <c r="M271" s="133" t="s">
        <v>567</v>
      </c>
      <c r="N271" s="133" t="s">
        <v>567</v>
      </c>
      <c r="O271" s="133" t="s">
        <v>567</v>
      </c>
      <c r="P271" s="133" t="s">
        <v>567</v>
      </c>
      <c r="Q271" s="133" t="s">
        <v>567</v>
      </c>
      <c r="R271" s="320" t="s">
        <v>567</v>
      </c>
      <c r="AA271" s="178" t="s">
        <v>3438</v>
      </c>
      <c r="AB271" t="s">
        <v>4596</v>
      </c>
    </row>
    <row r="272" spans="2:35">
      <c r="B272" s="182" t="str">
        <f t="shared" si="24"/>
        <v xml:space="preserve">Vyplňte pouze pokud nebude vrtání symetricky na střed </v>
      </c>
      <c r="M272" s="175" t="s">
        <v>271</v>
      </c>
      <c r="N272" s="133" t="s">
        <v>342</v>
      </c>
      <c r="O272" s="133" t="s">
        <v>346</v>
      </c>
      <c r="P272" s="133" t="s">
        <v>351</v>
      </c>
      <c r="Q272" s="133" t="s">
        <v>1483</v>
      </c>
      <c r="R272" s="318" t="s">
        <v>3822</v>
      </c>
      <c r="AA272" s="178" t="s">
        <v>4565</v>
      </c>
      <c r="AB272" t="s">
        <v>4597</v>
      </c>
    </row>
    <row r="273" spans="2:28">
      <c r="B273" s="182" t="str">
        <f t="shared" si="24"/>
        <v>Posuvné rámečky</v>
      </c>
      <c r="M273" s="175" t="s">
        <v>7</v>
      </c>
      <c r="N273" s="133" t="s">
        <v>343</v>
      </c>
      <c r="O273" s="133" t="s">
        <v>506</v>
      </c>
      <c r="P273" s="133" t="s">
        <v>507</v>
      </c>
      <c r="Q273" s="133" t="s">
        <v>913</v>
      </c>
      <c r="R273" s="318" t="s">
        <v>3837</v>
      </c>
      <c r="AA273" s="178" t="s">
        <v>3439</v>
      </c>
      <c r="AB273" t="s">
        <v>4598</v>
      </c>
    </row>
    <row r="274" spans="2:28">
      <c r="B274" s="182" t="str">
        <f t="shared" si="24"/>
        <v>Standardně je objednávka dodána včetně kování a vodících profilů</v>
      </c>
      <c r="M274" s="175" t="s">
        <v>148</v>
      </c>
      <c r="N274" s="133" t="s">
        <v>336</v>
      </c>
      <c r="O274" s="133" t="s">
        <v>374</v>
      </c>
      <c r="P274" s="133" t="s">
        <v>1258</v>
      </c>
      <c r="Q274" s="133" t="s">
        <v>1491</v>
      </c>
      <c r="R274" s="318" t="s">
        <v>3838</v>
      </c>
      <c r="AA274" s="178" t="s">
        <v>3440</v>
      </c>
      <c r="AB274" t="s">
        <v>4599</v>
      </c>
    </row>
    <row r="275" spans="2:28">
      <c r="B275" s="182" t="str">
        <f t="shared" si="24"/>
        <v xml:space="preserve">Vnitřní rozměr skříňky (mm)  </v>
      </c>
      <c r="M275" s="175" t="s">
        <v>339</v>
      </c>
      <c r="N275" s="133" t="s">
        <v>337</v>
      </c>
      <c r="O275" s="133" t="s">
        <v>347</v>
      </c>
      <c r="P275" s="133" t="s">
        <v>352</v>
      </c>
      <c r="Q275" s="133" t="s">
        <v>1363</v>
      </c>
      <c r="R275" s="318" t="s">
        <v>3839</v>
      </c>
      <c r="AA275" s="178" t="s">
        <v>3441</v>
      </c>
      <c r="AB275" t="s">
        <v>4600</v>
      </c>
    </row>
    <row r="276" spans="2:28">
      <c r="B276" s="182" t="str">
        <f t="shared" si="24"/>
        <v>Počet dvířek</v>
      </c>
      <c r="M276" s="175" t="s">
        <v>147</v>
      </c>
      <c r="N276" s="133" t="s">
        <v>338</v>
      </c>
      <c r="O276" s="133" t="s">
        <v>1307</v>
      </c>
      <c r="P276" s="133" t="s">
        <v>353</v>
      </c>
      <c r="Q276" s="133" t="s">
        <v>914</v>
      </c>
      <c r="R276" s="318" t="s">
        <v>3840</v>
      </c>
      <c r="AA276" s="178" t="s">
        <v>3442</v>
      </c>
      <c r="AB276" t="s">
        <v>4601</v>
      </c>
    </row>
    <row r="277" spans="2:28">
      <c r="B277" s="182" t="str">
        <f t="shared" si="24"/>
        <v>Zde jsou uvedeny standardní přesahy dvířek</v>
      </c>
      <c r="M277" s="175" t="s">
        <v>461</v>
      </c>
      <c r="N277" s="155" t="s">
        <v>340</v>
      </c>
      <c r="O277" s="133" t="s">
        <v>462</v>
      </c>
      <c r="P277" s="133" t="s">
        <v>1259</v>
      </c>
      <c r="Q277" s="133" t="s">
        <v>1364</v>
      </c>
      <c r="R277" s="318" t="s">
        <v>3841</v>
      </c>
      <c r="AA277" s="178" t="s">
        <v>3443</v>
      </c>
      <c r="AB277" t="s">
        <v>4602</v>
      </c>
    </row>
    <row r="278" spans="2:28">
      <c r="B278" s="182" t="str">
        <f t="shared" si="24"/>
        <v>barva</v>
      </c>
      <c r="M278" s="175" t="s">
        <v>126</v>
      </c>
      <c r="N278" s="133" t="s">
        <v>341</v>
      </c>
      <c r="O278" s="133" t="s">
        <v>348</v>
      </c>
      <c r="P278" s="133" t="s">
        <v>354</v>
      </c>
      <c r="Q278" s="133" t="s">
        <v>1365</v>
      </c>
      <c r="R278" s="318" t="s">
        <v>3842</v>
      </c>
      <c r="AA278" s="178" t="s">
        <v>3444</v>
      </c>
      <c r="AB278" t="s">
        <v>4603</v>
      </c>
    </row>
    <row r="279" spans="2:28">
      <c r="B279" s="182" t="str">
        <f t="shared" si="24"/>
        <v>Objednávka ALU</v>
      </c>
      <c r="M279" s="175" t="s">
        <v>334</v>
      </c>
      <c r="N279" s="133" t="s">
        <v>334</v>
      </c>
      <c r="O279" s="133" t="s">
        <v>349</v>
      </c>
      <c r="P279" s="133" t="s">
        <v>355</v>
      </c>
      <c r="Q279" s="133" t="s">
        <v>1366</v>
      </c>
      <c r="R279" s="318" t="s">
        <v>3843</v>
      </c>
      <c r="AA279" s="178" t="s">
        <v>3445</v>
      </c>
      <c r="AB279" t="s">
        <v>4604</v>
      </c>
    </row>
    <row r="280" spans="2:28">
      <c r="B280" s="182" t="str">
        <f t="shared" si="24"/>
        <v>Posuvné rámečky</v>
      </c>
      <c r="M280" s="175" t="s">
        <v>7</v>
      </c>
      <c r="N280" s="133" t="s">
        <v>343</v>
      </c>
      <c r="O280" s="133" t="s">
        <v>506</v>
      </c>
      <c r="P280" s="133" t="s">
        <v>507</v>
      </c>
      <c r="Q280" s="133" t="s">
        <v>913</v>
      </c>
      <c r="R280" s="318" t="s">
        <v>3837</v>
      </c>
      <c r="AA280" s="178" t="s">
        <v>3446</v>
      </c>
      <c r="AB280" t="s">
        <v>4605</v>
      </c>
    </row>
    <row r="281" spans="2:28">
      <c r="B281" s="182" t="str">
        <f t="shared" si="24"/>
        <v>Barvy LACOBEL A MATELAC</v>
      </c>
      <c r="M281" s="175" t="s">
        <v>335</v>
      </c>
      <c r="N281" s="133" t="s">
        <v>344</v>
      </c>
      <c r="O281" s="133" t="s">
        <v>350</v>
      </c>
      <c r="P281" s="133" t="s">
        <v>356</v>
      </c>
      <c r="Q281" s="133" t="s">
        <v>1492</v>
      </c>
      <c r="R281" s="318" t="s">
        <v>3844</v>
      </c>
      <c r="AA281" s="178" t="s">
        <v>3447</v>
      </c>
      <c r="AB281" t="s">
        <v>4606</v>
      </c>
    </row>
    <row r="282" spans="2:28">
      <c r="B282" s="182" t="str">
        <f t="shared" si="24"/>
        <v>20L3200</v>
      </c>
      <c r="M282" s="195" t="s">
        <v>357</v>
      </c>
      <c r="N282" s="195" t="s">
        <v>357</v>
      </c>
      <c r="O282" s="133" t="s">
        <v>357</v>
      </c>
      <c r="P282" s="133" t="s">
        <v>357</v>
      </c>
      <c r="Q282" s="133" t="s">
        <v>357</v>
      </c>
      <c r="R282" s="321" t="s">
        <v>357</v>
      </c>
      <c r="AA282" s="177" t="s">
        <v>3448</v>
      </c>
      <c r="AB282" t="s">
        <v>4607</v>
      </c>
    </row>
    <row r="283" spans="2:28">
      <c r="B283" s="182" t="str">
        <f t="shared" si="24"/>
        <v>20L3500</v>
      </c>
      <c r="M283" s="195" t="s">
        <v>358</v>
      </c>
      <c r="N283" s="195" t="s">
        <v>358</v>
      </c>
      <c r="O283" s="133" t="s">
        <v>358</v>
      </c>
      <c r="P283" s="133" t="s">
        <v>358</v>
      </c>
      <c r="Q283" s="133" t="s">
        <v>358</v>
      </c>
      <c r="R283" s="321" t="s">
        <v>358</v>
      </c>
      <c r="AA283" s="178" t="s">
        <v>4398</v>
      </c>
      <c r="AB283" t="s">
        <v>4418</v>
      </c>
    </row>
    <row r="284" spans="2:28">
      <c r="B284" s="182" t="str">
        <f t="shared" si="24"/>
        <v>20L3800</v>
      </c>
      <c r="M284" s="195" t="s">
        <v>359</v>
      </c>
      <c r="N284" s="195" t="s">
        <v>359</v>
      </c>
      <c r="O284" s="133" t="s">
        <v>359</v>
      </c>
      <c r="P284" s="133" t="s">
        <v>359</v>
      </c>
      <c r="Q284" s="133" t="s">
        <v>359</v>
      </c>
      <c r="R284" s="321" t="s">
        <v>359</v>
      </c>
      <c r="AA284" s="178" t="s">
        <v>4404</v>
      </c>
      <c r="AB284" t="s">
        <v>4608</v>
      </c>
    </row>
    <row r="285" spans="2:28">
      <c r="B285" s="182" t="str">
        <f t="shared" si="24"/>
        <v>20L3900</v>
      </c>
      <c r="M285" s="195" t="s">
        <v>360</v>
      </c>
      <c r="N285" s="195" t="s">
        <v>360</v>
      </c>
      <c r="O285" s="133" t="s">
        <v>360</v>
      </c>
      <c r="P285" s="133" t="s">
        <v>360</v>
      </c>
      <c r="Q285" s="133" t="s">
        <v>360</v>
      </c>
      <c r="R285" s="321" t="s">
        <v>360</v>
      </c>
      <c r="AA285" s="179" t="s">
        <v>4423</v>
      </c>
      <c r="AB285" t="s">
        <v>4609</v>
      </c>
    </row>
    <row r="286" spans="2:28">
      <c r="B286" s="182" t="str">
        <f t="shared" si="24"/>
        <v>Typ ramene</v>
      </c>
      <c r="M286" s="195" t="s">
        <v>361</v>
      </c>
      <c r="N286" s="195" t="s">
        <v>364</v>
      </c>
      <c r="O286" s="133" t="s">
        <v>365</v>
      </c>
      <c r="P286" s="133" t="s">
        <v>366</v>
      </c>
      <c r="Q286" s="133" t="s">
        <v>1493</v>
      </c>
      <c r="R286" s="318" t="s">
        <v>3845</v>
      </c>
      <c r="AA286" s="178" t="s">
        <v>4409</v>
      </c>
      <c r="AB286" t="s">
        <v>4419</v>
      </c>
    </row>
    <row r="287" spans="2:28">
      <c r="B287" s="182" t="str">
        <f t="shared" si="24"/>
        <v>Hmotnost úchytky (g)</v>
      </c>
      <c r="M287" s="195" t="s">
        <v>362</v>
      </c>
      <c r="N287" s="195" t="s">
        <v>367</v>
      </c>
      <c r="O287" s="133" t="s">
        <v>368</v>
      </c>
      <c r="P287" s="133" t="s">
        <v>369</v>
      </c>
      <c r="Q287" s="133" t="s">
        <v>915</v>
      </c>
      <c r="R287" s="318" t="s">
        <v>3846</v>
      </c>
      <c r="AA287" s="178" t="s">
        <v>4415</v>
      </c>
      <c r="AB287" t="s">
        <v>4420</v>
      </c>
    </row>
    <row r="288" spans="2:28">
      <c r="B288" s="182" t="str">
        <f t="shared" si="24"/>
        <v>Typy profilů</v>
      </c>
      <c r="M288" s="195" t="s">
        <v>363</v>
      </c>
      <c r="N288" s="133" t="s">
        <v>370</v>
      </c>
      <c r="O288" s="133" t="s">
        <v>371</v>
      </c>
      <c r="P288" s="133" t="s">
        <v>372</v>
      </c>
      <c r="Q288" s="133" t="s">
        <v>1494</v>
      </c>
      <c r="R288" s="318" t="s">
        <v>3847</v>
      </c>
      <c r="AA288" s="178" t="s">
        <v>4468</v>
      </c>
      <c r="AB288" t="s">
        <v>4610</v>
      </c>
    </row>
    <row r="289" spans="2:28">
      <c r="B289" s="182" t="str">
        <f t="shared" si="24"/>
        <v>AVENTOS HF Servo Drive</v>
      </c>
      <c r="M289" s="175" t="s">
        <v>409</v>
      </c>
      <c r="N289" s="175" t="s">
        <v>409</v>
      </c>
      <c r="O289" s="133" t="s">
        <v>409</v>
      </c>
      <c r="P289" s="133" t="s">
        <v>409</v>
      </c>
      <c r="Q289" s="133" t="s">
        <v>409</v>
      </c>
      <c r="R289" s="319" t="s">
        <v>409</v>
      </c>
      <c r="AA289" s="178" t="s">
        <v>4471</v>
      </c>
      <c r="AB289" t="s">
        <v>4611</v>
      </c>
    </row>
    <row r="290" spans="2:28">
      <c r="B290" s="182" t="str">
        <f t="shared" si="24"/>
        <v>AVENTOS HK TOP TIP ON</v>
      </c>
      <c r="M290" s="175" t="s">
        <v>888</v>
      </c>
      <c r="N290" s="175" t="s">
        <v>888</v>
      </c>
      <c r="O290" s="133" t="s">
        <v>888</v>
      </c>
      <c r="P290" s="133" t="s">
        <v>888</v>
      </c>
      <c r="Q290" s="133" t="s">
        <v>888</v>
      </c>
      <c r="R290" s="319" t="s">
        <v>888</v>
      </c>
      <c r="AA290" s="178" t="s">
        <v>4469</v>
      </c>
      <c r="AB290" t="s">
        <v>4612</v>
      </c>
    </row>
    <row r="291" spans="2:28">
      <c r="B291" s="182" t="str">
        <f t="shared" si="24"/>
        <v>AVENTOS HKS TIP ON</v>
      </c>
      <c r="M291" s="175" t="s">
        <v>410</v>
      </c>
      <c r="N291" s="175" t="s">
        <v>410</v>
      </c>
      <c r="O291" s="133" t="s">
        <v>410</v>
      </c>
      <c r="P291" s="133" t="s">
        <v>1260</v>
      </c>
      <c r="Q291" s="133" t="s">
        <v>410</v>
      </c>
      <c r="R291" s="319" t="s">
        <v>410</v>
      </c>
      <c r="AA291" s="178" t="s">
        <v>4484</v>
      </c>
      <c r="AB291" t="s">
        <v>4613</v>
      </c>
    </row>
    <row r="292" spans="2:28">
      <c r="B292" s="182" t="str">
        <f t="shared" si="24"/>
        <v>AVENTOS HK TOP Servo Drive</v>
      </c>
      <c r="M292" s="175" t="s">
        <v>887</v>
      </c>
      <c r="N292" s="175" t="s">
        <v>887</v>
      </c>
      <c r="O292" s="133" t="s">
        <v>887</v>
      </c>
      <c r="P292" s="133" t="s">
        <v>887</v>
      </c>
      <c r="Q292" s="133" t="s">
        <v>887</v>
      </c>
      <c r="R292" s="319" t="s">
        <v>887</v>
      </c>
      <c r="AA292" s="178" t="s">
        <v>4483</v>
      </c>
      <c r="AB292" t="s">
        <v>4614</v>
      </c>
    </row>
    <row r="293" spans="2:28">
      <c r="B293" s="182" t="str">
        <f t="shared" si="24"/>
        <v>AVENTOS HL Servo Drive</v>
      </c>
      <c r="M293" s="175" t="s">
        <v>411</v>
      </c>
      <c r="N293" s="175" t="s">
        <v>411</v>
      </c>
      <c r="O293" s="133" t="s">
        <v>411</v>
      </c>
      <c r="P293" s="133" t="s">
        <v>411</v>
      </c>
      <c r="Q293" s="133" t="s">
        <v>411</v>
      </c>
      <c r="R293" s="319" t="s">
        <v>411</v>
      </c>
      <c r="AA293" s="34" t="s">
        <v>3449</v>
      </c>
      <c r="AB293" t="s">
        <v>4615</v>
      </c>
    </row>
    <row r="294" spans="2:28">
      <c r="B294" s="182" t="str">
        <f t="shared" si="24"/>
        <v>AVENTOS HS Servo Drive</v>
      </c>
      <c r="M294" s="175" t="s">
        <v>412</v>
      </c>
      <c r="N294" s="175" t="s">
        <v>412</v>
      </c>
      <c r="O294" s="133" t="s">
        <v>412</v>
      </c>
      <c r="P294" s="133" t="s">
        <v>412</v>
      </c>
      <c r="Q294" s="133" t="s">
        <v>412</v>
      </c>
      <c r="R294" s="319" t="s">
        <v>412</v>
      </c>
      <c r="AA294" s="34" t="s">
        <v>3450</v>
      </c>
      <c r="AB294" t="s">
        <v>4616</v>
      </c>
    </row>
    <row r="295" spans="2:28">
      <c r="B295" s="182" t="str">
        <f t="shared" si="24"/>
        <v>Spodní</v>
      </c>
      <c r="M295" s="175" t="s">
        <v>414</v>
      </c>
      <c r="N295" s="133" t="s">
        <v>426</v>
      </c>
      <c r="O295" s="133" t="s">
        <v>427</v>
      </c>
      <c r="P295" s="133" t="s">
        <v>428</v>
      </c>
      <c r="Q295" s="133" t="s">
        <v>1367</v>
      </c>
      <c r="R295" s="318" t="s">
        <v>3848</v>
      </c>
      <c r="AA295" s="185" t="s">
        <v>3451</v>
      </c>
      <c r="AB295" t="s">
        <v>4617</v>
      </c>
    </row>
    <row r="296" spans="2:28">
      <c r="B296" s="182" t="str">
        <f t="shared" si="24"/>
        <v>Minimální vzdálenost umístění závěsů</v>
      </c>
      <c r="M296" s="195" t="s">
        <v>430</v>
      </c>
      <c r="N296" s="133" t="s">
        <v>473</v>
      </c>
      <c r="O296" s="133" t="s">
        <v>483</v>
      </c>
      <c r="P296" s="133" t="s">
        <v>484</v>
      </c>
      <c r="Q296" s="133" t="s">
        <v>1495</v>
      </c>
      <c r="R296" s="318" t="s">
        <v>3849</v>
      </c>
      <c r="AA296" s="185" t="s">
        <v>3452</v>
      </c>
      <c r="AB296" t="s">
        <v>4618</v>
      </c>
    </row>
    <row r="297" spans="2:28">
      <c r="B297" s="182" t="str">
        <f t="shared" si="24"/>
        <v>Naložený s integr. Blumotionem</v>
      </c>
      <c r="M297" s="175" t="s">
        <v>431</v>
      </c>
      <c r="N297" s="133" t="s">
        <v>474</v>
      </c>
      <c r="O297" s="133" t="s">
        <v>1308</v>
      </c>
      <c r="P297" s="133" t="s">
        <v>485</v>
      </c>
      <c r="Q297" s="133" t="s">
        <v>1496</v>
      </c>
      <c r="R297" s="318" t="s">
        <v>3850</v>
      </c>
      <c r="AA297" s="185" t="s">
        <v>3453</v>
      </c>
      <c r="AB297" t="s">
        <v>4619</v>
      </c>
    </row>
    <row r="298" spans="2:28">
      <c r="B298" s="182" t="str">
        <f t="shared" si="24"/>
        <v>Standardní vrtání otvorů pro závěsy u všech typů kování Aventos HF, je 100 mm od kraje.</v>
      </c>
      <c r="M298" s="193" t="s">
        <v>466</v>
      </c>
      <c r="N298" s="133" t="s">
        <v>475</v>
      </c>
      <c r="O298" s="133" t="s">
        <v>879</v>
      </c>
      <c r="P298" s="133" t="s">
        <v>1261</v>
      </c>
      <c r="Q298" s="133" t="s">
        <v>1368</v>
      </c>
      <c r="R298" s="318" t="s">
        <v>3851</v>
      </c>
      <c r="AA298" s="185" t="s">
        <v>3454</v>
      </c>
      <c r="AB298" t="s">
        <v>4620</v>
      </c>
    </row>
    <row r="299" spans="2:28">
      <c r="B299" s="182" t="str">
        <f t="shared" si="24"/>
        <v>Standardní průměr otvorů pro úchytky je ve skle 7 mm a v rámečku 5 mm (distanční podložky jsou součástí balení).</v>
      </c>
      <c r="M299" s="175" t="s">
        <v>435</v>
      </c>
      <c r="N299" s="133" t="s">
        <v>476</v>
      </c>
      <c r="O299" s="133" t="s">
        <v>486</v>
      </c>
      <c r="P299" s="133" t="s">
        <v>487</v>
      </c>
      <c r="Q299" s="133" t="s">
        <v>1369</v>
      </c>
      <c r="R299" s="318" t="s">
        <v>3852</v>
      </c>
      <c r="AA299" s="181" t="s">
        <v>2394</v>
      </c>
      <c r="AB299" s="185" t="s">
        <v>3053</v>
      </c>
    </row>
    <row r="300" spans="2:28">
      <c r="B300" s="182" t="str">
        <f t="shared" ref="B300:B363" si="25">IF($D$1=1,M300,IF($D$1=2,N300,IF($D$1=3,O300,IF($D$1=4,P300,IF($D$1=5,Q300,IF($D$1=6,R300,0))))))</f>
        <v xml:space="preserve">Pokud je váš požadavek jiný než je uvedeno výše, uveďte ho do poznámky. </v>
      </c>
      <c r="M300" s="175" t="s">
        <v>436</v>
      </c>
      <c r="N300" s="133" t="s">
        <v>477</v>
      </c>
      <c r="O300" s="133" t="s">
        <v>488</v>
      </c>
      <c r="P300" s="133" t="s">
        <v>489</v>
      </c>
      <c r="Q300" s="133" t="s">
        <v>1370</v>
      </c>
      <c r="R300" s="318" t="s">
        <v>3853</v>
      </c>
      <c r="AA300" s="181" t="s">
        <v>1232</v>
      </c>
      <c r="AB300" s="185" t="s">
        <v>3054</v>
      </c>
    </row>
    <row r="301" spans="2:28">
      <c r="B301" s="182" t="str">
        <f t="shared" si="25"/>
        <v>U určitých typů úchytek jsou závity pro šrouby zapuštěné a je nutné použít vhodné distanční podložky.</v>
      </c>
      <c r="M301" s="175" t="s">
        <v>440</v>
      </c>
      <c r="N301" s="133" t="s">
        <v>478</v>
      </c>
      <c r="O301" s="133" t="s">
        <v>1309</v>
      </c>
      <c r="P301" s="133" t="s">
        <v>873</v>
      </c>
      <c r="Q301" s="133" t="s">
        <v>1497</v>
      </c>
      <c r="R301" s="318" t="s">
        <v>3854</v>
      </c>
      <c r="AA301" s="181" t="s">
        <v>2395</v>
      </c>
      <c r="AB301" s="185" t="s">
        <v>3055</v>
      </c>
    </row>
    <row r="302" spans="2:28">
      <c r="B302" s="182" t="str">
        <f t="shared" si="25"/>
        <v>Reklamace spojené s poškozením nelze uplatnit, pokud byl rámeček již namontován.</v>
      </c>
      <c r="M302" s="175" t="s">
        <v>437</v>
      </c>
      <c r="N302" s="133" t="s">
        <v>479</v>
      </c>
      <c r="O302" s="133" t="s">
        <v>3498</v>
      </c>
      <c r="P302" s="133" t="s">
        <v>490</v>
      </c>
      <c r="Q302" s="133" t="s">
        <v>1498</v>
      </c>
      <c r="R302" s="318" t="s">
        <v>3855</v>
      </c>
      <c r="AA302" s="181" t="s">
        <v>2396</v>
      </c>
      <c r="AB302" s="185" t="s">
        <v>2392</v>
      </c>
    </row>
    <row r="303" spans="2:28">
      <c r="B303" s="182" t="str">
        <f t="shared" si="25"/>
        <v xml:space="preserve">Pro připevnění kování do ALU rámečku, je nutné používat vruty pro toto určené (např. kód 13681). </v>
      </c>
      <c r="M303" s="175" t="s">
        <v>438</v>
      </c>
      <c r="N303" s="133" t="s">
        <v>480</v>
      </c>
      <c r="O303" s="133" t="s">
        <v>880</v>
      </c>
      <c r="P303" s="133" t="s">
        <v>491</v>
      </c>
      <c r="Q303" s="133" t="s">
        <v>1499</v>
      </c>
      <c r="R303" s="318" t="s">
        <v>3856</v>
      </c>
      <c r="AA303" s="181" t="s">
        <v>1236</v>
      </c>
      <c r="AB303" s="185" t="s">
        <v>1235</v>
      </c>
    </row>
    <row r="304" spans="2:28">
      <c r="B304" s="182" t="str">
        <f t="shared" si="25"/>
        <v>Vždy používejte aktuální verzi formuláře, který je dostupný na našich stránkách.</v>
      </c>
      <c r="M304" s="175" t="s">
        <v>2644</v>
      </c>
      <c r="N304" s="133" t="s">
        <v>481</v>
      </c>
      <c r="O304" s="133" t="s">
        <v>3493</v>
      </c>
      <c r="P304" s="133" t="s">
        <v>1262</v>
      </c>
      <c r="Q304" s="133" t="s">
        <v>1500</v>
      </c>
      <c r="R304" s="318" t="s">
        <v>3857</v>
      </c>
      <c r="AA304" s="181" t="s">
        <v>1423</v>
      </c>
      <c r="AB304" s="185" t="s">
        <v>1422</v>
      </c>
    </row>
    <row r="305" spans="2:28">
      <c r="B305" s="182" t="str">
        <f t="shared" si="25"/>
        <v>Mezera mezi předěly musí být alespoň 100 mm.</v>
      </c>
      <c r="M305" s="175" t="s">
        <v>1203</v>
      </c>
      <c r="N305" s="133" t="s">
        <v>1205</v>
      </c>
      <c r="O305" s="133" t="s">
        <v>1310</v>
      </c>
      <c r="P305" s="133" t="s">
        <v>1204</v>
      </c>
      <c r="Q305" s="133" t="s">
        <v>1501</v>
      </c>
      <c r="R305" s="318" t="s">
        <v>3858</v>
      </c>
      <c r="AA305" s="202" t="s">
        <v>3041</v>
      </c>
      <c r="AB305" t="s">
        <v>554</v>
      </c>
    </row>
    <row r="306" spans="2:28">
      <c r="B306" s="182" t="str">
        <f t="shared" si="25"/>
        <v xml:space="preserve">Objednávka může obsahovat i více typů (rozměrů) rámečků najednou, přičemž se taková objednávka bere jako platná. Proto doporučujeme před odeslání zkontrolovat formulář, zda obsahuje pouze vámi požadované rámečky.     </v>
      </c>
      <c r="M306" s="175" t="s">
        <v>439</v>
      </c>
      <c r="N306" s="133" t="s">
        <v>492</v>
      </c>
      <c r="O306" s="133" t="s">
        <v>881</v>
      </c>
      <c r="P306" s="133" t="s">
        <v>493</v>
      </c>
      <c r="Q306" s="133" t="s">
        <v>1502</v>
      </c>
      <c r="R306" s="318" t="s">
        <v>3859</v>
      </c>
      <c r="AA306" s="202" t="s">
        <v>3097</v>
      </c>
      <c r="AB306" t="s">
        <v>4446</v>
      </c>
    </row>
    <row r="307" spans="2:28">
      <c r="B307" s="182" t="str">
        <f t="shared" si="25"/>
        <v>Formulář obsahuje několik listů, mezi kterými je možné se přepínat ve spodní části.</v>
      </c>
      <c r="M307" s="175" t="s">
        <v>441</v>
      </c>
      <c r="N307" s="133" t="s">
        <v>494</v>
      </c>
      <c r="O307" s="133" t="s">
        <v>495</v>
      </c>
      <c r="P307" s="133" t="s">
        <v>496</v>
      </c>
      <c r="Q307" s="133" t="s">
        <v>1503</v>
      </c>
      <c r="R307" s="318" t="s">
        <v>3860</v>
      </c>
      <c r="AA307" s="202" t="s">
        <v>3098</v>
      </c>
      <c r="AB307" t="s">
        <v>4447</v>
      </c>
    </row>
    <row r="308" spans="2:28">
      <c r="B308" s="182" t="str">
        <f t="shared" si="25"/>
        <v xml:space="preserve">Vyplňte prosím vaše kontaktní údaje a poté klikněte na požadované políčko níže. </v>
      </c>
      <c r="M308" s="175" t="s">
        <v>550</v>
      </c>
      <c r="N308" s="133" t="s">
        <v>497</v>
      </c>
      <c r="O308" s="133" t="s">
        <v>498</v>
      </c>
      <c r="P308" s="133" t="s">
        <v>499</v>
      </c>
      <c r="Q308" s="133" t="s">
        <v>1371</v>
      </c>
      <c r="R308" s="318" t="s">
        <v>3861</v>
      </c>
      <c r="AA308" s="202" t="s">
        <v>3365</v>
      </c>
      <c r="AB308" t="s">
        <v>4568</v>
      </c>
    </row>
    <row r="309" spans="2:28">
      <c r="B309" s="182" t="str">
        <f t="shared" si="25"/>
        <v>Vyplněním kontaktních údajů vyjadřujete současně souhlas, že jste se seznámil s informacemi uvedenými níže!</v>
      </c>
      <c r="M309" s="175" t="s">
        <v>464</v>
      </c>
      <c r="N309" s="133" t="s">
        <v>500</v>
      </c>
      <c r="O309" s="133" t="s">
        <v>501</v>
      </c>
      <c r="P309" s="133" t="s">
        <v>502</v>
      </c>
      <c r="Q309" s="133" t="s">
        <v>1504</v>
      </c>
      <c r="R309" s="318" t="s">
        <v>3862</v>
      </c>
      <c r="AA309" s="202" t="s">
        <v>3513</v>
      </c>
      <c r="AB309" t="s">
        <v>4448</v>
      </c>
    </row>
    <row r="310" spans="2:28">
      <c r="B310" s="182" t="str">
        <f t="shared" si="25"/>
        <v>Běžné rámečky</v>
      </c>
      <c r="M310" s="175" t="s">
        <v>442</v>
      </c>
      <c r="N310" s="133" t="s">
        <v>503</v>
      </c>
      <c r="O310" s="133" t="s">
        <v>504</v>
      </c>
      <c r="P310" s="133" t="s">
        <v>505</v>
      </c>
      <c r="Q310" s="133" t="s">
        <v>1406</v>
      </c>
      <c r="R310" s="318" t="s">
        <v>3863</v>
      </c>
      <c r="AA310" s="202" t="s">
        <v>3099</v>
      </c>
      <c r="AB310" t="s">
        <v>4449</v>
      </c>
    </row>
    <row r="311" spans="2:28">
      <c r="B311" s="182" t="str">
        <f t="shared" si="25"/>
        <v>Posuvné rámečky</v>
      </c>
      <c r="M311" s="175" t="s">
        <v>7</v>
      </c>
      <c r="N311" s="133" t="s">
        <v>343</v>
      </c>
      <c r="O311" s="133" t="s">
        <v>506</v>
      </c>
      <c r="P311" s="133" t="s">
        <v>507</v>
      </c>
      <c r="Q311" s="133" t="s">
        <v>913</v>
      </c>
      <c r="R311" s="318" t="s">
        <v>3837</v>
      </c>
      <c r="AA311" s="202" t="s">
        <v>3100</v>
      </c>
      <c r="AB311" t="s">
        <v>4450</v>
      </c>
    </row>
    <row r="312" spans="2:28">
      <c r="B312" s="182" t="str">
        <f t="shared" si="25"/>
        <v>Nákresy profilů a spoj. kování</v>
      </c>
      <c r="M312" s="175" t="s">
        <v>443</v>
      </c>
      <c r="N312" s="133" t="s">
        <v>2550</v>
      </c>
      <c r="O312" s="133" t="s">
        <v>508</v>
      </c>
      <c r="P312" s="133" t="s">
        <v>509</v>
      </c>
      <c r="Q312" s="133" t="s">
        <v>1505</v>
      </c>
      <c r="R312" s="318" t="s">
        <v>3864</v>
      </c>
      <c r="AA312" s="178" t="s">
        <v>3466</v>
      </c>
      <c r="AB312" t="s">
        <v>1603</v>
      </c>
    </row>
    <row r="313" spans="2:28">
      <c r="B313" s="182" t="str">
        <f t="shared" si="25"/>
        <v>Maximální doporučený rozměr rámečku je 2500 x 1250 mm (v případě rámečků s nalepeným sklem, např. Corleone 1500 x 600 mm)</v>
      </c>
      <c r="M313" s="175" t="s">
        <v>3092</v>
      </c>
      <c r="N313" s="133" t="s">
        <v>3093</v>
      </c>
      <c r="O313" s="133" t="s">
        <v>3094</v>
      </c>
      <c r="P313" s="133" t="s">
        <v>3095</v>
      </c>
      <c r="Q313" s="133" t="s">
        <v>3096</v>
      </c>
      <c r="R313" s="318" t="s">
        <v>3865</v>
      </c>
      <c r="AA313" s="202" t="s">
        <v>3101</v>
      </c>
      <c r="AB313" t="s">
        <v>4451</v>
      </c>
    </row>
    <row r="314" spans="2:28">
      <c r="B314" s="182" t="str">
        <f t="shared" si="25"/>
        <v xml:space="preserve">Na požadavek zákazníka, je možné dodat rámečky s maximální délkou profilu 3m. Maximální rozměr skla je v tomto případě 2500 x 1300 mm. </v>
      </c>
      <c r="M314" s="175" t="s">
        <v>551</v>
      </c>
      <c r="N314" s="133" t="s">
        <v>510</v>
      </c>
      <c r="O314" s="133" t="s">
        <v>1311</v>
      </c>
      <c r="P314" s="133" t="s">
        <v>511</v>
      </c>
      <c r="Q314" s="133" t="s">
        <v>1372</v>
      </c>
      <c r="R314" s="318" t="s">
        <v>3866</v>
      </c>
      <c r="AA314" s="202" t="s">
        <v>4438</v>
      </c>
      <c r="AB314" t="s">
        <v>4569</v>
      </c>
    </row>
    <row r="315" spans="2:28">
      <c r="B315" s="182" t="str">
        <f t="shared" si="25"/>
        <v>Všechny skla Lacobel a Matelac je možné podlepit bezpečnostní fólií (v případě potřeby uveďte do poznámky)</v>
      </c>
      <c r="M315" s="175" t="s">
        <v>444</v>
      </c>
      <c r="N315" s="133" t="s">
        <v>512</v>
      </c>
      <c r="O315" s="133" t="s">
        <v>1312</v>
      </c>
      <c r="P315" s="133" t="s">
        <v>1263</v>
      </c>
      <c r="Q315" s="133" t="s">
        <v>1373</v>
      </c>
      <c r="R315" s="318" t="s">
        <v>3867</v>
      </c>
      <c r="AA315" s="202" t="s">
        <v>4431</v>
      </c>
      <c r="AB315" t="s">
        <v>4443</v>
      </c>
    </row>
    <row r="316" spans="2:28">
      <c r="B316" s="182" t="str">
        <f t="shared" si="25"/>
        <v xml:space="preserve">Vyplněnou objednávku zašlete na adresu </v>
      </c>
      <c r="M316" s="175" t="s">
        <v>445</v>
      </c>
      <c r="N316" s="133" t="s">
        <v>513</v>
      </c>
      <c r="O316" s="133" t="s">
        <v>3497</v>
      </c>
      <c r="P316" s="133" t="s">
        <v>514</v>
      </c>
      <c r="Q316" s="133" t="s">
        <v>1374</v>
      </c>
      <c r="R316" s="318" t="s">
        <v>3868</v>
      </c>
      <c r="AA316" s="202" t="s">
        <v>3369</v>
      </c>
      <c r="AB316" t="s">
        <v>555</v>
      </c>
    </row>
    <row r="317" spans="2:28">
      <c r="B317" s="182" t="str">
        <f t="shared" si="25"/>
        <v>objednavky@demos-trade.com</v>
      </c>
      <c r="M317" s="196" t="s">
        <v>448</v>
      </c>
      <c r="N317" s="133" t="s">
        <v>3138</v>
      </c>
      <c r="O317" s="133" t="s">
        <v>446</v>
      </c>
      <c r="P317" s="133" t="s">
        <v>447</v>
      </c>
      <c r="Q317" s="133" t="s">
        <v>1375</v>
      </c>
      <c r="R317" s="133" t="s">
        <v>917</v>
      </c>
      <c r="AA317" s="202" t="s">
        <v>3373</v>
      </c>
      <c r="AB317" t="s">
        <v>4570</v>
      </c>
    </row>
    <row r="318" spans="2:28">
      <c r="B318" s="182" t="str">
        <f t="shared" si="25"/>
        <v>Nákresy profilů</v>
      </c>
      <c r="M318" s="175" t="s">
        <v>449</v>
      </c>
      <c r="N318" s="133" t="s">
        <v>515</v>
      </c>
      <c r="O318" s="133" t="s">
        <v>516</v>
      </c>
      <c r="P318" s="133" t="s">
        <v>517</v>
      </c>
      <c r="Q318" s="133" t="s">
        <v>918</v>
      </c>
      <c r="R318" s="318" t="s">
        <v>3869</v>
      </c>
      <c r="AA318" s="202" t="s">
        <v>3377</v>
      </c>
      <c r="AB318" t="s">
        <v>4571</v>
      </c>
    </row>
    <row r="319" spans="2:28">
      <c r="B319" s="182" t="str">
        <f t="shared" si="25"/>
        <v>Sada kování na úzký rámeček H27AL (88630)</v>
      </c>
      <c r="M319" s="175" t="s">
        <v>450</v>
      </c>
      <c r="N319" s="133" t="s">
        <v>518</v>
      </c>
      <c r="O319" s="133" t="s">
        <v>519</v>
      </c>
      <c r="P319" s="133" t="s">
        <v>520</v>
      </c>
      <c r="Q319" s="133" t="s">
        <v>1376</v>
      </c>
      <c r="R319" s="318" t="s">
        <v>3870</v>
      </c>
      <c r="AA319" s="202" t="s">
        <v>3102</v>
      </c>
      <c r="AB319" t="s">
        <v>4572</v>
      </c>
    </row>
    <row r="320" spans="2:28">
      <c r="B320" s="182" t="str">
        <f t="shared" si="25"/>
        <v>Sada kování na široký rámeček H37AL (88631)</v>
      </c>
      <c r="M320" s="175" t="s">
        <v>451</v>
      </c>
      <c r="N320" s="133" t="s">
        <v>521</v>
      </c>
      <c r="O320" s="133" t="s">
        <v>522</v>
      </c>
      <c r="P320" s="133" t="s">
        <v>523</v>
      </c>
      <c r="Q320" s="133" t="s">
        <v>1377</v>
      </c>
      <c r="R320" s="318" t="s">
        <v>3871</v>
      </c>
      <c r="AA320" s="202" t="s">
        <v>3103</v>
      </c>
      <c r="AB320" t="s">
        <v>4573</v>
      </c>
    </row>
    <row r="321" spans="2:28">
      <c r="B321" s="182" t="str">
        <f t="shared" si="25"/>
        <v>Výška rámečku = světlá výška skříňky - 6 mm.</v>
      </c>
      <c r="M321" s="175" t="s">
        <v>3479</v>
      </c>
      <c r="N321" s="133" t="s">
        <v>3481</v>
      </c>
      <c r="O321" s="133" t="s">
        <v>3480</v>
      </c>
      <c r="P321" s="133" t="s">
        <v>3482</v>
      </c>
      <c r="Q321" s="133" t="s">
        <v>3483</v>
      </c>
      <c r="R321" s="318" t="s">
        <v>3872</v>
      </c>
      <c r="AA321" s="202" t="s">
        <v>3042</v>
      </c>
      <c r="AB321" t="s">
        <v>4574</v>
      </c>
    </row>
    <row r="322" spans="2:28">
      <c r="B322" s="182" t="str">
        <f t="shared" si="25"/>
        <v>Standardně jsou rámečky připraveny pro posuvné kování H27AL (nosnost 25 kg na rámeček) a H37AL (nosnost 35 kg na rámeček).</v>
      </c>
      <c r="M322" s="175" t="s">
        <v>1227</v>
      </c>
      <c r="N322" s="133" t="s">
        <v>1228</v>
      </c>
      <c r="O322" s="133" t="s">
        <v>1297</v>
      </c>
      <c r="P322" s="133" t="s">
        <v>1296</v>
      </c>
      <c r="Q322" s="133" t="s">
        <v>1378</v>
      </c>
      <c r="R322" s="318" t="s">
        <v>3873</v>
      </c>
      <c r="AA322" s="202" t="s">
        <v>3104</v>
      </c>
      <c r="AB322" t="s">
        <v>4575</v>
      </c>
    </row>
    <row r="323" spans="2:28">
      <c r="B323" s="182" t="str">
        <f t="shared" si="25"/>
        <v>Horní vedení délka 2 m (87313)</v>
      </c>
      <c r="M323" s="175" t="s">
        <v>452</v>
      </c>
      <c r="N323" s="133" t="s">
        <v>524</v>
      </c>
      <c r="O323" s="133" t="s">
        <v>525</v>
      </c>
      <c r="P323" s="133" t="s">
        <v>526</v>
      </c>
      <c r="Q323" s="133" t="s">
        <v>1506</v>
      </c>
      <c r="R323" s="318" t="s">
        <v>3874</v>
      </c>
      <c r="AA323" s="178" t="s">
        <v>3381</v>
      </c>
      <c r="AB323" t="s">
        <v>4576</v>
      </c>
    </row>
    <row r="324" spans="2:28">
      <c r="B324" s="182" t="str">
        <f t="shared" si="25"/>
        <v>Dolní vedení délka 2 m (87315)</v>
      </c>
      <c r="M324" s="175" t="s">
        <v>3139</v>
      </c>
      <c r="N324" s="133" t="s">
        <v>527</v>
      </c>
      <c r="O324" s="133" t="s">
        <v>528</v>
      </c>
      <c r="P324" s="133" t="s">
        <v>529</v>
      </c>
      <c r="Q324" s="133" t="s">
        <v>1507</v>
      </c>
      <c r="R324" s="318" t="s">
        <v>3875</v>
      </c>
      <c r="AA324" s="202" t="s">
        <v>3105</v>
      </c>
      <c r="AB324" t="s">
        <v>4577</v>
      </c>
    </row>
    <row r="325" spans="2:28">
      <c r="B325" s="182" t="str">
        <f t="shared" si="25"/>
        <v>Horní vedení délka 3 m (87312)</v>
      </c>
      <c r="M325" s="175" t="s">
        <v>453</v>
      </c>
      <c r="N325" s="133" t="s">
        <v>530</v>
      </c>
      <c r="O325" s="133" t="s">
        <v>531</v>
      </c>
      <c r="P325" s="133" t="s">
        <v>532</v>
      </c>
      <c r="Q325" s="133" t="s">
        <v>1508</v>
      </c>
      <c r="R325" s="318" t="s">
        <v>3876</v>
      </c>
      <c r="AA325" s="202" t="s">
        <v>4556</v>
      </c>
      <c r="AB325" t="s">
        <v>4444</v>
      </c>
    </row>
    <row r="326" spans="2:28">
      <c r="B326" s="182" t="str">
        <f t="shared" si="25"/>
        <v>Dolní vedení délka 3 m (87314)</v>
      </c>
      <c r="M326" s="175" t="s">
        <v>3140</v>
      </c>
      <c r="N326" s="133" t="s">
        <v>533</v>
      </c>
      <c r="O326" s="133" t="s">
        <v>534</v>
      </c>
      <c r="P326" s="133" t="s">
        <v>535</v>
      </c>
      <c r="Q326" s="133" t="s">
        <v>1509</v>
      </c>
      <c r="R326" s="318" t="s">
        <v>3877</v>
      </c>
      <c r="AA326" s="202" t="s">
        <v>3043</v>
      </c>
      <c r="AB326" t="s">
        <v>4578</v>
      </c>
    </row>
    <row r="327" spans="2:28">
      <c r="B327" s="182" t="str">
        <f t="shared" si="25"/>
        <v>Jiný požadavek (ks)</v>
      </c>
      <c r="M327" s="175" t="s">
        <v>460</v>
      </c>
      <c r="N327" s="133" t="s">
        <v>536</v>
      </c>
      <c r="O327" s="133" t="s">
        <v>537</v>
      </c>
      <c r="P327" s="133" t="s">
        <v>538</v>
      </c>
      <c r="Q327" s="133" t="s">
        <v>1510</v>
      </c>
      <c r="R327" s="318" t="s">
        <v>3878</v>
      </c>
      <c r="AA327" s="202" t="s">
        <v>3106</v>
      </c>
      <c r="AB327" t="s">
        <v>4579</v>
      </c>
    </row>
    <row r="328" spans="2:28">
      <c r="B328" s="182" t="str">
        <f t="shared" si="25"/>
        <v>Množství (ks)</v>
      </c>
      <c r="M328" s="175" t="s">
        <v>463</v>
      </c>
      <c r="N328" s="133" t="s">
        <v>539</v>
      </c>
      <c r="O328" s="133" t="s">
        <v>540</v>
      </c>
      <c r="P328" s="133" t="s">
        <v>541</v>
      </c>
      <c r="Q328" s="133" t="s">
        <v>1511</v>
      </c>
      <c r="R328" s="318" t="s">
        <v>3879</v>
      </c>
      <c r="AA328" s="202" t="s">
        <v>3044</v>
      </c>
      <c r="AB328" t="s">
        <v>4580</v>
      </c>
    </row>
    <row r="329" spans="2:28">
      <c r="B329" s="182" t="str">
        <f t="shared" si="25"/>
        <v>K nadrozměrným rámečkům (nad rozměr 1200 x 800 mm), může být účtován příplatek za speciální balení a dopravu (více informací u pracovníků Zákaznického servisu).</v>
      </c>
      <c r="M329" s="175" t="s">
        <v>2637</v>
      </c>
      <c r="N329" s="133" t="s">
        <v>542</v>
      </c>
      <c r="O329" s="133" t="s">
        <v>3506</v>
      </c>
      <c r="P329" s="133" t="s">
        <v>1264</v>
      </c>
      <c r="Q329" s="133" t="s">
        <v>1512</v>
      </c>
      <c r="R329" s="318" t="s">
        <v>3880</v>
      </c>
      <c r="AA329" s="202" t="s">
        <v>3385</v>
      </c>
      <c r="AB329" t="s">
        <v>4581</v>
      </c>
    </row>
    <row r="330" spans="2:28">
      <c r="B330" s="182" t="str">
        <f t="shared" si="25"/>
        <v xml:space="preserve">Vhodné rozměry rámečku pro konkrétní typ kování je nutné ověřit před zadáním do objednávky (Aventplan, katalog, …), formulář nemá nastaveny omezení. </v>
      </c>
      <c r="M330" s="175" t="s">
        <v>465</v>
      </c>
      <c r="N330" s="133" t="s">
        <v>543</v>
      </c>
      <c r="O330" s="133" t="s">
        <v>1313</v>
      </c>
      <c r="P330" s="133" t="s">
        <v>544</v>
      </c>
      <c r="Q330" s="133" t="s">
        <v>1379</v>
      </c>
      <c r="R330" s="318" t="s">
        <v>3881</v>
      </c>
      <c r="AA330" s="178" t="s">
        <v>3389</v>
      </c>
      <c r="AB330" t="s">
        <v>4582</v>
      </c>
    </row>
    <row r="331" spans="2:28">
      <c r="B331" s="182" t="str">
        <f t="shared" si="25"/>
        <v>Vzorkovník skel je možné objednat pod kódy Lacebel VZK003P a Matelac VZK004P.</v>
      </c>
      <c r="M331" s="175" t="s">
        <v>467</v>
      </c>
      <c r="N331" s="133" t="s">
        <v>546</v>
      </c>
      <c r="O331" s="133" t="s">
        <v>545</v>
      </c>
      <c r="P331" s="133" t="s">
        <v>1265</v>
      </c>
      <c r="Q331" s="133" t="s">
        <v>1380</v>
      </c>
      <c r="R331" s="318" t="s">
        <v>3882</v>
      </c>
      <c r="AA331" s="202" t="s">
        <v>3045</v>
      </c>
      <c r="AB331" t="s">
        <v>4583</v>
      </c>
    </row>
    <row r="332" spans="2:28">
      <c r="B332" s="182" t="str">
        <f t="shared" si="25"/>
        <v>Cena za posuvné rámečky je shodná jako cena za běžné rámečky.</v>
      </c>
      <c r="M332" s="175" t="s">
        <v>1229</v>
      </c>
      <c r="N332" s="133" t="s">
        <v>552</v>
      </c>
      <c r="O332" s="133" t="s">
        <v>1298</v>
      </c>
      <c r="P332" s="133" t="s">
        <v>1299</v>
      </c>
      <c r="Q332" s="133" t="s">
        <v>1381</v>
      </c>
      <c r="R332" s="318" t="s">
        <v>3883</v>
      </c>
      <c r="AA332" s="202" t="s">
        <v>3107</v>
      </c>
      <c r="AB332" t="s">
        <v>4584</v>
      </c>
    </row>
    <row r="333" spans="2:28">
      <c r="B333" s="182" t="str">
        <f t="shared" si="25"/>
        <v>Pokud je úchytka připevněna skrz sklo, je nutné vždy použít distanční podložku (např. 144516, 191970, C0315)</v>
      </c>
      <c r="M333" s="175" t="s">
        <v>882</v>
      </c>
      <c r="N333" s="133" t="s">
        <v>883</v>
      </c>
      <c r="O333" s="133" t="s">
        <v>884</v>
      </c>
      <c r="P333" s="133" t="s">
        <v>885</v>
      </c>
      <c r="Q333" s="133" t="s">
        <v>1410</v>
      </c>
      <c r="R333" s="318" t="s">
        <v>3884</v>
      </c>
      <c r="AA333" s="202" t="s">
        <v>3046</v>
      </c>
      <c r="AB333" t="s">
        <v>4585</v>
      </c>
    </row>
    <row r="334" spans="2:28">
      <c r="B334" s="182" t="str">
        <f t="shared" si="25"/>
        <v>Uvedené nákresy dvířek jsou znázorněny při pohledu z přední strany.</v>
      </c>
      <c r="M334" s="175" t="s">
        <v>559</v>
      </c>
      <c r="N334" s="133" t="s">
        <v>793</v>
      </c>
      <c r="O334" s="133" t="s">
        <v>1314</v>
      </c>
      <c r="P334" s="133" t="s">
        <v>1266</v>
      </c>
      <c r="Q334" s="133" t="s">
        <v>1382</v>
      </c>
      <c r="R334" s="318" t="s">
        <v>3885</v>
      </c>
      <c r="AA334" s="202" t="s">
        <v>3108</v>
      </c>
      <c r="AB334" t="s">
        <v>4586</v>
      </c>
    </row>
    <row r="335" spans="2:28">
      <c r="B335" s="182" t="str">
        <f t="shared" si="25"/>
        <v>Nadrozměrný rámeček, může být účtováno vyšší dopravné</v>
      </c>
      <c r="M335" s="175" t="s">
        <v>560</v>
      </c>
      <c r="N335" s="133" t="s">
        <v>561</v>
      </c>
      <c r="O335" s="133" t="s">
        <v>562</v>
      </c>
      <c r="P335" s="133" t="s">
        <v>563</v>
      </c>
      <c r="Q335" s="133" t="s">
        <v>1383</v>
      </c>
      <c r="R335" s="318" t="s">
        <v>3886</v>
      </c>
      <c r="AA335" s="202" t="s">
        <v>3109</v>
      </c>
      <c r="AB335" t="s">
        <v>4587</v>
      </c>
    </row>
    <row r="336" spans="2:28">
      <c r="B336" s="182" t="str">
        <f t="shared" si="25"/>
        <v>Umístění ramene</v>
      </c>
      <c r="M336" s="175" t="s">
        <v>581</v>
      </c>
      <c r="N336" s="133" t="s">
        <v>794</v>
      </c>
      <c r="O336" s="133" t="s">
        <v>1315</v>
      </c>
      <c r="P336" s="133" t="s">
        <v>795</v>
      </c>
      <c r="Q336" s="133" t="s">
        <v>1384</v>
      </c>
      <c r="R336" s="318" t="s">
        <v>3887</v>
      </c>
      <c r="AA336" s="202" t="s">
        <v>3110</v>
      </c>
      <c r="AB336" t="s">
        <v>4588</v>
      </c>
    </row>
    <row r="337" spans="2:28">
      <c r="B337" s="182" t="str">
        <f t="shared" si="25"/>
        <v>Maximální možný rozměr rámečku je 2500x1300mm</v>
      </c>
      <c r="M337" s="175" t="s">
        <v>648</v>
      </c>
      <c r="N337" s="133" t="s">
        <v>652</v>
      </c>
      <c r="O337" s="133" t="s">
        <v>653</v>
      </c>
      <c r="P337" s="133" t="s">
        <v>654</v>
      </c>
      <c r="Q337" s="133" t="s">
        <v>1513</v>
      </c>
      <c r="R337" s="318" t="s">
        <v>3888</v>
      </c>
      <c r="AA337" s="202" t="s">
        <v>3111</v>
      </c>
      <c r="AB337" t="s">
        <v>4589</v>
      </c>
    </row>
    <row r="338" spans="2:28">
      <c r="B338" s="182" t="str">
        <f t="shared" si="25"/>
        <v>Minimální vzdálenost závěsu od kraje rámečku je 70mm</v>
      </c>
      <c r="M338" s="175" t="s">
        <v>649</v>
      </c>
      <c r="N338" s="133" t="s">
        <v>655</v>
      </c>
      <c r="O338" s="133" t="s">
        <v>656</v>
      </c>
      <c r="P338" s="133" t="s">
        <v>657</v>
      </c>
      <c r="Q338" s="133" t="s">
        <v>1385</v>
      </c>
      <c r="R338" s="318" t="s">
        <v>3889</v>
      </c>
      <c r="AA338" s="202" t="s">
        <v>3047</v>
      </c>
      <c r="AB338" t="s">
        <v>4590</v>
      </c>
    </row>
    <row r="339" spans="2:28">
      <c r="B339" s="182" t="str">
        <f t="shared" si="25"/>
        <v>Minimální vzdálenost závěsu od kraje rámečku je 80mm</v>
      </c>
      <c r="M339" s="175" t="s">
        <v>650</v>
      </c>
      <c r="N339" s="133" t="s">
        <v>658</v>
      </c>
      <c r="O339" s="133" t="s">
        <v>659</v>
      </c>
      <c r="P339" s="133" t="s">
        <v>660</v>
      </c>
      <c r="Q339" s="133" t="s">
        <v>1386</v>
      </c>
      <c r="R339" s="318" t="s">
        <v>3890</v>
      </c>
      <c r="AA339" s="202" t="s">
        <v>4561</v>
      </c>
      <c r="AB339" t="s">
        <v>4591</v>
      </c>
    </row>
    <row r="340" spans="2:28">
      <c r="B340" s="182" t="str">
        <f t="shared" si="25"/>
        <v>Naložený clip</v>
      </c>
      <c r="M340" s="175" t="s">
        <v>64</v>
      </c>
      <c r="N340" s="133" t="s">
        <v>64</v>
      </c>
      <c r="O340" s="133" t="s">
        <v>216</v>
      </c>
      <c r="P340" s="133" t="s">
        <v>282</v>
      </c>
      <c r="Q340" s="133" t="s">
        <v>1448</v>
      </c>
      <c r="R340" s="318" t="s">
        <v>3770</v>
      </c>
      <c r="AA340" s="202" t="s">
        <v>4441</v>
      </c>
      <c r="AB340" t="s">
        <v>4433</v>
      </c>
    </row>
    <row r="341" spans="2:28">
      <c r="B341" s="182" t="str">
        <f t="shared" si="25"/>
        <v>Polonaložený clip</v>
      </c>
      <c r="M341" s="175" t="s">
        <v>65</v>
      </c>
      <c r="N341" s="133" t="s">
        <v>65</v>
      </c>
      <c r="O341" s="133" t="s">
        <v>217</v>
      </c>
      <c r="P341" s="133" t="s">
        <v>1242</v>
      </c>
      <c r="Q341" s="133" t="s">
        <v>1449</v>
      </c>
      <c r="R341" s="318" t="s">
        <v>3771</v>
      </c>
      <c r="AA341" s="202" t="s">
        <v>2560</v>
      </c>
      <c r="AB341" t="s">
        <v>4592</v>
      </c>
    </row>
    <row r="342" spans="2:28">
      <c r="B342" s="182" t="str">
        <f t="shared" si="25"/>
        <v>Vložený clip</v>
      </c>
      <c r="M342" s="175" t="s">
        <v>66</v>
      </c>
      <c r="N342" s="133" t="s">
        <v>66</v>
      </c>
      <c r="O342" s="133" t="s">
        <v>218</v>
      </c>
      <c r="P342" s="133" t="s">
        <v>1243</v>
      </c>
      <c r="Q342" s="133" t="s">
        <v>1450</v>
      </c>
      <c r="R342" s="318" t="s">
        <v>3891</v>
      </c>
      <c r="AA342" s="202" t="s">
        <v>3390</v>
      </c>
      <c r="AB342" t="s">
        <v>556</v>
      </c>
    </row>
    <row r="343" spans="2:28">
      <c r="B343" s="182" t="str">
        <f t="shared" si="25"/>
        <v>Úhel 45°</v>
      </c>
      <c r="M343" s="175" t="s">
        <v>67</v>
      </c>
      <c r="N343" s="133" t="s">
        <v>160</v>
      </c>
      <c r="O343" s="133" t="s">
        <v>219</v>
      </c>
      <c r="P343" s="133" t="s">
        <v>283</v>
      </c>
      <c r="Q343" s="133" t="s">
        <v>1350</v>
      </c>
      <c r="R343" s="318" t="s">
        <v>3773</v>
      </c>
      <c r="AA343" s="202" t="s">
        <v>3112</v>
      </c>
      <c r="AB343" t="s">
        <v>4593</v>
      </c>
    </row>
    <row r="344" spans="2:28">
      <c r="B344" s="182" t="str">
        <f t="shared" si="25"/>
        <v>Naložený</v>
      </c>
      <c r="M344" s="175" t="s">
        <v>68</v>
      </c>
      <c r="N344" s="133" t="s">
        <v>161</v>
      </c>
      <c r="O344" s="133" t="s">
        <v>220</v>
      </c>
      <c r="P344" s="133" t="s">
        <v>284</v>
      </c>
      <c r="Q344" s="133" t="s">
        <v>1451</v>
      </c>
      <c r="R344" s="318" t="s">
        <v>3774</v>
      </c>
      <c r="AA344" s="178" t="s">
        <v>3230</v>
      </c>
      <c r="AB344" t="s">
        <v>4594</v>
      </c>
    </row>
    <row r="345" spans="2:28">
      <c r="B345" s="182" t="str">
        <f t="shared" si="25"/>
        <v>Polonaložený</v>
      </c>
      <c r="M345" s="175" t="s">
        <v>69</v>
      </c>
      <c r="N345" s="133" t="s">
        <v>162</v>
      </c>
      <c r="O345" s="133" t="s">
        <v>221</v>
      </c>
      <c r="P345" s="133" t="s">
        <v>1244</v>
      </c>
      <c r="Q345" s="133" t="s">
        <v>1452</v>
      </c>
      <c r="R345" s="318" t="s">
        <v>3775</v>
      </c>
      <c r="AA345" s="202" t="s">
        <v>4563</v>
      </c>
      <c r="AB345" t="s">
        <v>4445</v>
      </c>
    </row>
    <row r="346" spans="2:28">
      <c r="B346" s="182" t="str">
        <f t="shared" si="25"/>
        <v>Vložený</v>
      </c>
      <c r="M346" s="175" t="s">
        <v>70</v>
      </c>
      <c r="N346" s="133" t="s">
        <v>163</v>
      </c>
      <c r="O346" s="133" t="s">
        <v>222</v>
      </c>
      <c r="P346" s="133" t="s">
        <v>1245</v>
      </c>
      <c r="Q346" s="133" t="s">
        <v>905</v>
      </c>
      <c r="R346" s="318" t="s">
        <v>3776</v>
      </c>
      <c r="AA346" s="202" t="s">
        <v>3113</v>
      </c>
      <c r="AB346" t="s">
        <v>4595</v>
      </c>
    </row>
    <row r="347" spans="2:28">
      <c r="B347" s="182" t="str">
        <f t="shared" si="25"/>
        <v>Úhel 45°</v>
      </c>
      <c r="M347" s="175" t="s">
        <v>67</v>
      </c>
      <c r="N347" s="133" t="s">
        <v>160</v>
      </c>
      <c r="O347" s="133" t="s">
        <v>219</v>
      </c>
      <c r="P347" s="133" t="s">
        <v>283</v>
      </c>
      <c r="Q347" s="133" t="s">
        <v>1350</v>
      </c>
      <c r="R347" s="318" t="s">
        <v>3773</v>
      </c>
      <c r="AA347" s="202" t="s">
        <v>3091</v>
      </c>
      <c r="AB347" t="s">
        <v>4596</v>
      </c>
    </row>
    <row r="348" spans="2:28">
      <c r="B348" s="182" t="str">
        <f t="shared" si="25"/>
        <v>Naložený s opačnou pružinou</v>
      </c>
      <c r="M348" s="175" t="s">
        <v>71</v>
      </c>
      <c r="N348" s="133" t="s">
        <v>71</v>
      </c>
      <c r="O348" s="133" t="s">
        <v>223</v>
      </c>
      <c r="P348" s="133" t="s">
        <v>287</v>
      </c>
      <c r="Q348" s="133" t="s">
        <v>1453</v>
      </c>
      <c r="R348" s="318" t="s">
        <v>3777</v>
      </c>
      <c r="AA348" s="202" t="s">
        <v>4566</v>
      </c>
      <c r="AB348" t="s">
        <v>4597</v>
      </c>
    </row>
    <row r="349" spans="2:28">
      <c r="B349" s="182" t="str">
        <f t="shared" si="25"/>
        <v>Vložený s opačnou pružinou</v>
      </c>
      <c r="M349" s="175" t="s">
        <v>72</v>
      </c>
      <c r="N349" s="133" t="s">
        <v>72</v>
      </c>
      <c r="O349" s="133" t="s">
        <v>224</v>
      </c>
      <c r="P349" s="133" t="s">
        <v>1246</v>
      </c>
      <c r="Q349" s="133" t="s">
        <v>1454</v>
      </c>
      <c r="R349" s="318" t="s">
        <v>3778</v>
      </c>
      <c r="AA349" s="202" t="s">
        <v>3394</v>
      </c>
      <c r="AB349" t="s">
        <v>4598</v>
      </c>
    </row>
    <row r="350" spans="2:28">
      <c r="B350" s="182" t="str">
        <f t="shared" si="25"/>
        <v>Clip na vrut H2</v>
      </c>
      <c r="M350" s="175" t="s">
        <v>87</v>
      </c>
      <c r="N350" s="133" t="s">
        <v>164</v>
      </c>
      <c r="O350" s="133" t="s">
        <v>225</v>
      </c>
      <c r="P350" s="133" t="s">
        <v>288</v>
      </c>
      <c r="Q350" s="133" t="s">
        <v>1455</v>
      </c>
      <c r="R350" s="318" t="s">
        <v>3779</v>
      </c>
      <c r="AA350" s="202" t="s">
        <v>3114</v>
      </c>
      <c r="AB350" t="s">
        <v>4599</v>
      </c>
    </row>
    <row r="351" spans="2:28">
      <c r="B351" s="182" t="str">
        <f t="shared" si="25"/>
        <v>Clip na vrut H4</v>
      </c>
      <c r="M351" s="175" t="s">
        <v>88</v>
      </c>
      <c r="N351" s="133" t="s">
        <v>165</v>
      </c>
      <c r="O351" s="133" t="s">
        <v>226</v>
      </c>
      <c r="P351" s="133" t="s">
        <v>289</v>
      </c>
      <c r="Q351" s="133" t="s">
        <v>1456</v>
      </c>
      <c r="R351" s="318" t="s">
        <v>3780</v>
      </c>
      <c r="AA351" s="202" t="s">
        <v>3115</v>
      </c>
      <c r="AB351" t="s">
        <v>4600</v>
      </c>
    </row>
    <row r="352" spans="2:28">
      <c r="B352" s="182" t="str">
        <f t="shared" si="25"/>
        <v>Clip na eurošroub H2</v>
      </c>
      <c r="M352" s="175" t="s">
        <v>89</v>
      </c>
      <c r="N352" s="133" t="s">
        <v>166</v>
      </c>
      <c r="O352" s="133" t="s">
        <v>227</v>
      </c>
      <c r="P352" s="133" t="s">
        <v>290</v>
      </c>
      <c r="Q352" s="133" t="s">
        <v>1457</v>
      </c>
      <c r="R352" s="318" t="s">
        <v>4146</v>
      </c>
      <c r="AA352" s="202" t="s">
        <v>2561</v>
      </c>
      <c r="AB352" t="s">
        <v>4601</v>
      </c>
    </row>
    <row r="353" spans="2:28">
      <c r="B353" s="182" t="str">
        <f t="shared" si="25"/>
        <v>Clip na eurošroub H4</v>
      </c>
      <c r="M353" s="175" t="s">
        <v>90</v>
      </c>
      <c r="N353" s="133" t="s">
        <v>167</v>
      </c>
      <c r="O353" s="133" t="s">
        <v>228</v>
      </c>
      <c r="P353" s="133" t="s">
        <v>291</v>
      </c>
      <c r="Q353" s="133" t="s">
        <v>1458</v>
      </c>
      <c r="R353" s="318" t="s">
        <v>3781</v>
      </c>
      <c r="AA353" s="202" t="s">
        <v>3116</v>
      </c>
      <c r="AB353" t="s">
        <v>4602</v>
      </c>
    </row>
    <row r="354" spans="2:28">
      <c r="B354" s="182" t="str">
        <f t="shared" si="25"/>
        <v>Slide on na vrut H2</v>
      </c>
      <c r="M354" s="175" t="s">
        <v>91</v>
      </c>
      <c r="N354" s="133" t="s">
        <v>168</v>
      </c>
      <c r="O354" s="133" t="s">
        <v>229</v>
      </c>
      <c r="P354" s="133" t="s">
        <v>292</v>
      </c>
      <c r="Q354" s="133" t="s">
        <v>1459</v>
      </c>
      <c r="R354" s="318" t="s">
        <v>3782</v>
      </c>
      <c r="AA354" s="202" t="s">
        <v>2562</v>
      </c>
      <c r="AB354" t="s">
        <v>4603</v>
      </c>
    </row>
    <row r="355" spans="2:28">
      <c r="B355" s="182" t="str">
        <f t="shared" si="25"/>
        <v>Slide on na vrut H4</v>
      </c>
      <c r="M355" s="175" t="s">
        <v>92</v>
      </c>
      <c r="N355" s="133" t="s">
        <v>169</v>
      </c>
      <c r="O355" s="133" t="s">
        <v>230</v>
      </c>
      <c r="P355" s="133" t="s">
        <v>293</v>
      </c>
      <c r="Q355" s="133" t="s">
        <v>1460</v>
      </c>
      <c r="R355" s="318" t="s">
        <v>3783</v>
      </c>
      <c r="AA355" s="202" t="s">
        <v>2563</v>
      </c>
      <c r="AB355" t="s">
        <v>4604</v>
      </c>
    </row>
    <row r="356" spans="2:28">
      <c r="B356" s="182" t="str">
        <f t="shared" si="25"/>
        <v>Slide on na eurošroub H2</v>
      </c>
      <c r="M356" s="175" t="s">
        <v>93</v>
      </c>
      <c r="N356" s="133" t="s">
        <v>170</v>
      </c>
      <c r="O356" s="133" t="s">
        <v>231</v>
      </c>
      <c r="P356" s="133" t="s">
        <v>294</v>
      </c>
      <c r="Q356" s="133" t="s">
        <v>1461</v>
      </c>
      <c r="R356" s="318" t="s">
        <v>3784</v>
      </c>
      <c r="AA356" s="202" t="s">
        <v>2593</v>
      </c>
      <c r="AB356" t="s">
        <v>4605</v>
      </c>
    </row>
    <row r="357" spans="2:28">
      <c r="B357" s="182" t="str">
        <f t="shared" si="25"/>
        <v>Slide on na eurošroub H4</v>
      </c>
      <c r="M357" s="175" t="s">
        <v>94</v>
      </c>
      <c r="N357" s="133" t="s">
        <v>171</v>
      </c>
      <c r="O357" s="133" t="s">
        <v>232</v>
      </c>
      <c r="P357" s="133" t="s">
        <v>295</v>
      </c>
      <c r="Q357" s="133" t="s">
        <v>1462</v>
      </c>
      <c r="R357" s="318" t="s">
        <v>3785</v>
      </c>
      <c r="AA357" s="177" t="s">
        <v>3398</v>
      </c>
      <c r="AB357" t="s">
        <v>4606</v>
      </c>
    </row>
    <row r="358" spans="2:28">
      <c r="B358" s="182" t="str">
        <f t="shared" si="25"/>
        <v>Naložený clip</v>
      </c>
      <c r="M358" s="175" t="s">
        <v>64</v>
      </c>
      <c r="N358" s="133" t="s">
        <v>64</v>
      </c>
      <c r="O358" s="133" t="s">
        <v>216</v>
      </c>
      <c r="P358" s="133" t="s">
        <v>282</v>
      </c>
      <c r="Q358" s="133" t="s">
        <v>1448</v>
      </c>
      <c r="R358" s="318" t="s">
        <v>3770</v>
      </c>
      <c r="AA358" s="177" t="s">
        <v>3402</v>
      </c>
      <c r="AB358" t="s">
        <v>4607</v>
      </c>
    </row>
    <row r="359" spans="2:28">
      <c r="B359" s="182" t="str">
        <f t="shared" si="25"/>
        <v>Polonaložený clip</v>
      </c>
      <c r="M359" s="175" t="s">
        <v>65</v>
      </c>
      <c r="N359" s="133" t="s">
        <v>65</v>
      </c>
      <c r="O359" s="133" t="s">
        <v>217</v>
      </c>
      <c r="P359" s="133" t="s">
        <v>1242</v>
      </c>
      <c r="Q359" s="133" t="s">
        <v>1449</v>
      </c>
      <c r="R359" s="318" t="s">
        <v>3771</v>
      </c>
      <c r="AA359" s="202" t="s">
        <v>4399</v>
      </c>
      <c r="AB359" t="s">
        <v>4418</v>
      </c>
    </row>
    <row r="360" spans="2:28">
      <c r="B360" s="182" t="str">
        <f t="shared" si="25"/>
        <v>Vložený clip</v>
      </c>
      <c r="M360" s="175" t="s">
        <v>66</v>
      </c>
      <c r="N360" s="133" t="s">
        <v>66</v>
      </c>
      <c r="O360" s="133" t="s">
        <v>218</v>
      </c>
      <c r="P360" s="133" t="s">
        <v>1243</v>
      </c>
      <c r="Q360" s="133" t="s">
        <v>1450</v>
      </c>
      <c r="R360" s="318" t="s">
        <v>3772</v>
      </c>
      <c r="AA360" s="202" t="s">
        <v>4405</v>
      </c>
      <c r="AB360" t="s">
        <v>4608</v>
      </c>
    </row>
    <row r="361" spans="2:28">
      <c r="B361" s="182" t="str">
        <f t="shared" si="25"/>
        <v>45° clip</v>
      </c>
      <c r="M361" s="175" t="s">
        <v>0</v>
      </c>
      <c r="N361" s="133" t="s">
        <v>178</v>
      </c>
      <c r="O361" s="133" t="s">
        <v>0</v>
      </c>
      <c r="P361" s="133" t="s">
        <v>1249</v>
      </c>
      <c r="Q361" s="133" t="s">
        <v>1472</v>
      </c>
      <c r="R361" s="318" t="s">
        <v>3796</v>
      </c>
      <c r="AA361" s="202" t="s">
        <v>4424</v>
      </c>
      <c r="AB361" t="s">
        <v>4609</v>
      </c>
    </row>
    <row r="362" spans="2:28">
      <c r="B362" s="182" t="str">
        <f t="shared" si="25"/>
        <v xml:space="preserve">StrongHinges Clip na eurošroub H0 </v>
      </c>
      <c r="M362" s="175" t="s">
        <v>2328</v>
      </c>
      <c r="N362" s="133" t="s">
        <v>2329</v>
      </c>
      <c r="O362" s="133" t="s">
        <v>2330</v>
      </c>
      <c r="P362" s="133" t="s">
        <v>2331</v>
      </c>
      <c r="Q362" s="133" t="s">
        <v>2332</v>
      </c>
      <c r="R362" s="318" t="s">
        <v>3892</v>
      </c>
      <c r="AA362" s="202" t="s">
        <v>4410</v>
      </c>
      <c r="AB362" t="s">
        <v>4419</v>
      </c>
    </row>
    <row r="363" spans="2:28">
      <c r="B363" s="182" t="str">
        <f t="shared" si="25"/>
        <v>StrongHinges Clip na vrut H0</v>
      </c>
      <c r="M363" s="175" t="s">
        <v>2333</v>
      </c>
      <c r="N363" s="133" t="s">
        <v>2334</v>
      </c>
      <c r="O363" s="133" t="s">
        <v>2335</v>
      </c>
      <c r="P363" s="133" t="s">
        <v>2336</v>
      </c>
      <c r="Q363" s="133" t="s">
        <v>2337</v>
      </c>
      <c r="R363" s="318" t="s">
        <v>3893</v>
      </c>
      <c r="AA363" s="202" t="s">
        <v>4416</v>
      </c>
      <c r="AB363" t="s">
        <v>4420</v>
      </c>
    </row>
    <row r="364" spans="2:28">
      <c r="B364" s="182" t="str">
        <f t="shared" ref="B364:B427" si="26">IF($D$1=1,M364,IF($D$1=2,N364,IF($D$1=3,O364,IF($D$1=4,P364,IF($D$1=5,Q364,IF($D$1=6,R364,0))))))</f>
        <v>StrongHinges Clip na eurošroub H2</v>
      </c>
      <c r="M364" s="175" t="s">
        <v>2338</v>
      </c>
      <c r="N364" s="133" t="s">
        <v>2339</v>
      </c>
      <c r="O364" s="133" t="s">
        <v>2340</v>
      </c>
      <c r="P364" s="133" t="s">
        <v>2341</v>
      </c>
      <c r="Q364" s="133" t="s">
        <v>2342</v>
      </c>
      <c r="R364" s="318" t="s">
        <v>3894</v>
      </c>
      <c r="AA364" s="202" t="s">
        <v>4470</v>
      </c>
      <c r="AB364" t="s">
        <v>4610</v>
      </c>
    </row>
    <row r="365" spans="2:28">
      <c r="B365" s="182" t="str">
        <f t="shared" si="26"/>
        <v>StrongHinges Clip na vrut H2</v>
      </c>
      <c r="M365" s="175" t="s">
        <v>2343</v>
      </c>
      <c r="N365" s="133" t="s">
        <v>2344</v>
      </c>
      <c r="O365" s="133" t="s">
        <v>2345</v>
      </c>
      <c r="P365" s="133" t="s">
        <v>2346</v>
      </c>
      <c r="Q365" s="133" t="s">
        <v>2347</v>
      </c>
      <c r="R365" s="318" t="s">
        <v>3895</v>
      </c>
      <c r="AA365" s="202" t="s">
        <v>4472</v>
      </c>
      <c r="AB365" t="s">
        <v>4611</v>
      </c>
    </row>
    <row r="366" spans="2:28">
      <c r="B366" s="182" t="str">
        <f t="shared" si="26"/>
        <v>Naložený clip</v>
      </c>
      <c r="M366" s="175" t="s">
        <v>64</v>
      </c>
      <c r="N366" s="133" t="s">
        <v>64</v>
      </c>
      <c r="O366" s="133" t="s">
        <v>216</v>
      </c>
      <c r="P366" s="133" t="s">
        <v>282</v>
      </c>
      <c r="Q366" s="133" t="s">
        <v>1448</v>
      </c>
      <c r="R366" s="318" t="s">
        <v>3770</v>
      </c>
      <c r="AA366" s="202" t="s">
        <v>4473</v>
      </c>
      <c r="AB366" t="s">
        <v>4612</v>
      </c>
    </row>
    <row r="367" spans="2:28">
      <c r="B367" s="182" t="str">
        <f t="shared" si="26"/>
        <v>Naložený clip</v>
      </c>
      <c r="M367" s="175" t="s">
        <v>64</v>
      </c>
      <c r="N367" s="133" t="s">
        <v>64</v>
      </c>
      <c r="O367" s="133" t="s">
        <v>216</v>
      </c>
      <c r="P367" s="133" t="s">
        <v>282</v>
      </c>
      <c r="Q367" s="133" t="s">
        <v>1448</v>
      </c>
      <c r="R367" s="318" t="s">
        <v>3770</v>
      </c>
      <c r="AA367" s="202" t="s">
        <v>4485</v>
      </c>
      <c r="AB367" t="s">
        <v>4613</v>
      </c>
    </row>
    <row r="368" spans="2:28">
      <c r="B368" s="182" t="str">
        <f t="shared" si="26"/>
        <v>Polonaložený clip</v>
      </c>
      <c r="M368" s="175" t="s">
        <v>65</v>
      </c>
      <c r="N368" s="133" t="s">
        <v>65</v>
      </c>
      <c r="O368" s="133" t="s">
        <v>217</v>
      </c>
      <c r="P368" s="133" t="s">
        <v>1242</v>
      </c>
      <c r="Q368" s="133" t="s">
        <v>1449</v>
      </c>
      <c r="R368" s="318" t="s">
        <v>3771</v>
      </c>
      <c r="AA368" s="202" t="s">
        <v>4486</v>
      </c>
      <c r="AB368" t="s">
        <v>4614</v>
      </c>
    </row>
    <row r="369" spans="2:28">
      <c r="B369" s="182" t="str">
        <f t="shared" si="26"/>
        <v>Vložený clip</v>
      </c>
      <c r="M369" s="175" t="s">
        <v>66</v>
      </c>
      <c r="N369" s="133" t="s">
        <v>66</v>
      </c>
      <c r="O369" s="133" t="s">
        <v>218</v>
      </c>
      <c r="P369" s="133" t="s">
        <v>1243</v>
      </c>
      <c r="Q369" s="133" t="s">
        <v>1450</v>
      </c>
      <c r="R369" s="318" t="s">
        <v>3772</v>
      </c>
      <c r="AA369" s="185" t="s">
        <v>3048</v>
      </c>
      <c r="AB369" t="s">
        <v>4615</v>
      </c>
    </row>
    <row r="370" spans="2:28">
      <c r="B370" s="182" t="str">
        <f t="shared" si="26"/>
        <v>45° clip</v>
      </c>
      <c r="M370" s="175" t="s">
        <v>0</v>
      </c>
      <c r="N370" s="133" t="s">
        <v>178</v>
      </c>
      <c r="O370" s="133" t="s">
        <v>0</v>
      </c>
      <c r="P370" s="133" t="s">
        <v>1249</v>
      </c>
      <c r="Q370" s="133" t="s">
        <v>1472</v>
      </c>
      <c r="R370" s="318" t="s">
        <v>3796</v>
      </c>
      <c r="AA370" s="185" t="s">
        <v>3117</v>
      </c>
      <c r="AB370" t="s">
        <v>4616</v>
      </c>
    </row>
    <row r="371" spans="2:28">
      <c r="B371" s="182" t="str">
        <f t="shared" si="26"/>
        <v xml:space="preserve">Clip na eurošroub H0 </v>
      </c>
      <c r="M371" s="175" t="s">
        <v>86</v>
      </c>
      <c r="N371" s="133" t="s">
        <v>179</v>
      </c>
      <c r="O371" s="133" t="s">
        <v>240</v>
      </c>
      <c r="P371" s="133" t="s">
        <v>303</v>
      </c>
      <c r="Q371" s="133" t="s">
        <v>1473</v>
      </c>
      <c r="R371" s="318" t="s">
        <v>3896</v>
      </c>
      <c r="AA371" s="246" t="s">
        <v>3049</v>
      </c>
      <c r="AB371" t="s">
        <v>4617</v>
      </c>
    </row>
    <row r="372" spans="2:28">
      <c r="B372" s="182" t="str">
        <f t="shared" si="26"/>
        <v>Clip na vrut H0</v>
      </c>
      <c r="M372" s="175" t="s">
        <v>85</v>
      </c>
      <c r="N372" s="133" t="s">
        <v>180</v>
      </c>
      <c r="O372" s="133" t="s">
        <v>241</v>
      </c>
      <c r="P372" s="133" t="s">
        <v>304</v>
      </c>
      <c r="Q372" s="133" t="s">
        <v>1474</v>
      </c>
      <c r="R372" s="318" t="s">
        <v>3798</v>
      </c>
      <c r="AA372" s="185" t="s">
        <v>3050</v>
      </c>
      <c r="AB372" t="s">
        <v>4618</v>
      </c>
    </row>
    <row r="373" spans="2:28">
      <c r="B373" s="182" t="str">
        <f t="shared" si="26"/>
        <v>Clip na eurošroub H2</v>
      </c>
      <c r="M373" s="175" t="s">
        <v>89</v>
      </c>
      <c r="N373" s="133" t="s">
        <v>166</v>
      </c>
      <c r="O373" s="133" t="s">
        <v>227</v>
      </c>
      <c r="P373" s="133" t="s">
        <v>290</v>
      </c>
      <c r="Q373" s="133" t="s">
        <v>1457</v>
      </c>
      <c r="R373" s="318" t="s">
        <v>3897</v>
      </c>
      <c r="AA373" s="214" t="s">
        <v>3051</v>
      </c>
      <c r="AB373" t="s">
        <v>4619</v>
      </c>
    </row>
    <row r="374" spans="2:28">
      <c r="B374" s="182" t="str">
        <f t="shared" si="26"/>
        <v>Sensys naložený tlumený</v>
      </c>
      <c r="M374" s="175" t="s">
        <v>569</v>
      </c>
      <c r="N374" s="133" t="s">
        <v>661</v>
      </c>
      <c r="O374" s="133" t="s">
        <v>662</v>
      </c>
      <c r="P374" s="133" t="s">
        <v>663</v>
      </c>
      <c r="Q374" s="133" t="s">
        <v>1514</v>
      </c>
      <c r="R374" s="318" t="s">
        <v>3898</v>
      </c>
      <c r="AA374" s="185" t="s">
        <v>3052</v>
      </c>
      <c r="AB374" t="s">
        <v>4620</v>
      </c>
    </row>
    <row r="375" spans="2:28">
      <c r="B375" s="182" t="str">
        <f t="shared" si="26"/>
        <v>Sensys polonaložený tlumený</v>
      </c>
      <c r="M375" s="175" t="s">
        <v>570</v>
      </c>
      <c r="N375" s="133" t="s">
        <v>664</v>
      </c>
      <c r="O375" s="133" t="s">
        <v>665</v>
      </c>
      <c r="P375" s="133" t="s">
        <v>1267</v>
      </c>
      <c r="Q375" s="133" t="s">
        <v>1515</v>
      </c>
      <c r="R375" s="318" t="s">
        <v>3899</v>
      </c>
      <c r="AA375" s="133" t="s">
        <v>2390</v>
      </c>
      <c r="AB375" s="185" t="s">
        <v>3053</v>
      </c>
    </row>
    <row r="376" spans="2:28">
      <c r="B376" s="182" t="str">
        <f t="shared" si="26"/>
        <v>Sensys vložený tlumený</v>
      </c>
      <c r="M376" s="175" t="s">
        <v>571</v>
      </c>
      <c r="N376" s="133" t="s">
        <v>666</v>
      </c>
      <c r="O376" s="133" t="s">
        <v>667</v>
      </c>
      <c r="P376" s="133" t="s">
        <v>1268</v>
      </c>
      <c r="Q376" s="133" t="s">
        <v>1516</v>
      </c>
      <c r="R376" s="318" t="s">
        <v>3900</v>
      </c>
      <c r="AA376" s="133" t="s">
        <v>1345</v>
      </c>
      <c r="AB376" s="185" t="s">
        <v>3054</v>
      </c>
    </row>
    <row r="377" spans="2:28">
      <c r="B377" s="182" t="str">
        <f t="shared" si="26"/>
        <v>Sensys příložný tlumený</v>
      </c>
      <c r="M377" s="175" t="s">
        <v>572</v>
      </c>
      <c r="N377" s="133" t="s">
        <v>668</v>
      </c>
      <c r="O377" s="133" t="s">
        <v>669</v>
      </c>
      <c r="P377" s="133" t="s">
        <v>670</v>
      </c>
      <c r="Q377" s="133" t="s">
        <v>1517</v>
      </c>
      <c r="R377" s="322" t="s">
        <v>3901</v>
      </c>
      <c r="AA377" s="133" t="s">
        <v>2391</v>
      </c>
      <c r="AB377" s="185" t="s">
        <v>3055</v>
      </c>
    </row>
    <row r="378" spans="2:28">
      <c r="B378" s="182" t="str">
        <f t="shared" si="26"/>
        <v>Sensys naložený netlumený</v>
      </c>
      <c r="M378" s="175" t="s">
        <v>573</v>
      </c>
      <c r="N378" s="133" t="s">
        <v>671</v>
      </c>
      <c r="O378" s="133" t="s">
        <v>672</v>
      </c>
      <c r="P378" s="133" t="s">
        <v>673</v>
      </c>
      <c r="Q378" s="133" t="s">
        <v>1518</v>
      </c>
      <c r="R378" s="318" t="s">
        <v>3902</v>
      </c>
      <c r="AA378" s="133" t="s">
        <v>2393</v>
      </c>
      <c r="AB378" s="185" t="s">
        <v>2392</v>
      </c>
    </row>
    <row r="379" spans="2:28">
      <c r="B379" s="182" t="str">
        <f t="shared" si="26"/>
        <v>Intermat naložený</v>
      </c>
      <c r="M379" s="175" t="s">
        <v>574</v>
      </c>
      <c r="N379" s="133" t="s">
        <v>574</v>
      </c>
      <c r="O379" s="133" t="s">
        <v>674</v>
      </c>
      <c r="P379" s="133" t="s">
        <v>675</v>
      </c>
      <c r="Q379" s="133" t="s">
        <v>1519</v>
      </c>
      <c r="R379" s="318" t="s">
        <v>3903</v>
      </c>
      <c r="AA379" s="133" t="s">
        <v>1346</v>
      </c>
      <c r="AB379" s="185" t="s">
        <v>1235</v>
      </c>
    </row>
    <row r="380" spans="2:28">
      <c r="B380" s="182" t="str">
        <f t="shared" si="26"/>
        <v>Intermat naložený 125°</v>
      </c>
      <c r="M380" s="175" t="s">
        <v>575</v>
      </c>
      <c r="N380" s="133" t="s">
        <v>575</v>
      </c>
      <c r="O380" s="133" t="s">
        <v>676</v>
      </c>
      <c r="P380" s="133" t="s">
        <v>677</v>
      </c>
      <c r="Q380" s="133" t="s">
        <v>1520</v>
      </c>
      <c r="R380" s="318" t="s">
        <v>3904</v>
      </c>
      <c r="AA380" s="133" t="s">
        <v>1424</v>
      </c>
      <c r="AB380" s="185" t="s">
        <v>1422</v>
      </c>
    </row>
    <row r="381" spans="2:28">
      <c r="B381" s="182" t="str">
        <f t="shared" si="26"/>
        <v>Intermat polonaložený</v>
      </c>
      <c r="M381" s="175" t="s">
        <v>576</v>
      </c>
      <c r="N381" s="133" t="s">
        <v>576</v>
      </c>
      <c r="O381" s="133" t="s">
        <v>678</v>
      </c>
      <c r="P381" s="133" t="s">
        <v>1269</v>
      </c>
      <c r="Q381" s="133" t="s">
        <v>1521</v>
      </c>
      <c r="R381" s="318" t="s">
        <v>4147</v>
      </c>
      <c r="AA381" s="318" t="s">
        <v>3660</v>
      </c>
      <c r="AB381" t="s">
        <v>554</v>
      </c>
    </row>
    <row r="382" spans="2:28">
      <c r="B382" s="182" t="str">
        <f t="shared" si="26"/>
        <v>Intermat vložený</v>
      </c>
      <c r="M382" s="175" t="s">
        <v>577</v>
      </c>
      <c r="N382" s="133" t="s">
        <v>577</v>
      </c>
      <c r="O382" s="133" t="s">
        <v>679</v>
      </c>
      <c r="P382" s="133" t="s">
        <v>1270</v>
      </c>
      <c r="Q382" s="133" t="s">
        <v>1387</v>
      </c>
      <c r="R382" s="318" t="s">
        <v>3905</v>
      </c>
      <c r="AA382" s="318" t="s">
        <v>3661</v>
      </c>
      <c r="AB382" t="s">
        <v>4446</v>
      </c>
    </row>
    <row r="383" spans="2:28">
      <c r="B383" s="182" t="str">
        <f t="shared" si="26"/>
        <v>Intermat příložný</v>
      </c>
      <c r="M383" s="175" t="s">
        <v>578</v>
      </c>
      <c r="N383" s="133" t="s">
        <v>680</v>
      </c>
      <c r="O383" s="133" t="s">
        <v>681</v>
      </c>
      <c r="P383" s="133" t="s">
        <v>682</v>
      </c>
      <c r="Q383" s="133" t="s">
        <v>1522</v>
      </c>
      <c r="R383" s="318" t="s">
        <v>3906</v>
      </c>
      <c r="AA383" s="318" t="s">
        <v>3662</v>
      </c>
      <c r="AB383" t="s">
        <v>4447</v>
      </c>
    </row>
    <row r="384" spans="2:28">
      <c r="B384" s="182" t="str">
        <f t="shared" si="26"/>
        <v>Sensys naložený bez tlumení</v>
      </c>
      <c r="M384" s="175" t="s">
        <v>597</v>
      </c>
      <c r="N384" s="133" t="s">
        <v>683</v>
      </c>
      <c r="O384" s="133" t="s">
        <v>672</v>
      </c>
      <c r="P384" s="133" t="s">
        <v>673</v>
      </c>
      <c r="Q384" s="133" t="s">
        <v>1523</v>
      </c>
      <c r="R384" s="318" t="s">
        <v>3902</v>
      </c>
      <c r="AA384" s="318" t="s">
        <v>3663</v>
      </c>
      <c r="AB384" t="s">
        <v>4568</v>
      </c>
    </row>
    <row r="385" spans="2:28">
      <c r="B385" s="182" t="str">
        <f t="shared" si="26"/>
        <v>Sensys vložený bez tlumení</v>
      </c>
      <c r="M385" s="175" t="s">
        <v>598</v>
      </c>
      <c r="N385" s="133" t="s">
        <v>684</v>
      </c>
      <c r="O385" s="133" t="s">
        <v>685</v>
      </c>
      <c r="P385" s="133" t="s">
        <v>1271</v>
      </c>
      <c r="Q385" s="133" t="s">
        <v>1524</v>
      </c>
      <c r="R385" s="318" t="s">
        <v>3907</v>
      </c>
      <c r="AA385" s="318" t="s">
        <v>3664</v>
      </c>
      <c r="AB385" t="s">
        <v>4448</v>
      </c>
    </row>
    <row r="386" spans="2:28">
      <c r="B386" s="182" t="str">
        <f t="shared" si="26"/>
        <v>Sensys naložený tlumený</v>
      </c>
      <c r="M386" s="175" t="s">
        <v>569</v>
      </c>
      <c r="N386" s="133" t="s">
        <v>661</v>
      </c>
      <c r="O386" s="133" t="s">
        <v>662</v>
      </c>
      <c r="P386" s="133" t="s">
        <v>663</v>
      </c>
      <c r="Q386" s="133" t="s">
        <v>1514</v>
      </c>
      <c r="R386" s="318" t="s">
        <v>3898</v>
      </c>
      <c r="AA386" s="318" t="s">
        <v>3665</v>
      </c>
      <c r="AB386" t="s">
        <v>4449</v>
      </c>
    </row>
    <row r="387" spans="2:28">
      <c r="B387" s="182" t="str">
        <f t="shared" si="26"/>
        <v>Sensys vložený tlumený</v>
      </c>
      <c r="M387" s="175" t="s">
        <v>571</v>
      </c>
      <c r="N387" s="133" t="s">
        <v>666</v>
      </c>
      <c r="O387" s="133" t="s">
        <v>667</v>
      </c>
      <c r="P387" s="133" t="s">
        <v>1268</v>
      </c>
      <c r="Q387" s="133" t="s">
        <v>1516</v>
      </c>
      <c r="R387" s="318" t="s">
        <v>3900</v>
      </c>
      <c r="AA387" s="318" t="s">
        <v>3666</v>
      </c>
      <c r="AB387" t="s">
        <v>4450</v>
      </c>
    </row>
    <row r="388" spans="2:28">
      <c r="B388" s="182" t="str">
        <f t="shared" si="26"/>
        <v>Intermat naložený</v>
      </c>
      <c r="M388" s="175" t="s">
        <v>574</v>
      </c>
      <c r="N388" s="133" t="s">
        <v>574</v>
      </c>
      <c r="O388" s="133" t="s">
        <v>674</v>
      </c>
      <c r="P388" s="133" t="s">
        <v>675</v>
      </c>
      <c r="Q388" s="133" t="s">
        <v>1519</v>
      </c>
      <c r="R388" s="318" t="s">
        <v>3903</v>
      </c>
      <c r="AA388" s="318" t="s">
        <v>3667</v>
      </c>
      <c r="AB388" t="s">
        <v>1603</v>
      </c>
    </row>
    <row r="389" spans="2:28">
      <c r="B389" s="182" t="str">
        <f t="shared" si="26"/>
        <v>Intermat vložený</v>
      </c>
      <c r="M389" s="175" t="s">
        <v>577</v>
      </c>
      <c r="N389" s="133" t="s">
        <v>577</v>
      </c>
      <c r="O389" s="133" t="s">
        <v>679</v>
      </c>
      <c r="P389" s="133" t="s">
        <v>1270</v>
      </c>
      <c r="Q389" s="133" t="s">
        <v>1387</v>
      </c>
      <c r="R389" s="318" t="s">
        <v>3905</v>
      </c>
      <c r="AA389" s="318" t="s">
        <v>3668</v>
      </c>
      <c r="AB389" t="s">
        <v>4451</v>
      </c>
    </row>
    <row r="390" spans="2:28">
      <c r="B390" s="182" t="str">
        <f t="shared" si="26"/>
        <v>podložka na vrut</v>
      </c>
      <c r="M390" s="175" t="s">
        <v>645</v>
      </c>
      <c r="N390" s="133" t="s">
        <v>645</v>
      </c>
      <c r="O390" s="133" t="s">
        <v>686</v>
      </c>
      <c r="P390" s="133" t="s">
        <v>687</v>
      </c>
      <c r="Q390" s="133" t="s">
        <v>1525</v>
      </c>
      <c r="R390" s="322" t="s">
        <v>3908</v>
      </c>
      <c r="AA390" s="318" t="s">
        <v>4439</v>
      </c>
      <c r="AB390" t="s">
        <v>4569</v>
      </c>
    </row>
    <row r="391" spans="2:28">
      <c r="B391" s="182" t="str">
        <f t="shared" si="26"/>
        <v>podložka na Eurovrut</v>
      </c>
      <c r="M391" s="175" t="s">
        <v>579</v>
      </c>
      <c r="N391" s="133" t="s">
        <v>579</v>
      </c>
      <c r="O391" s="133" t="s">
        <v>688</v>
      </c>
      <c r="P391" s="133" t="s">
        <v>689</v>
      </c>
      <c r="Q391" s="133" t="s">
        <v>1526</v>
      </c>
      <c r="R391" s="322" t="s">
        <v>3909</v>
      </c>
      <c r="AA391" s="318" t="s">
        <v>4432</v>
      </c>
      <c r="AB391" t="s">
        <v>4443</v>
      </c>
    </row>
    <row r="392" spans="2:28">
      <c r="B392" s="182" t="str">
        <f t="shared" si="26"/>
        <v>podložka na rozpěrnou hmoždinku</v>
      </c>
      <c r="M392" s="175" t="s">
        <v>580</v>
      </c>
      <c r="N392" s="133" t="s">
        <v>690</v>
      </c>
      <c r="O392" s="133" t="s">
        <v>691</v>
      </c>
      <c r="P392" s="133" t="s">
        <v>692</v>
      </c>
      <c r="Q392" s="133" t="s">
        <v>1527</v>
      </c>
      <c r="R392" s="322" t="s">
        <v>3910</v>
      </c>
      <c r="AA392" s="318" t="s">
        <v>3669</v>
      </c>
      <c r="AB392" t="s">
        <v>555</v>
      </c>
    </row>
    <row r="393" spans="2:28">
      <c r="B393" s="182" t="str">
        <f t="shared" si="26"/>
        <v>naložený clip</v>
      </c>
      <c r="M393" s="175" t="s">
        <v>646</v>
      </c>
      <c r="N393" s="133" t="s">
        <v>64</v>
      </c>
      <c r="O393" s="133" t="s">
        <v>216</v>
      </c>
      <c r="P393" s="133" t="s">
        <v>282</v>
      </c>
      <c r="Q393" s="133" t="s">
        <v>1448</v>
      </c>
      <c r="R393" s="318" t="s">
        <v>3770</v>
      </c>
      <c r="AA393" s="318" t="s">
        <v>3670</v>
      </c>
      <c r="AB393" t="s">
        <v>4570</v>
      </c>
    </row>
    <row r="394" spans="2:28">
      <c r="B394" s="182" t="str">
        <f t="shared" si="26"/>
        <v>polonaložený clip</v>
      </c>
      <c r="M394" s="175" t="s">
        <v>647</v>
      </c>
      <c r="N394" s="133" t="s">
        <v>65</v>
      </c>
      <c r="O394" s="133" t="s">
        <v>217</v>
      </c>
      <c r="P394" s="133" t="s">
        <v>1242</v>
      </c>
      <c r="Q394" s="133" t="s">
        <v>1449</v>
      </c>
      <c r="R394" s="318" t="s">
        <v>3771</v>
      </c>
      <c r="AA394" s="318" t="s">
        <v>3671</v>
      </c>
      <c r="AB394" t="s">
        <v>4571</v>
      </c>
    </row>
    <row r="395" spans="2:28">
      <c r="B395" s="182" t="str">
        <f t="shared" si="26"/>
        <v>Vložený clip</v>
      </c>
      <c r="M395" s="175" t="s">
        <v>66</v>
      </c>
      <c r="N395" s="133" t="s">
        <v>66</v>
      </c>
      <c r="O395" s="133" t="s">
        <v>218</v>
      </c>
      <c r="P395" s="133" t="s">
        <v>1243</v>
      </c>
      <c r="Q395" s="133" t="s">
        <v>1450</v>
      </c>
      <c r="R395" s="318" t="s">
        <v>3772</v>
      </c>
      <c r="AA395" s="318" t="s">
        <v>3672</v>
      </c>
      <c r="AB395" t="s">
        <v>4572</v>
      </c>
    </row>
    <row r="396" spans="2:28">
      <c r="B396" s="182" t="str">
        <f t="shared" si="26"/>
        <v>naložený s tlumením clip 110°</v>
      </c>
      <c r="M396" s="175" t="s">
        <v>583</v>
      </c>
      <c r="N396" s="133" t="s">
        <v>693</v>
      </c>
      <c r="O396" s="133" t="s">
        <v>694</v>
      </c>
      <c r="P396" s="133" t="s">
        <v>827</v>
      </c>
      <c r="Q396" s="133" t="s">
        <v>1528</v>
      </c>
      <c r="R396" s="318" t="s">
        <v>3911</v>
      </c>
      <c r="AA396" s="318" t="s">
        <v>3673</v>
      </c>
      <c r="AB396" t="s">
        <v>4573</v>
      </c>
    </row>
    <row r="397" spans="2:28">
      <c r="B397" s="182" t="str">
        <f t="shared" si="26"/>
        <v>polonaložený s tlumením clip 110°</v>
      </c>
      <c r="M397" s="175" t="s">
        <v>584</v>
      </c>
      <c r="N397" s="133" t="s">
        <v>695</v>
      </c>
      <c r="O397" s="133" t="s">
        <v>696</v>
      </c>
      <c r="P397" s="133" t="s">
        <v>1272</v>
      </c>
      <c r="Q397" s="133" t="s">
        <v>1529</v>
      </c>
      <c r="R397" s="318" t="s">
        <v>3912</v>
      </c>
      <c r="AA397" s="318" t="s">
        <v>3674</v>
      </c>
      <c r="AB397" t="s">
        <v>4574</v>
      </c>
    </row>
    <row r="398" spans="2:28">
      <c r="B398" s="182" t="str">
        <f t="shared" si="26"/>
        <v>vložený s tlumením clip 110°</v>
      </c>
      <c r="M398" s="175" t="s">
        <v>585</v>
      </c>
      <c r="N398" s="133" t="s">
        <v>697</v>
      </c>
      <c r="O398" s="133" t="s">
        <v>698</v>
      </c>
      <c r="P398" s="133" t="s">
        <v>1273</v>
      </c>
      <c r="Q398" s="133" t="s">
        <v>1530</v>
      </c>
      <c r="R398" s="318" t="s">
        <v>3913</v>
      </c>
      <c r="AA398" s="318" t="s">
        <v>3675</v>
      </c>
      <c r="AB398" t="s">
        <v>4575</v>
      </c>
    </row>
    <row r="399" spans="2:28">
      <c r="B399" s="182" t="str">
        <f t="shared" si="26"/>
        <v>naložený bez tlumení clip 110°</v>
      </c>
      <c r="M399" s="175" t="s">
        <v>586</v>
      </c>
      <c r="N399" s="133" t="s">
        <v>699</v>
      </c>
      <c r="O399" s="133" t="s">
        <v>700</v>
      </c>
      <c r="P399" s="133" t="s">
        <v>828</v>
      </c>
      <c r="Q399" s="133" t="s">
        <v>1531</v>
      </c>
      <c r="R399" s="318" t="s">
        <v>3914</v>
      </c>
      <c r="AA399" s="318" t="s">
        <v>3676</v>
      </c>
      <c r="AB399" t="s">
        <v>4576</v>
      </c>
    </row>
    <row r="400" spans="2:28">
      <c r="B400" s="182" t="str">
        <f t="shared" si="26"/>
        <v>polonaložený bez tlumení clip 110°</v>
      </c>
      <c r="M400" s="175" t="s">
        <v>587</v>
      </c>
      <c r="N400" s="133" t="s">
        <v>701</v>
      </c>
      <c r="O400" s="133" t="s">
        <v>702</v>
      </c>
      <c r="P400" s="133" t="s">
        <v>1274</v>
      </c>
      <c r="Q400" s="133" t="s">
        <v>1532</v>
      </c>
      <c r="R400" s="318" t="s">
        <v>3915</v>
      </c>
      <c r="AA400" s="318" t="s">
        <v>3677</v>
      </c>
      <c r="AB400" t="s">
        <v>4577</v>
      </c>
    </row>
    <row r="401" spans="2:28">
      <c r="B401" s="182" t="str">
        <f t="shared" si="26"/>
        <v>vložený bez tlumení clip 110°</v>
      </c>
      <c r="M401" s="175" t="s">
        <v>588</v>
      </c>
      <c r="N401" s="133" t="s">
        <v>703</v>
      </c>
      <c r="O401" s="133" t="s">
        <v>704</v>
      </c>
      <c r="P401" s="133" t="s">
        <v>841</v>
      </c>
      <c r="Q401" s="133" t="s">
        <v>1533</v>
      </c>
      <c r="R401" s="318" t="s">
        <v>3916</v>
      </c>
      <c r="AA401" s="318" t="s">
        <v>3678</v>
      </c>
      <c r="AB401" t="s">
        <v>4444</v>
      </c>
    </row>
    <row r="402" spans="2:28">
      <c r="B402" s="182" t="str">
        <f t="shared" si="26"/>
        <v>naložený TIP-ON clip 110°</v>
      </c>
      <c r="M402" s="175" t="s">
        <v>589</v>
      </c>
      <c r="N402" s="133" t="s">
        <v>589</v>
      </c>
      <c r="O402" s="133" t="s">
        <v>705</v>
      </c>
      <c r="P402" s="133" t="s">
        <v>829</v>
      </c>
      <c r="Q402" s="133" t="s">
        <v>1534</v>
      </c>
      <c r="R402" s="318" t="s">
        <v>3917</v>
      </c>
      <c r="AA402" s="318" t="s">
        <v>3679</v>
      </c>
      <c r="AB402" t="s">
        <v>4578</v>
      </c>
    </row>
    <row r="403" spans="2:28">
      <c r="B403" s="182" t="str">
        <f t="shared" si="26"/>
        <v>polonaložený TIP-ON clip 110°</v>
      </c>
      <c r="M403" s="175" t="s">
        <v>590</v>
      </c>
      <c r="N403" s="133" t="s">
        <v>590</v>
      </c>
      <c r="O403" s="133" t="s">
        <v>706</v>
      </c>
      <c r="P403" s="133" t="s">
        <v>1275</v>
      </c>
      <c r="Q403" s="133" t="s">
        <v>1535</v>
      </c>
      <c r="R403" s="318" t="s">
        <v>3918</v>
      </c>
      <c r="AA403" s="318" t="s">
        <v>3680</v>
      </c>
      <c r="AB403" t="s">
        <v>4579</v>
      </c>
    </row>
    <row r="404" spans="2:28">
      <c r="B404" s="182" t="str">
        <f t="shared" si="26"/>
        <v>vložený TIP-ON clip 110°</v>
      </c>
      <c r="M404" s="175" t="s">
        <v>591</v>
      </c>
      <c r="N404" s="133" t="s">
        <v>591</v>
      </c>
      <c r="O404" s="133" t="s">
        <v>707</v>
      </c>
      <c r="P404" s="133" t="s">
        <v>1276</v>
      </c>
      <c r="Q404" s="133" t="s">
        <v>1536</v>
      </c>
      <c r="R404" s="318" t="s">
        <v>3919</v>
      </c>
      <c r="AA404" s="318" t="s">
        <v>3681</v>
      </c>
      <c r="AB404" t="s">
        <v>4580</v>
      </c>
    </row>
    <row r="405" spans="2:28">
      <c r="B405" s="182" t="str">
        <f t="shared" si="26"/>
        <v>naložený clip</v>
      </c>
      <c r="M405" s="175" t="s">
        <v>646</v>
      </c>
      <c r="N405" s="133" t="s">
        <v>64</v>
      </c>
      <c r="O405" s="133" t="s">
        <v>216</v>
      </c>
      <c r="P405" s="133" t="s">
        <v>282</v>
      </c>
      <c r="Q405" s="133" t="s">
        <v>1448</v>
      </c>
      <c r="R405" s="318" t="s">
        <v>3770</v>
      </c>
      <c r="AA405" s="318" t="s">
        <v>3682</v>
      </c>
      <c r="AB405" t="s">
        <v>4581</v>
      </c>
    </row>
    <row r="406" spans="2:28">
      <c r="B406" s="182" t="str">
        <f t="shared" si="26"/>
        <v>polonaložený clip</v>
      </c>
      <c r="M406" s="175" t="s">
        <v>647</v>
      </c>
      <c r="N406" s="133" t="s">
        <v>65</v>
      </c>
      <c r="O406" s="133" t="s">
        <v>217</v>
      </c>
      <c r="P406" s="133" t="s">
        <v>1242</v>
      </c>
      <c r="Q406" s="133" t="s">
        <v>1449</v>
      </c>
      <c r="R406" s="318" t="s">
        <v>3771</v>
      </c>
      <c r="AA406" s="318" t="s">
        <v>3683</v>
      </c>
      <c r="AB406" t="s">
        <v>4582</v>
      </c>
    </row>
    <row r="407" spans="2:28">
      <c r="B407" s="182" t="str">
        <f t="shared" si="26"/>
        <v>Vložený clip</v>
      </c>
      <c r="M407" s="175" t="s">
        <v>66</v>
      </c>
      <c r="N407" s="133" t="s">
        <v>66</v>
      </c>
      <c r="O407" s="133" t="s">
        <v>218</v>
      </c>
      <c r="P407" s="133" t="s">
        <v>1243</v>
      </c>
      <c r="Q407" s="133" t="s">
        <v>1450</v>
      </c>
      <c r="R407" s="318" t="s">
        <v>3772</v>
      </c>
      <c r="AA407" s="318" t="s">
        <v>3684</v>
      </c>
      <c r="AB407" t="s">
        <v>4583</v>
      </c>
    </row>
    <row r="408" spans="2:28">
      <c r="B408" s="182" t="str">
        <f t="shared" si="26"/>
        <v>naložený s tlumením clip 95°</v>
      </c>
      <c r="M408" s="175" t="s">
        <v>592</v>
      </c>
      <c r="N408" s="133" t="s">
        <v>708</v>
      </c>
      <c r="O408" s="133" t="s">
        <v>709</v>
      </c>
      <c r="P408" s="133" t="s">
        <v>830</v>
      </c>
      <c r="Q408" s="133" t="s">
        <v>1537</v>
      </c>
      <c r="R408" s="318" t="s">
        <v>3920</v>
      </c>
      <c r="AA408" s="318" t="s">
        <v>3685</v>
      </c>
      <c r="AB408" t="s">
        <v>4584</v>
      </c>
    </row>
    <row r="409" spans="2:28">
      <c r="B409" s="182" t="str">
        <f t="shared" si="26"/>
        <v>polonaložený s tlumením clip 95°</v>
      </c>
      <c r="M409" s="175" t="s">
        <v>593</v>
      </c>
      <c r="N409" s="133" t="s">
        <v>710</v>
      </c>
      <c r="O409" s="133" t="s">
        <v>711</v>
      </c>
      <c r="P409" s="133" t="s">
        <v>1277</v>
      </c>
      <c r="Q409" s="133" t="s">
        <v>1538</v>
      </c>
      <c r="R409" s="318" t="s">
        <v>3921</v>
      </c>
      <c r="AA409" s="318" t="s">
        <v>3686</v>
      </c>
      <c r="AB409" t="s">
        <v>4585</v>
      </c>
    </row>
    <row r="410" spans="2:28">
      <c r="B410" s="182" t="str">
        <f t="shared" si="26"/>
        <v>vložený s tlumením clip 95°</v>
      </c>
      <c r="M410" s="175" t="s">
        <v>594</v>
      </c>
      <c r="N410" s="133" t="s">
        <v>712</v>
      </c>
      <c r="O410" s="133" t="s">
        <v>713</v>
      </c>
      <c r="P410" s="133" t="s">
        <v>1278</v>
      </c>
      <c r="Q410" s="133" t="s">
        <v>1539</v>
      </c>
      <c r="R410" s="318" t="s">
        <v>3922</v>
      </c>
      <c r="AA410" s="318" t="s">
        <v>3687</v>
      </c>
      <c r="AB410" t="s">
        <v>4586</v>
      </c>
    </row>
    <row r="411" spans="2:28">
      <c r="B411" s="182" t="str">
        <f t="shared" si="26"/>
        <v>naložený TIP-ON clip 95°</v>
      </c>
      <c r="M411" s="175" t="s">
        <v>595</v>
      </c>
      <c r="N411" s="133" t="s">
        <v>595</v>
      </c>
      <c r="O411" s="133" t="s">
        <v>714</v>
      </c>
      <c r="P411" s="133" t="s">
        <v>831</v>
      </c>
      <c r="Q411" s="133" t="s">
        <v>1540</v>
      </c>
      <c r="R411" s="318" t="s">
        <v>3923</v>
      </c>
      <c r="AA411" s="318" t="s">
        <v>3688</v>
      </c>
      <c r="AB411" t="s">
        <v>4587</v>
      </c>
    </row>
    <row r="412" spans="2:28">
      <c r="B412" s="182" t="str">
        <f t="shared" si="26"/>
        <v>naložený TIP-ON clip 120°</v>
      </c>
      <c r="M412" s="175" t="s">
        <v>596</v>
      </c>
      <c r="N412" s="133" t="s">
        <v>596</v>
      </c>
      <c r="O412" s="133" t="s">
        <v>715</v>
      </c>
      <c r="P412" s="133" t="s">
        <v>832</v>
      </c>
      <c r="Q412" s="133" t="s">
        <v>1541</v>
      </c>
      <c r="R412" s="318" t="s">
        <v>3924</v>
      </c>
      <c r="AA412" s="318" t="s">
        <v>3689</v>
      </c>
      <c r="AB412" t="s">
        <v>4588</v>
      </c>
    </row>
    <row r="413" spans="2:28">
      <c r="B413" s="182" t="str">
        <f t="shared" si="26"/>
        <v>Clip na eurošroub</v>
      </c>
      <c r="M413" s="175" t="s">
        <v>83</v>
      </c>
      <c r="N413" s="133" t="s">
        <v>175</v>
      </c>
      <c r="O413" s="133" t="s">
        <v>238</v>
      </c>
      <c r="P413" s="133" t="s">
        <v>300</v>
      </c>
      <c r="Q413" s="133" t="s">
        <v>1470</v>
      </c>
      <c r="R413" s="318" t="s">
        <v>3925</v>
      </c>
      <c r="AA413" s="318" t="s">
        <v>3690</v>
      </c>
      <c r="AB413" t="s">
        <v>4589</v>
      </c>
    </row>
    <row r="414" spans="2:28">
      <c r="B414" s="182" t="str">
        <f t="shared" si="26"/>
        <v>Clip na vrut</v>
      </c>
      <c r="M414" s="175" t="s">
        <v>82</v>
      </c>
      <c r="N414" s="133" t="s">
        <v>176</v>
      </c>
      <c r="O414" s="133" t="s">
        <v>239</v>
      </c>
      <c r="P414" s="133" t="s">
        <v>301</v>
      </c>
      <c r="Q414" s="133" t="s">
        <v>1471</v>
      </c>
      <c r="R414" s="318" t="s">
        <v>3794</v>
      </c>
      <c r="AA414" s="318" t="s">
        <v>3691</v>
      </c>
      <c r="AB414" t="s">
        <v>4590</v>
      </c>
    </row>
    <row r="415" spans="2:28">
      <c r="B415" s="182" t="str">
        <f t="shared" si="26"/>
        <v xml:space="preserve">Zvýšená o 6 mm </v>
      </c>
      <c r="M415" s="175" t="s">
        <v>84</v>
      </c>
      <c r="N415" s="133" t="s">
        <v>177</v>
      </c>
      <c r="O415" s="133" t="s">
        <v>1303</v>
      </c>
      <c r="P415" s="133" t="s">
        <v>302</v>
      </c>
      <c r="Q415" s="133" t="s">
        <v>906</v>
      </c>
      <c r="R415" s="318" t="s">
        <v>3926</v>
      </c>
      <c r="AA415" s="318" t="s">
        <v>4562</v>
      </c>
      <c r="AB415" t="s">
        <v>4591</v>
      </c>
    </row>
    <row r="416" spans="2:28">
      <c r="B416" s="182" t="str">
        <f t="shared" si="26"/>
        <v>naložený k nasunutí</v>
      </c>
      <c r="M416" s="133" t="s">
        <v>635</v>
      </c>
      <c r="N416" s="133" t="s">
        <v>716</v>
      </c>
      <c r="O416" s="133" t="s">
        <v>717</v>
      </c>
      <c r="P416" s="133" t="s">
        <v>1279</v>
      </c>
      <c r="Q416" s="133" t="s">
        <v>1542</v>
      </c>
      <c r="R416" s="318" t="s">
        <v>3927</v>
      </c>
      <c r="AA416" s="318" t="s">
        <v>4442</v>
      </c>
      <c r="AB416" t="s">
        <v>4433</v>
      </c>
    </row>
    <row r="417" spans="2:28">
      <c r="B417" s="182" t="str">
        <f t="shared" si="26"/>
        <v>polonaložený k nasunutí</v>
      </c>
      <c r="M417" s="133" t="s">
        <v>636</v>
      </c>
      <c r="N417" s="133" t="s">
        <v>718</v>
      </c>
      <c r="O417" s="133" t="s">
        <v>719</v>
      </c>
      <c r="P417" s="133" t="s">
        <v>1280</v>
      </c>
      <c r="Q417" s="133" t="s">
        <v>1543</v>
      </c>
      <c r="R417" s="318" t="s">
        <v>3928</v>
      </c>
      <c r="AA417" s="318" t="s">
        <v>3692</v>
      </c>
      <c r="AB417" t="s">
        <v>4592</v>
      </c>
    </row>
    <row r="418" spans="2:28">
      <c r="B418" s="182" t="str">
        <f t="shared" si="26"/>
        <v>vložený k nasunutí</v>
      </c>
      <c r="M418" s="133" t="s">
        <v>637</v>
      </c>
      <c r="N418" s="133" t="s">
        <v>720</v>
      </c>
      <c r="O418" s="133" t="s">
        <v>721</v>
      </c>
      <c r="P418" s="133" t="s">
        <v>1281</v>
      </c>
      <c r="Q418" s="133" t="s">
        <v>1544</v>
      </c>
      <c r="R418" s="318" t="s">
        <v>3929</v>
      </c>
      <c r="AA418" s="318" t="s">
        <v>3693</v>
      </c>
      <c r="AB418" t="s">
        <v>556</v>
      </c>
    </row>
    <row r="419" spans="2:28">
      <c r="B419" s="182" t="str">
        <f t="shared" si="26"/>
        <v>STRONG 30N bílý Automatický</v>
      </c>
      <c r="M419" s="133" t="s">
        <v>600</v>
      </c>
      <c r="N419" s="133" t="s">
        <v>722</v>
      </c>
      <c r="O419" s="133" t="s">
        <v>723</v>
      </c>
      <c r="P419" s="133" t="s">
        <v>724</v>
      </c>
      <c r="Q419" s="133" t="s">
        <v>919</v>
      </c>
      <c r="R419" t="s">
        <v>3930</v>
      </c>
      <c r="AA419" s="318" t="s">
        <v>3694</v>
      </c>
      <c r="AB419" t="s">
        <v>4593</v>
      </c>
    </row>
    <row r="420" spans="2:28">
      <c r="B420" s="182" t="str">
        <f t="shared" si="26"/>
        <v>STRONG 60N bílý Automatický</v>
      </c>
      <c r="M420" s="133" t="s">
        <v>601</v>
      </c>
      <c r="N420" s="133" t="s">
        <v>725</v>
      </c>
      <c r="O420" s="133" t="s">
        <v>726</v>
      </c>
      <c r="P420" s="133" t="s">
        <v>727</v>
      </c>
      <c r="Q420" s="133" t="s">
        <v>920</v>
      </c>
      <c r="R420" t="s">
        <v>3931</v>
      </c>
      <c r="AA420" s="318" t="s">
        <v>3695</v>
      </c>
      <c r="AB420" t="s">
        <v>4594</v>
      </c>
    </row>
    <row r="421" spans="2:28">
      <c r="B421" s="182" t="str">
        <f t="shared" si="26"/>
        <v>STRONG 80N bílý Automatický</v>
      </c>
      <c r="M421" s="133" t="s">
        <v>602</v>
      </c>
      <c r="N421" s="133" t="s">
        <v>728</v>
      </c>
      <c r="O421" s="133" t="s">
        <v>729</v>
      </c>
      <c r="P421" s="133" t="s">
        <v>730</v>
      </c>
      <c r="Q421" s="133" t="s">
        <v>921</v>
      </c>
      <c r="R421" t="s">
        <v>3932</v>
      </c>
      <c r="AA421" s="318" t="s">
        <v>3696</v>
      </c>
      <c r="AB421" t="s">
        <v>4445</v>
      </c>
    </row>
    <row r="422" spans="2:28">
      <c r="B422" s="182" t="str">
        <f t="shared" si="26"/>
        <v>STRONG 100N bílý Automatický</v>
      </c>
      <c r="M422" s="133" t="s">
        <v>603</v>
      </c>
      <c r="N422" s="133" t="s">
        <v>731</v>
      </c>
      <c r="O422" s="133" t="s">
        <v>732</v>
      </c>
      <c r="P422" s="133" t="s">
        <v>733</v>
      </c>
      <c r="Q422" s="133" t="s">
        <v>922</v>
      </c>
      <c r="R422" t="s">
        <v>3933</v>
      </c>
      <c r="AA422" s="318" t="s">
        <v>3697</v>
      </c>
      <c r="AB422" t="s">
        <v>4595</v>
      </c>
    </row>
    <row r="423" spans="2:28">
      <c r="B423" s="182" t="str">
        <f t="shared" si="26"/>
        <v>STRONG 120N bílý Automatický</v>
      </c>
      <c r="M423" s="133" t="s">
        <v>604</v>
      </c>
      <c r="N423" s="133" t="s">
        <v>734</v>
      </c>
      <c r="O423" s="133" t="s">
        <v>735</v>
      </c>
      <c r="P423" s="133" t="s">
        <v>736</v>
      </c>
      <c r="Q423" s="133" t="s">
        <v>923</v>
      </c>
      <c r="R423" t="s">
        <v>3934</v>
      </c>
      <c r="AA423" s="318" t="s">
        <v>3698</v>
      </c>
      <c r="AB423" t="s">
        <v>4596</v>
      </c>
    </row>
    <row r="424" spans="2:28">
      <c r="B424" s="182" t="str">
        <f t="shared" si="26"/>
        <v>STRONG 60N bílý Polohovací</v>
      </c>
      <c r="M424" s="133" t="s">
        <v>605</v>
      </c>
      <c r="N424" s="133" t="s">
        <v>737</v>
      </c>
      <c r="O424" s="133" t="s">
        <v>738</v>
      </c>
      <c r="P424" s="133" t="s">
        <v>739</v>
      </c>
      <c r="Q424" s="133" t="s">
        <v>1545</v>
      </c>
      <c r="R424" t="s">
        <v>3935</v>
      </c>
      <c r="AA424" s="318" t="s">
        <v>3699</v>
      </c>
      <c r="AB424" t="s">
        <v>4597</v>
      </c>
    </row>
    <row r="425" spans="2:28">
      <c r="B425" s="182" t="str">
        <f t="shared" si="26"/>
        <v>STRONG 80N bílý Polohovací</v>
      </c>
      <c r="M425" s="133" t="s">
        <v>606</v>
      </c>
      <c r="N425" s="133" t="s">
        <v>740</v>
      </c>
      <c r="O425" s="133" t="s">
        <v>741</v>
      </c>
      <c r="P425" s="133" t="s">
        <v>742</v>
      </c>
      <c r="Q425" s="133" t="s">
        <v>1546</v>
      </c>
      <c r="R425" t="s">
        <v>3936</v>
      </c>
      <c r="AA425" s="318" t="s">
        <v>3700</v>
      </c>
      <c r="AB425" t="s">
        <v>4598</v>
      </c>
    </row>
    <row r="426" spans="2:28">
      <c r="B426" s="182" t="str">
        <f t="shared" si="26"/>
        <v>STRONG 100N bílý Polohovací</v>
      </c>
      <c r="M426" s="133" t="s">
        <v>607</v>
      </c>
      <c r="N426" s="133" t="s">
        <v>743</v>
      </c>
      <c r="O426" s="133" t="s">
        <v>744</v>
      </c>
      <c r="P426" s="133" t="s">
        <v>745</v>
      </c>
      <c r="Q426" s="133" t="s">
        <v>1547</v>
      </c>
      <c r="R426" t="s">
        <v>3937</v>
      </c>
      <c r="AA426" s="318" t="s">
        <v>3701</v>
      </c>
      <c r="AB426" t="s">
        <v>4599</v>
      </c>
    </row>
    <row r="427" spans="2:28">
      <c r="B427" s="182" t="str">
        <f t="shared" si="26"/>
        <v>STRONG 120N bílý Polohovací</v>
      </c>
      <c r="M427" s="133" t="s">
        <v>608</v>
      </c>
      <c r="N427" s="133" t="s">
        <v>746</v>
      </c>
      <c r="O427" s="133" t="s">
        <v>747</v>
      </c>
      <c r="P427" s="133" t="s">
        <v>748</v>
      </c>
      <c r="Q427" s="133" t="s">
        <v>1548</v>
      </c>
      <c r="R427" t="s">
        <v>3938</v>
      </c>
      <c r="AA427" s="318" t="s">
        <v>3702</v>
      </c>
      <c r="AB427" t="s">
        <v>4600</v>
      </c>
    </row>
    <row r="428" spans="2:28">
      <c r="B428" s="182" t="str">
        <f t="shared" ref="B428:B491" si="27">IF($D$1=1,M428,IF($D$1=2,N428,IF($D$1=3,O428,IF($D$1=4,P428,IF($D$1=5,Q428,IF($D$1=6,R428,0))))))</f>
        <v>STRONG 30N šedý Automatický</v>
      </c>
      <c r="M428" s="133" t="s">
        <v>609</v>
      </c>
      <c r="N428" s="133" t="s">
        <v>609</v>
      </c>
      <c r="O428" s="133" t="s">
        <v>749</v>
      </c>
      <c r="P428" s="133" t="s">
        <v>750</v>
      </c>
      <c r="Q428" s="133" t="s">
        <v>1388</v>
      </c>
      <c r="R428" s="318" t="s">
        <v>3939</v>
      </c>
      <c r="AA428" s="318" t="s">
        <v>3703</v>
      </c>
      <c r="AB428" t="s">
        <v>4601</v>
      </c>
    </row>
    <row r="429" spans="2:28">
      <c r="B429" s="182" t="str">
        <f t="shared" si="27"/>
        <v>STRONG 60N šedý Automatický</v>
      </c>
      <c r="M429" s="133" t="s">
        <v>610</v>
      </c>
      <c r="N429" s="133" t="s">
        <v>610</v>
      </c>
      <c r="O429" s="133" t="s">
        <v>751</v>
      </c>
      <c r="P429" s="133" t="s">
        <v>752</v>
      </c>
      <c r="Q429" s="133" t="s">
        <v>924</v>
      </c>
      <c r="R429" s="318" t="s">
        <v>3940</v>
      </c>
      <c r="AA429" s="318" t="s">
        <v>3704</v>
      </c>
      <c r="AB429" t="s">
        <v>4602</v>
      </c>
    </row>
    <row r="430" spans="2:28">
      <c r="B430" s="182" t="str">
        <f t="shared" si="27"/>
        <v>STRONG 80N šedý Automatický</v>
      </c>
      <c r="M430" s="133" t="s">
        <v>611</v>
      </c>
      <c r="N430" s="133" t="s">
        <v>611</v>
      </c>
      <c r="O430" s="133" t="s">
        <v>753</v>
      </c>
      <c r="P430" s="133" t="s">
        <v>754</v>
      </c>
      <c r="Q430" s="133" t="s">
        <v>1389</v>
      </c>
      <c r="R430" s="318" t="s">
        <v>3941</v>
      </c>
      <c r="AA430" s="318" t="s">
        <v>3705</v>
      </c>
      <c r="AB430" t="s">
        <v>4603</v>
      </c>
    </row>
    <row r="431" spans="2:28">
      <c r="B431" s="182" t="str">
        <f t="shared" si="27"/>
        <v>STRONG 100N šedý Automatický</v>
      </c>
      <c r="M431" s="133" t="s">
        <v>612</v>
      </c>
      <c r="N431" s="133" t="s">
        <v>612</v>
      </c>
      <c r="O431" s="133" t="s">
        <v>755</v>
      </c>
      <c r="P431" s="133" t="s">
        <v>756</v>
      </c>
      <c r="Q431" s="133" t="s">
        <v>925</v>
      </c>
      <c r="R431" s="318" t="s">
        <v>3942</v>
      </c>
      <c r="AA431" s="318" t="s">
        <v>3706</v>
      </c>
      <c r="AB431" t="s">
        <v>4604</v>
      </c>
    </row>
    <row r="432" spans="2:28">
      <c r="B432" s="182" t="str">
        <f t="shared" si="27"/>
        <v>STRONG 120N šedý Automatický</v>
      </c>
      <c r="M432" s="133" t="s">
        <v>613</v>
      </c>
      <c r="N432" s="133" t="s">
        <v>613</v>
      </c>
      <c r="O432" s="133" t="s">
        <v>757</v>
      </c>
      <c r="P432" s="133" t="s">
        <v>758</v>
      </c>
      <c r="Q432" s="133" t="s">
        <v>926</v>
      </c>
      <c r="R432" s="318" t="s">
        <v>3943</v>
      </c>
      <c r="AA432" s="318" t="s">
        <v>3707</v>
      </c>
      <c r="AB432" t="s">
        <v>4605</v>
      </c>
    </row>
    <row r="433" spans="2:28">
      <c r="B433" s="182" t="str">
        <f t="shared" si="27"/>
        <v>STRONG 60N šedý Polohovací</v>
      </c>
      <c r="M433" s="133" t="s">
        <v>614</v>
      </c>
      <c r="N433" s="133" t="s">
        <v>614</v>
      </c>
      <c r="O433" s="133" t="s">
        <v>759</v>
      </c>
      <c r="P433" s="133" t="s">
        <v>760</v>
      </c>
      <c r="Q433" s="133" t="s">
        <v>1549</v>
      </c>
      <c r="R433" s="318" t="s">
        <v>3944</v>
      </c>
      <c r="AA433" s="318" t="s">
        <v>3708</v>
      </c>
      <c r="AB433" t="s">
        <v>4606</v>
      </c>
    </row>
    <row r="434" spans="2:28">
      <c r="B434" s="182" t="str">
        <f t="shared" si="27"/>
        <v>STRONG 80N šedý Polohovací</v>
      </c>
      <c r="M434" s="133" t="s">
        <v>615</v>
      </c>
      <c r="N434" s="133" t="s">
        <v>615</v>
      </c>
      <c r="O434" s="133" t="s">
        <v>761</v>
      </c>
      <c r="P434" s="133" t="s">
        <v>762</v>
      </c>
      <c r="Q434" s="133" t="s">
        <v>1550</v>
      </c>
      <c r="R434" s="318" t="s">
        <v>3945</v>
      </c>
      <c r="AA434" s="318" t="s">
        <v>3709</v>
      </c>
      <c r="AB434" t="s">
        <v>4607</v>
      </c>
    </row>
    <row r="435" spans="2:28">
      <c r="B435" s="182" t="str">
        <f t="shared" si="27"/>
        <v>STRONG 100N šedý Polohovací</v>
      </c>
      <c r="M435" s="133" t="s">
        <v>616</v>
      </c>
      <c r="N435" s="133" t="s">
        <v>616</v>
      </c>
      <c r="O435" s="133" t="s">
        <v>763</v>
      </c>
      <c r="P435" s="133" t="s">
        <v>764</v>
      </c>
      <c r="Q435" s="133" t="s">
        <v>1551</v>
      </c>
      <c r="R435" s="318" t="s">
        <v>3946</v>
      </c>
      <c r="AA435" s="318" t="s">
        <v>4400</v>
      </c>
      <c r="AB435" t="s">
        <v>4418</v>
      </c>
    </row>
    <row r="436" spans="2:28">
      <c r="B436" s="182" t="str">
        <f t="shared" si="27"/>
        <v>STRONG 120N šedý Polohovací</v>
      </c>
      <c r="M436" s="133" t="s">
        <v>617</v>
      </c>
      <c r="N436" s="133" t="s">
        <v>617</v>
      </c>
      <c r="O436" s="133" t="s">
        <v>765</v>
      </c>
      <c r="P436" s="133" t="s">
        <v>766</v>
      </c>
      <c r="Q436" s="133" t="s">
        <v>1390</v>
      </c>
      <c r="R436" s="318" t="s">
        <v>3947</v>
      </c>
      <c r="AA436" s="318" t="s">
        <v>3705</v>
      </c>
      <c r="AB436" t="s">
        <v>4608</v>
      </c>
    </row>
    <row r="437" spans="2:28">
      <c r="B437" s="182" t="str">
        <f t="shared" si="27"/>
        <v>HUWIL DUO</v>
      </c>
      <c r="M437" s="133" t="s">
        <v>618</v>
      </c>
      <c r="N437" s="133" t="s">
        <v>618</v>
      </c>
      <c r="O437" s="133" t="s">
        <v>618</v>
      </c>
      <c r="P437" s="133" t="s">
        <v>618</v>
      </c>
      <c r="Q437" s="133" t="s">
        <v>618</v>
      </c>
      <c r="R437" s="133" t="s">
        <v>618</v>
      </c>
      <c r="AA437" s="318" t="s">
        <v>4425</v>
      </c>
      <c r="AB437" t="s">
        <v>4609</v>
      </c>
    </row>
    <row r="438" spans="2:28">
      <c r="B438" s="182" t="str">
        <f t="shared" si="27"/>
        <v>HUWIL DUO FORTE</v>
      </c>
      <c r="M438" s="133" t="s">
        <v>619</v>
      </c>
      <c r="N438" s="133" t="s">
        <v>619</v>
      </c>
      <c r="O438" s="133" t="s">
        <v>619</v>
      </c>
      <c r="P438" s="133" t="s">
        <v>619</v>
      </c>
      <c r="Q438" s="133" t="s">
        <v>619</v>
      </c>
      <c r="R438" s="133" t="s">
        <v>619</v>
      </c>
      <c r="AA438" s="318" t="s">
        <v>4411</v>
      </c>
      <c r="AB438" t="s">
        <v>4419</v>
      </c>
    </row>
    <row r="439" spans="2:28">
      <c r="B439" s="182" t="str">
        <f t="shared" si="27"/>
        <v>HUWILIFT MAXI</v>
      </c>
      <c r="M439" s="133" t="s">
        <v>620</v>
      </c>
      <c r="N439" s="133" t="s">
        <v>620</v>
      </c>
      <c r="O439" s="133" t="s">
        <v>620</v>
      </c>
      <c r="P439" s="133" t="s">
        <v>620</v>
      </c>
      <c r="Q439" s="133" t="s">
        <v>620</v>
      </c>
      <c r="R439" s="133" t="s">
        <v>620</v>
      </c>
      <c r="AA439" s="318" t="s">
        <v>4417</v>
      </c>
      <c r="AB439" t="s">
        <v>4420</v>
      </c>
    </row>
    <row r="440" spans="2:28">
      <c r="B440" s="182" t="str">
        <f t="shared" si="27"/>
        <v>KRABY 164 45N</v>
      </c>
      <c r="M440" s="133" t="s">
        <v>415</v>
      </c>
      <c r="N440" s="133" t="s">
        <v>415</v>
      </c>
      <c r="O440" s="133" t="s">
        <v>415</v>
      </c>
      <c r="P440" s="133" t="s">
        <v>415</v>
      </c>
      <c r="Q440" s="133" t="s">
        <v>415</v>
      </c>
      <c r="R440" s="133" t="s">
        <v>415</v>
      </c>
      <c r="AA440" s="318" t="s">
        <v>4474</v>
      </c>
      <c r="AB440" t="s">
        <v>4610</v>
      </c>
    </row>
    <row r="441" spans="2:28">
      <c r="B441" s="182" t="str">
        <f t="shared" si="27"/>
        <v>KRABY 164 60N</v>
      </c>
      <c r="M441" s="133" t="s">
        <v>416</v>
      </c>
      <c r="N441" s="133" t="s">
        <v>416</v>
      </c>
      <c r="O441" s="133" t="s">
        <v>416</v>
      </c>
      <c r="P441" s="133" t="s">
        <v>416</v>
      </c>
      <c r="Q441" s="133" t="s">
        <v>416</v>
      </c>
      <c r="R441" s="133" t="s">
        <v>416</v>
      </c>
      <c r="AA441" s="318" t="s">
        <v>4475</v>
      </c>
      <c r="AB441" t="s">
        <v>4611</v>
      </c>
    </row>
    <row r="442" spans="2:28">
      <c r="B442" s="182" t="str">
        <f t="shared" si="27"/>
        <v>KRABY 244 45N</v>
      </c>
      <c r="M442" s="133" t="s">
        <v>417</v>
      </c>
      <c r="N442" s="133" t="s">
        <v>417</v>
      </c>
      <c r="O442" s="133" t="s">
        <v>417</v>
      </c>
      <c r="P442" s="133" t="s">
        <v>417</v>
      </c>
      <c r="Q442" s="133" t="s">
        <v>417</v>
      </c>
      <c r="R442" s="133" t="s">
        <v>417</v>
      </c>
      <c r="AA442" s="318" t="s">
        <v>4476</v>
      </c>
      <c r="AB442" t="s">
        <v>4612</v>
      </c>
    </row>
    <row r="443" spans="2:28">
      <c r="B443" s="182" t="str">
        <f t="shared" si="27"/>
        <v>KRABY 244 60N</v>
      </c>
      <c r="M443" s="133" t="s">
        <v>418</v>
      </c>
      <c r="N443" s="133" t="s">
        <v>418</v>
      </c>
      <c r="O443" s="133" t="s">
        <v>418</v>
      </c>
      <c r="P443" s="133" t="s">
        <v>418</v>
      </c>
      <c r="Q443" s="133" t="s">
        <v>418</v>
      </c>
      <c r="R443" s="133" t="s">
        <v>418</v>
      </c>
      <c r="AA443" s="318" t="s">
        <v>4488</v>
      </c>
      <c r="AB443" t="s">
        <v>4613</v>
      </c>
    </row>
    <row r="444" spans="2:28">
      <c r="B444" s="182" t="str">
        <f t="shared" si="27"/>
        <v>KRABY 244 90N</v>
      </c>
      <c r="M444" s="133" t="s">
        <v>419</v>
      </c>
      <c r="N444" s="133" t="s">
        <v>419</v>
      </c>
      <c r="O444" s="133" t="s">
        <v>419</v>
      </c>
      <c r="P444" s="133" t="s">
        <v>419</v>
      </c>
      <c r="Q444" s="133" t="s">
        <v>419</v>
      </c>
      <c r="R444" s="133" t="s">
        <v>419</v>
      </c>
      <c r="AA444" s="318" t="s">
        <v>4487</v>
      </c>
      <c r="AB444" t="s">
        <v>4614</v>
      </c>
    </row>
    <row r="445" spans="2:28">
      <c r="B445" s="182" t="str">
        <f t="shared" si="27"/>
        <v>KRABY 244 120N</v>
      </c>
      <c r="M445" s="133" t="s">
        <v>420</v>
      </c>
      <c r="N445" s="133" t="s">
        <v>420</v>
      </c>
      <c r="O445" s="133" t="s">
        <v>420</v>
      </c>
      <c r="P445" s="133" t="s">
        <v>420</v>
      </c>
      <c r="Q445" s="133" t="s">
        <v>420</v>
      </c>
      <c r="R445" s="133" t="s">
        <v>420</v>
      </c>
      <c r="AA445" s="318" t="s">
        <v>3710</v>
      </c>
      <c r="AB445" t="s">
        <v>4615</v>
      </c>
    </row>
    <row r="446" spans="2:28">
      <c r="B446" s="182" t="str">
        <f t="shared" si="27"/>
        <v>KRABY 355 45N</v>
      </c>
      <c r="M446" s="133" t="s">
        <v>421</v>
      </c>
      <c r="N446" s="133" t="s">
        <v>421</v>
      </c>
      <c r="O446" s="133" t="s">
        <v>421</v>
      </c>
      <c r="P446" s="133" t="s">
        <v>421</v>
      </c>
      <c r="Q446" s="133" t="s">
        <v>421</v>
      </c>
      <c r="R446" s="133" t="s">
        <v>421</v>
      </c>
      <c r="AA446" s="318" t="s">
        <v>3711</v>
      </c>
      <c r="AB446" t="s">
        <v>4616</v>
      </c>
    </row>
    <row r="447" spans="2:28">
      <c r="B447" s="182" t="str">
        <f t="shared" si="27"/>
        <v>KRABY 355 60N</v>
      </c>
      <c r="M447" s="133" t="s">
        <v>422</v>
      </c>
      <c r="N447" s="133" t="s">
        <v>422</v>
      </c>
      <c r="O447" s="133" t="s">
        <v>422</v>
      </c>
      <c r="P447" s="133" t="s">
        <v>422</v>
      </c>
      <c r="Q447" s="133" t="s">
        <v>422</v>
      </c>
      <c r="R447" s="133" t="s">
        <v>422</v>
      </c>
      <c r="AA447" s="318" t="s">
        <v>3712</v>
      </c>
      <c r="AB447" t="s">
        <v>4617</v>
      </c>
    </row>
    <row r="448" spans="2:28">
      <c r="B448" s="182" t="str">
        <f t="shared" si="27"/>
        <v>KRABY 355 90N</v>
      </c>
      <c r="M448" s="133" t="s">
        <v>423</v>
      </c>
      <c r="N448" s="133" t="s">
        <v>423</v>
      </c>
      <c r="O448" s="133" t="s">
        <v>423</v>
      </c>
      <c r="P448" s="133" t="s">
        <v>423</v>
      </c>
      <c r="Q448" s="133" t="s">
        <v>423</v>
      </c>
      <c r="R448" s="133" t="s">
        <v>423</v>
      </c>
      <c r="AA448" s="318" t="s">
        <v>3713</v>
      </c>
      <c r="AB448" t="s">
        <v>4618</v>
      </c>
    </row>
    <row r="449" spans="2:28">
      <c r="B449" s="182" t="str">
        <f t="shared" si="27"/>
        <v>KRABY 355 120N</v>
      </c>
      <c r="M449" s="133" t="s">
        <v>424</v>
      </c>
      <c r="N449" s="133" t="s">
        <v>424</v>
      </c>
      <c r="O449" s="133" t="s">
        <v>424</v>
      </c>
      <c r="P449" s="133" t="s">
        <v>424</v>
      </c>
      <c r="Q449" s="133" t="s">
        <v>424</v>
      </c>
      <c r="R449" s="133" t="s">
        <v>424</v>
      </c>
      <c r="AA449" s="318" t="s">
        <v>3714</v>
      </c>
      <c r="AB449" t="s">
        <v>4619</v>
      </c>
    </row>
    <row r="450" spans="2:28">
      <c r="B450" s="182" t="str">
        <f t="shared" si="27"/>
        <v>K12 244 50N</v>
      </c>
      <c r="M450" s="133" t="s">
        <v>621</v>
      </c>
      <c r="N450" s="133" t="s">
        <v>621</v>
      </c>
      <c r="O450" s="133" t="s">
        <v>621</v>
      </c>
      <c r="P450" s="133" t="s">
        <v>621</v>
      </c>
      <c r="Q450" s="133" t="s">
        <v>621</v>
      </c>
      <c r="R450" s="133" t="s">
        <v>621</v>
      </c>
      <c r="AA450" s="318" t="s">
        <v>3715</v>
      </c>
      <c r="AB450" t="s">
        <v>4620</v>
      </c>
    </row>
    <row r="451" spans="2:28">
      <c r="B451" s="182" t="str">
        <f t="shared" si="27"/>
        <v>K12 244 80N</v>
      </c>
      <c r="M451" s="133" t="s">
        <v>622</v>
      </c>
      <c r="N451" s="133" t="s">
        <v>622</v>
      </c>
      <c r="O451" s="133" t="s">
        <v>622</v>
      </c>
      <c r="P451" s="133" t="s">
        <v>622</v>
      </c>
      <c r="Q451" s="133" t="s">
        <v>622</v>
      </c>
      <c r="R451" s="133" t="s">
        <v>622</v>
      </c>
      <c r="AA451" s="318" t="s">
        <v>3716</v>
      </c>
      <c r="AB451" s="185" t="s">
        <v>3053</v>
      </c>
    </row>
    <row r="452" spans="2:28">
      <c r="B452" s="182" t="str">
        <f t="shared" si="27"/>
        <v>K12 244 100N</v>
      </c>
      <c r="M452" s="133" t="s">
        <v>623</v>
      </c>
      <c r="N452" s="133" t="s">
        <v>623</v>
      </c>
      <c r="O452" s="133" t="s">
        <v>623</v>
      </c>
      <c r="P452" s="133" t="s">
        <v>623</v>
      </c>
      <c r="Q452" s="133" t="s">
        <v>623</v>
      </c>
      <c r="R452" s="133" t="s">
        <v>623</v>
      </c>
      <c r="AA452" s="318" t="s">
        <v>3717</v>
      </c>
      <c r="AB452" s="185" t="s">
        <v>3054</v>
      </c>
    </row>
    <row r="453" spans="2:28">
      <c r="B453" s="182" t="str">
        <f t="shared" si="27"/>
        <v>K12 244 120N</v>
      </c>
      <c r="M453" s="133" t="s">
        <v>624</v>
      </c>
      <c r="N453" s="133" t="s">
        <v>624</v>
      </c>
      <c r="O453" s="133" t="s">
        <v>624</v>
      </c>
      <c r="P453" s="133" t="s">
        <v>624</v>
      </c>
      <c r="Q453" s="133" t="s">
        <v>624</v>
      </c>
      <c r="R453" s="133" t="s">
        <v>624</v>
      </c>
      <c r="AA453" s="318" t="s">
        <v>3718</v>
      </c>
      <c r="AB453" s="185" t="s">
        <v>3055</v>
      </c>
    </row>
    <row r="454" spans="2:28">
      <c r="B454" s="182" t="str">
        <f t="shared" si="27"/>
        <v>K12 355 60N</v>
      </c>
      <c r="M454" s="133" t="s">
        <v>625</v>
      </c>
      <c r="N454" s="133" t="s">
        <v>625</v>
      </c>
      <c r="O454" s="133" t="s">
        <v>625</v>
      </c>
      <c r="P454" s="133" t="s">
        <v>625</v>
      </c>
      <c r="Q454" s="133" t="s">
        <v>625</v>
      </c>
      <c r="R454" s="133" t="s">
        <v>625</v>
      </c>
      <c r="AA454" s="318" t="s">
        <v>3719</v>
      </c>
      <c r="AB454" s="185" t="s">
        <v>2392</v>
      </c>
    </row>
    <row r="455" spans="2:28">
      <c r="B455" s="182" t="str">
        <f t="shared" si="27"/>
        <v>K12 355 90N</v>
      </c>
      <c r="M455" s="133" t="s">
        <v>626</v>
      </c>
      <c r="N455" s="133" t="s">
        <v>626</v>
      </c>
      <c r="O455" s="133" t="s">
        <v>626</v>
      </c>
      <c r="P455" s="133" t="s">
        <v>626</v>
      </c>
      <c r="Q455" s="133" t="s">
        <v>626</v>
      </c>
      <c r="R455" s="133" t="s">
        <v>626</v>
      </c>
      <c r="AA455" s="318" t="s">
        <v>3720</v>
      </c>
      <c r="AB455" s="185" t="s">
        <v>1235</v>
      </c>
    </row>
    <row r="456" spans="2:28">
      <c r="B456" s="182" t="str">
        <f t="shared" si="27"/>
        <v>K12 355 110N</v>
      </c>
      <c r="M456" s="133" t="s">
        <v>627</v>
      </c>
      <c r="N456" s="133" t="s">
        <v>627</v>
      </c>
      <c r="O456" s="133" t="s">
        <v>627</v>
      </c>
      <c r="P456" s="133" t="s">
        <v>627</v>
      </c>
      <c r="Q456" s="133" t="s">
        <v>627</v>
      </c>
      <c r="R456" s="133" t="s">
        <v>627</v>
      </c>
      <c r="AA456" s="318" t="s">
        <v>3721</v>
      </c>
      <c r="AB456" s="185" t="s">
        <v>1422</v>
      </c>
    </row>
    <row r="457" spans="2:28">
      <c r="B457" s="182" t="str">
        <f t="shared" si="27"/>
        <v>K12 355 130N</v>
      </c>
      <c r="M457" s="133" t="s">
        <v>628</v>
      </c>
      <c r="N457" s="133" t="s">
        <v>628</v>
      </c>
      <c r="O457" s="133" t="s">
        <v>628</v>
      </c>
      <c r="P457" s="133" t="s">
        <v>628</v>
      </c>
      <c r="Q457" s="133" t="s">
        <v>628</v>
      </c>
      <c r="R457" s="133" t="s">
        <v>628</v>
      </c>
    </row>
    <row r="458" spans="2:28">
      <c r="B458" s="182" t="str">
        <f t="shared" si="27"/>
        <v>STRONG spodní bílý</v>
      </c>
      <c r="M458" s="133" t="s">
        <v>629</v>
      </c>
      <c r="N458" s="133" t="s">
        <v>767</v>
      </c>
      <c r="O458" s="133" t="s">
        <v>768</v>
      </c>
      <c r="P458" s="133" t="s">
        <v>769</v>
      </c>
      <c r="Q458" s="133" t="s">
        <v>1552</v>
      </c>
      <c r="R458" s="318" t="s">
        <v>4148</v>
      </c>
    </row>
    <row r="459" spans="2:28">
      <c r="B459" s="182" t="str">
        <f t="shared" si="27"/>
        <v>STRONG horní šedý</v>
      </c>
      <c r="M459" s="133" t="s">
        <v>3220</v>
      </c>
      <c r="N459" s="133" t="s">
        <v>770</v>
      </c>
      <c r="O459" s="133" t="s">
        <v>771</v>
      </c>
      <c r="P459" s="133" t="s">
        <v>772</v>
      </c>
      <c r="Q459" s="133" t="s">
        <v>1553</v>
      </c>
      <c r="R459" s="318" t="s">
        <v>4149</v>
      </c>
    </row>
    <row r="460" spans="2:28">
      <c r="B460" s="182" t="str">
        <f t="shared" si="27"/>
        <v xml:space="preserve">HUWIL DUO (90°) </v>
      </c>
      <c r="M460" s="133" t="s">
        <v>631</v>
      </c>
      <c r="N460" s="133" t="s">
        <v>631</v>
      </c>
      <c r="O460" s="133" t="s">
        <v>631</v>
      </c>
      <c r="P460" s="133" t="s">
        <v>631</v>
      </c>
      <c r="Q460" s="133" t="s">
        <v>468</v>
      </c>
      <c r="R460" s="318" t="s">
        <v>468</v>
      </c>
    </row>
    <row r="461" spans="2:28">
      <c r="B461" s="182" t="str">
        <f t="shared" si="27"/>
        <v>HUWIL DUO FORTE</v>
      </c>
      <c r="M461" s="133" t="s">
        <v>619</v>
      </c>
      <c r="N461" s="133" t="s">
        <v>619</v>
      </c>
      <c r="O461" s="133" t="s">
        <v>619</v>
      </c>
      <c r="P461" s="133" t="s">
        <v>619</v>
      </c>
      <c r="Q461" s="133" t="s">
        <v>619</v>
      </c>
      <c r="R461" s="318" t="s">
        <v>619</v>
      </c>
    </row>
    <row r="462" spans="2:28">
      <c r="B462" s="182" t="str">
        <f t="shared" si="27"/>
        <v>KRABY 164 spodní</v>
      </c>
      <c r="M462" s="133" t="s">
        <v>632</v>
      </c>
      <c r="N462" s="133" t="s">
        <v>773</v>
      </c>
      <c r="O462" s="133" t="s">
        <v>774</v>
      </c>
      <c r="P462" s="133" t="s">
        <v>775</v>
      </c>
      <c r="Q462" s="133" t="s">
        <v>1391</v>
      </c>
      <c r="R462" s="318" t="s">
        <v>4150</v>
      </c>
    </row>
    <row r="463" spans="2:28">
      <c r="B463" s="182" t="str">
        <f t="shared" si="27"/>
        <v>KRABY 244 spodní</v>
      </c>
      <c r="M463" s="133" t="s">
        <v>633</v>
      </c>
      <c r="N463" s="133" t="s">
        <v>776</v>
      </c>
      <c r="O463" s="133" t="s">
        <v>777</v>
      </c>
      <c r="P463" s="133" t="s">
        <v>778</v>
      </c>
      <c r="Q463" s="133" t="s">
        <v>1392</v>
      </c>
      <c r="R463" s="318" t="s">
        <v>4151</v>
      </c>
    </row>
    <row r="464" spans="2:28">
      <c r="B464" s="182" t="str">
        <f t="shared" si="27"/>
        <v>KRABY 355 spodní</v>
      </c>
      <c r="M464" s="133" t="s">
        <v>634</v>
      </c>
      <c r="N464" s="133" t="s">
        <v>779</v>
      </c>
      <c r="O464" s="133" t="s">
        <v>780</v>
      </c>
      <c r="P464" s="133" t="s">
        <v>781</v>
      </c>
      <c r="Q464" s="133" t="s">
        <v>1393</v>
      </c>
      <c r="R464" s="318" t="s">
        <v>4152</v>
      </c>
    </row>
    <row r="465" spans="2:18">
      <c r="B465" s="182" t="str">
        <f t="shared" si="27"/>
        <v>STRONG 30N bílý Automatický</v>
      </c>
      <c r="M465" s="133" t="s">
        <v>600</v>
      </c>
      <c r="N465" s="133" t="s">
        <v>722</v>
      </c>
      <c r="O465" s="133" t="s">
        <v>723</v>
      </c>
      <c r="P465" s="133" t="s">
        <v>724</v>
      </c>
      <c r="Q465" s="133" t="s">
        <v>919</v>
      </c>
      <c r="R465" s="318" t="s">
        <v>3930</v>
      </c>
    </row>
    <row r="466" spans="2:18">
      <c r="B466" s="182" t="str">
        <f t="shared" si="27"/>
        <v>STRONG 60N bílý Automatický</v>
      </c>
      <c r="M466" s="133" t="s">
        <v>601</v>
      </c>
      <c r="N466" s="133" t="s">
        <v>725</v>
      </c>
      <c r="O466" s="133" t="s">
        <v>726</v>
      </c>
      <c r="P466" s="133" t="s">
        <v>727</v>
      </c>
      <c r="Q466" s="133" t="s">
        <v>920</v>
      </c>
      <c r="R466" s="318" t="s">
        <v>3931</v>
      </c>
    </row>
    <row r="467" spans="2:18">
      <c r="B467" s="182" t="str">
        <f t="shared" si="27"/>
        <v>STRONG 80N bílý Automatický</v>
      </c>
      <c r="M467" s="133" t="s">
        <v>602</v>
      </c>
      <c r="N467" s="133" t="s">
        <v>728</v>
      </c>
      <c r="O467" s="133" t="s">
        <v>729</v>
      </c>
      <c r="P467" s="133" t="s">
        <v>730</v>
      </c>
      <c r="Q467" s="133" t="s">
        <v>921</v>
      </c>
      <c r="R467" s="318" t="s">
        <v>3932</v>
      </c>
    </row>
    <row r="468" spans="2:18">
      <c r="B468" s="182" t="str">
        <f t="shared" si="27"/>
        <v>STRONG 100N bílý Automatický</v>
      </c>
      <c r="M468" s="133" t="s">
        <v>603</v>
      </c>
      <c r="N468" s="133" t="s">
        <v>731</v>
      </c>
      <c r="O468" s="133" t="s">
        <v>732</v>
      </c>
      <c r="P468" s="133" t="s">
        <v>733</v>
      </c>
      <c r="Q468" s="133" t="s">
        <v>922</v>
      </c>
      <c r="R468" s="318" t="s">
        <v>3933</v>
      </c>
    </row>
    <row r="469" spans="2:18">
      <c r="B469" s="182" t="str">
        <f t="shared" si="27"/>
        <v>STRONG 120N bílý Automatický</v>
      </c>
      <c r="M469" s="133" t="s">
        <v>604</v>
      </c>
      <c r="N469" s="133" t="s">
        <v>734</v>
      </c>
      <c r="O469" s="133" t="s">
        <v>735</v>
      </c>
      <c r="P469" s="133" t="s">
        <v>736</v>
      </c>
      <c r="Q469" s="133" t="s">
        <v>923</v>
      </c>
      <c r="R469" s="318" t="s">
        <v>3934</v>
      </c>
    </row>
    <row r="470" spans="2:18">
      <c r="B470" s="182" t="str">
        <f t="shared" si="27"/>
        <v>STRONG 60N bílý Polohovací</v>
      </c>
      <c r="M470" s="133" t="s">
        <v>605</v>
      </c>
      <c r="N470" s="133" t="s">
        <v>737</v>
      </c>
      <c r="O470" s="133" t="s">
        <v>738</v>
      </c>
      <c r="P470" s="133" t="s">
        <v>739</v>
      </c>
      <c r="Q470" s="133" t="s">
        <v>1545</v>
      </c>
      <c r="R470" s="318" t="s">
        <v>3935</v>
      </c>
    </row>
    <row r="471" spans="2:18">
      <c r="B471" s="182" t="str">
        <f t="shared" si="27"/>
        <v>STRONG 80N bílý Polohovací</v>
      </c>
      <c r="M471" s="133" t="s">
        <v>606</v>
      </c>
      <c r="N471" s="133" t="s">
        <v>740</v>
      </c>
      <c r="O471" s="133" t="s">
        <v>741</v>
      </c>
      <c r="P471" s="133" t="s">
        <v>742</v>
      </c>
      <c r="Q471" s="133" t="s">
        <v>1546</v>
      </c>
      <c r="R471" s="318" t="s">
        <v>3936</v>
      </c>
    </row>
    <row r="472" spans="2:18">
      <c r="B472" s="182" t="str">
        <f t="shared" si="27"/>
        <v>STRONG 100N bílý Polohovací</v>
      </c>
      <c r="M472" s="133" t="s">
        <v>607</v>
      </c>
      <c r="N472" s="133" t="s">
        <v>743</v>
      </c>
      <c r="O472" s="133" t="s">
        <v>744</v>
      </c>
      <c r="P472" s="133" t="s">
        <v>745</v>
      </c>
      <c r="Q472" s="133" t="s">
        <v>1547</v>
      </c>
      <c r="R472" s="318" t="s">
        <v>3937</v>
      </c>
    </row>
    <row r="473" spans="2:18">
      <c r="B473" s="182" t="str">
        <f t="shared" si="27"/>
        <v>STRONG 120N bílý Polohovací</v>
      </c>
      <c r="M473" s="133" t="s">
        <v>608</v>
      </c>
      <c r="N473" s="133" t="s">
        <v>746</v>
      </c>
      <c r="O473" s="133" t="s">
        <v>747</v>
      </c>
      <c r="P473" s="133" t="s">
        <v>748</v>
      </c>
      <c r="Q473" s="133" t="s">
        <v>1548</v>
      </c>
      <c r="R473" s="318" t="s">
        <v>3938</v>
      </c>
    </row>
    <row r="474" spans="2:18">
      <c r="B474" s="182" t="str">
        <f t="shared" si="27"/>
        <v>STRONG 30N šedý Automatický</v>
      </c>
      <c r="M474" s="133" t="s">
        <v>609</v>
      </c>
      <c r="N474" s="133" t="s">
        <v>609</v>
      </c>
      <c r="O474" s="133" t="s">
        <v>749</v>
      </c>
      <c r="P474" s="133" t="s">
        <v>750</v>
      </c>
      <c r="Q474" s="133" t="s">
        <v>1388</v>
      </c>
      <c r="R474" s="318" t="s">
        <v>3939</v>
      </c>
    </row>
    <row r="475" spans="2:18">
      <c r="B475" s="182" t="str">
        <f t="shared" si="27"/>
        <v>STRONG 60N šedý Automatický</v>
      </c>
      <c r="M475" s="133" t="s">
        <v>610</v>
      </c>
      <c r="N475" s="133" t="s">
        <v>610</v>
      </c>
      <c r="O475" s="133" t="s">
        <v>751</v>
      </c>
      <c r="P475" s="133" t="s">
        <v>752</v>
      </c>
      <c r="Q475" s="133" t="s">
        <v>924</v>
      </c>
      <c r="R475" s="318" t="s">
        <v>3940</v>
      </c>
    </row>
    <row r="476" spans="2:18">
      <c r="B476" s="182" t="str">
        <f t="shared" si="27"/>
        <v>STRONG 80N šedý Automatický</v>
      </c>
      <c r="M476" s="133" t="s">
        <v>611</v>
      </c>
      <c r="N476" s="133" t="s">
        <v>611</v>
      </c>
      <c r="O476" s="133" t="s">
        <v>753</v>
      </c>
      <c r="P476" s="133" t="s">
        <v>754</v>
      </c>
      <c r="Q476" s="133" t="s">
        <v>1389</v>
      </c>
      <c r="R476" s="318" t="s">
        <v>3941</v>
      </c>
    </row>
    <row r="477" spans="2:18">
      <c r="B477" s="182" t="str">
        <f t="shared" si="27"/>
        <v>STRONG 100N šedý Automatický</v>
      </c>
      <c r="M477" s="133" t="s">
        <v>612</v>
      </c>
      <c r="N477" s="133" t="s">
        <v>612</v>
      </c>
      <c r="O477" s="133" t="s">
        <v>755</v>
      </c>
      <c r="P477" s="133" t="s">
        <v>756</v>
      </c>
      <c r="Q477" s="133" t="s">
        <v>925</v>
      </c>
      <c r="R477" s="318" t="s">
        <v>3942</v>
      </c>
    </row>
    <row r="478" spans="2:18">
      <c r="B478" s="182" t="str">
        <f t="shared" si="27"/>
        <v>STRONG 120N šedý Automatický</v>
      </c>
      <c r="M478" s="133" t="s">
        <v>613</v>
      </c>
      <c r="N478" s="133" t="s">
        <v>613</v>
      </c>
      <c r="O478" s="133" t="s">
        <v>757</v>
      </c>
      <c r="P478" s="133" t="s">
        <v>758</v>
      </c>
      <c r="Q478" s="133" t="s">
        <v>926</v>
      </c>
      <c r="R478" s="318" t="s">
        <v>3943</v>
      </c>
    </row>
    <row r="479" spans="2:18">
      <c r="B479" s="182" t="str">
        <f t="shared" si="27"/>
        <v>STRONG 60N šedý Polohovací</v>
      </c>
      <c r="M479" s="133" t="s">
        <v>614</v>
      </c>
      <c r="N479" s="133" t="s">
        <v>614</v>
      </c>
      <c r="O479" s="133" t="s">
        <v>759</v>
      </c>
      <c r="P479" s="133" t="s">
        <v>760</v>
      </c>
      <c r="Q479" s="133" t="s">
        <v>1549</v>
      </c>
      <c r="R479" s="318" t="s">
        <v>3944</v>
      </c>
    </row>
    <row r="480" spans="2:18">
      <c r="B480" s="182" t="str">
        <f t="shared" si="27"/>
        <v>STRONG 80N šedý Polohovací</v>
      </c>
      <c r="M480" s="133" t="s">
        <v>615</v>
      </c>
      <c r="N480" s="133" t="s">
        <v>615</v>
      </c>
      <c r="O480" s="133" t="s">
        <v>761</v>
      </c>
      <c r="P480" s="133" t="s">
        <v>762</v>
      </c>
      <c r="Q480" s="133" t="s">
        <v>1550</v>
      </c>
      <c r="R480" s="318" t="s">
        <v>3945</v>
      </c>
    </row>
    <row r="481" spans="2:18">
      <c r="B481" s="182" t="str">
        <f t="shared" si="27"/>
        <v>STRONG 100N šedý Polohovací</v>
      </c>
      <c r="M481" s="133" t="s">
        <v>616</v>
      </c>
      <c r="N481" s="133" t="s">
        <v>616</v>
      </c>
      <c r="O481" s="133" t="s">
        <v>763</v>
      </c>
      <c r="P481" s="133" t="s">
        <v>764</v>
      </c>
      <c r="Q481" s="133" t="s">
        <v>1551</v>
      </c>
      <c r="R481" s="318" t="s">
        <v>3946</v>
      </c>
    </row>
    <row r="482" spans="2:18">
      <c r="B482" s="182" t="str">
        <f t="shared" si="27"/>
        <v>STRONG 120N šedý Polohovací</v>
      </c>
      <c r="M482" s="133" t="s">
        <v>617</v>
      </c>
      <c r="N482" s="133" t="s">
        <v>617</v>
      </c>
      <c r="O482" s="133" t="s">
        <v>765</v>
      </c>
      <c r="P482" s="133" t="s">
        <v>766</v>
      </c>
      <c r="Q482" s="133" t="s">
        <v>1390</v>
      </c>
      <c r="R482" s="318" t="s">
        <v>3947</v>
      </c>
    </row>
    <row r="483" spans="2:18">
      <c r="B483" s="182" t="str">
        <f t="shared" si="27"/>
        <v>HUWIL DUO</v>
      </c>
      <c r="M483" s="133" t="s">
        <v>618</v>
      </c>
      <c r="N483" s="133" t="s">
        <v>618</v>
      </c>
      <c r="O483" s="133" t="s">
        <v>618</v>
      </c>
      <c r="P483" s="133" t="s">
        <v>618</v>
      </c>
      <c r="Q483" s="133" t="s">
        <v>618</v>
      </c>
      <c r="R483" s="318" t="s">
        <v>618</v>
      </c>
    </row>
    <row r="484" spans="2:18">
      <c r="B484" s="182" t="str">
        <f t="shared" si="27"/>
        <v>HUWILIFT MAXI</v>
      </c>
      <c r="M484" s="133" t="s">
        <v>620</v>
      </c>
      <c r="N484" s="133" t="s">
        <v>620</v>
      </c>
      <c r="O484" s="133" t="s">
        <v>620</v>
      </c>
      <c r="P484" s="133" t="s">
        <v>620</v>
      </c>
      <c r="Q484" s="133" t="s">
        <v>620</v>
      </c>
      <c r="R484" s="318" t="s">
        <v>620</v>
      </c>
    </row>
    <row r="485" spans="2:18">
      <c r="B485" s="182" t="str">
        <f t="shared" si="27"/>
        <v>KRABY 164 45N</v>
      </c>
      <c r="M485" s="133" t="s">
        <v>415</v>
      </c>
      <c r="N485" s="133" t="s">
        <v>415</v>
      </c>
      <c r="O485" s="133" t="s">
        <v>415</v>
      </c>
      <c r="P485" s="133" t="s">
        <v>415</v>
      </c>
      <c r="Q485" s="133" t="s">
        <v>415</v>
      </c>
      <c r="R485" s="318" t="s">
        <v>415</v>
      </c>
    </row>
    <row r="486" spans="2:18">
      <c r="B486" s="182" t="str">
        <f t="shared" si="27"/>
        <v>KRABY 164 60N</v>
      </c>
      <c r="M486" s="133" t="s">
        <v>416</v>
      </c>
      <c r="N486" s="133" t="s">
        <v>416</v>
      </c>
      <c r="O486" s="133" t="s">
        <v>416</v>
      </c>
      <c r="P486" s="133" t="s">
        <v>416</v>
      </c>
      <c r="Q486" s="133" t="s">
        <v>416</v>
      </c>
      <c r="R486" s="318" t="s">
        <v>416</v>
      </c>
    </row>
    <row r="487" spans="2:18">
      <c r="B487" s="182" t="str">
        <f t="shared" si="27"/>
        <v>KRABY 244 45N</v>
      </c>
      <c r="M487" s="133" t="s">
        <v>417</v>
      </c>
      <c r="N487" s="133" t="s">
        <v>417</v>
      </c>
      <c r="O487" s="133" t="s">
        <v>417</v>
      </c>
      <c r="P487" s="133" t="s">
        <v>417</v>
      </c>
      <c r="Q487" s="133" t="s">
        <v>417</v>
      </c>
      <c r="R487" s="318" t="s">
        <v>417</v>
      </c>
    </row>
    <row r="488" spans="2:18">
      <c r="B488" s="182" t="str">
        <f t="shared" si="27"/>
        <v>KRABY 244 60N</v>
      </c>
      <c r="M488" s="133" t="s">
        <v>418</v>
      </c>
      <c r="N488" s="133" t="s">
        <v>418</v>
      </c>
      <c r="O488" s="133" t="s">
        <v>418</v>
      </c>
      <c r="P488" s="133" t="s">
        <v>418</v>
      </c>
      <c r="Q488" s="133" t="s">
        <v>418</v>
      </c>
      <c r="R488" s="318" t="s">
        <v>418</v>
      </c>
    </row>
    <row r="489" spans="2:18">
      <c r="B489" s="182" t="str">
        <f t="shared" si="27"/>
        <v>KRABY 244 90N</v>
      </c>
      <c r="M489" s="133" t="s">
        <v>419</v>
      </c>
      <c r="N489" s="133" t="s">
        <v>419</v>
      </c>
      <c r="O489" s="133" t="s">
        <v>419</v>
      </c>
      <c r="P489" s="133" t="s">
        <v>419</v>
      </c>
      <c r="Q489" s="133" t="s">
        <v>419</v>
      </c>
      <c r="R489" s="318" t="s">
        <v>419</v>
      </c>
    </row>
    <row r="490" spans="2:18">
      <c r="B490" s="182" t="str">
        <f t="shared" si="27"/>
        <v>KRABY 244 120N</v>
      </c>
      <c r="M490" s="133" t="s">
        <v>420</v>
      </c>
      <c r="N490" s="133" t="s">
        <v>420</v>
      </c>
      <c r="O490" s="133" t="s">
        <v>420</v>
      </c>
      <c r="P490" s="133" t="s">
        <v>420</v>
      </c>
      <c r="Q490" s="133" t="s">
        <v>420</v>
      </c>
      <c r="R490" s="318" t="s">
        <v>420</v>
      </c>
    </row>
    <row r="491" spans="2:18">
      <c r="B491" s="182" t="str">
        <f t="shared" si="27"/>
        <v>KRABY 355 45N</v>
      </c>
      <c r="M491" s="133" t="s">
        <v>421</v>
      </c>
      <c r="N491" s="133" t="s">
        <v>421</v>
      </c>
      <c r="O491" s="133" t="s">
        <v>421</v>
      </c>
      <c r="P491" s="133" t="s">
        <v>421</v>
      </c>
      <c r="Q491" s="133" t="s">
        <v>421</v>
      </c>
      <c r="R491" s="318" t="s">
        <v>421</v>
      </c>
    </row>
    <row r="492" spans="2:18">
      <c r="B492" s="182" t="str">
        <f t="shared" ref="B492:B555" si="28">IF($D$1=1,M492,IF($D$1=2,N492,IF($D$1=3,O492,IF($D$1=4,P492,IF($D$1=5,Q492,IF($D$1=6,R492,0))))))</f>
        <v>KRABY 355 60N</v>
      </c>
      <c r="M492" s="133" t="s">
        <v>422</v>
      </c>
      <c r="N492" s="133" t="s">
        <v>422</v>
      </c>
      <c r="O492" s="133" t="s">
        <v>422</v>
      </c>
      <c r="P492" s="133" t="s">
        <v>422</v>
      </c>
      <c r="Q492" s="133" t="s">
        <v>422</v>
      </c>
      <c r="R492" s="318" t="s">
        <v>422</v>
      </c>
    </row>
    <row r="493" spans="2:18">
      <c r="B493" s="182" t="str">
        <f t="shared" si="28"/>
        <v>KRABY 355 90N</v>
      </c>
      <c r="M493" s="133" t="s">
        <v>423</v>
      </c>
      <c r="N493" s="133" t="s">
        <v>423</v>
      </c>
      <c r="O493" s="133" t="s">
        <v>423</v>
      </c>
      <c r="P493" s="133" t="s">
        <v>423</v>
      </c>
      <c r="Q493" s="133" t="s">
        <v>423</v>
      </c>
      <c r="R493" s="318" t="s">
        <v>423</v>
      </c>
    </row>
    <row r="494" spans="2:18">
      <c r="B494" s="182" t="str">
        <f t="shared" si="28"/>
        <v>KRABY 355 120N</v>
      </c>
      <c r="M494" s="133" t="s">
        <v>424</v>
      </c>
      <c r="N494" s="133" t="s">
        <v>424</v>
      </c>
      <c r="O494" s="133" t="s">
        <v>424</v>
      </c>
      <c r="P494" s="133" t="s">
        <v>424</v>
      </c>
      <c r="Q494" s="133" t="s">
        <v>424</v>
      </c>
      <c r="R494" s="318" t="s">
        <v>424</v>
      </c>
    </row>
    <row r="495" spans="2:18">
      <c r="B495" s="182" t="str">
        <f t="shared" si="28"/>
        <v>K12 244 50N</v>
      </c>
      <c r="M495" s="133" t="s">
        <v>621</v>
      </c>
      <c r="N495" s="133" t="s">
        <v>621</v>
      </c>
      <c r="O495" s="133" t="s">
        <v>621</v>
      </c>
      <c r="P495" s="133" t="s">
        <v>621</v>
      </c>
      <c r="Q495" s="133" t="s">
        <v>621</v>
      </c>
      <c r="R495" s="318" t="s">
        <v>621</v>
      </c>
    </row>
    <row r="496" spans="2:18">
      <c r="B496" s="182" t="str">
        <f t="shared" si="28"/>
        <v>K12 244 80N</v>
      </c>
      <c r="M496" s="133" t="s">
        <v>622</v>
      </c>
      <c r="N496" s="133" t="s">
        <v>622</v>
      </c>
      <c r="O496" s="133" t="s">
        <v>622</v>
      </c>
      <c r="P496" s="133" t="s">
        <v>622</v>
      </c>
      <c r="Q496" s="133" t="s">
        <v>622</v>
      </c>
      <c r="R496" s="318" t="s">
        <v>622</v>
      </c>
    </row>
    <row r="497" spans="2:18">
      <c r="B497" s="182" t="str">
        <f t="shared" si="28"/>
        <v>K12 244 100N</v>
      </c>
      <c r="M497" s="133" t="s">
        <v>623</v>
      </c>
      <c r="N497" s="133" t="s">
        <v>623</v>
      </c>
      <c r="O497" s="133" t="s">
        <v>623</v>
      </c>
      <c r="P497" s="133" t="s">
        <v>623</v>
      </c>
      <c r="Q497" s="133" t="s">
        <v>623</v>
      </c>
      <c r="R497" s="318" t="s">
        <v>623</v>
      </c>
    </row>
    <row r="498" spans="2:18">
      <c r="B498" s="182" t="str">
        <f t="shared" si="28"/>
        <v>K12 244 120N</v>
      </c>
      <c r="M498" s="133" t="s">
        <v>624</v>
      </c>
      <c r="N498" s="133" t="s">
        <v>624</v>
      </c>
      <c r="O498" s="133" t="s">
        <v>624</v>
      </c>
      <c r="P498" s="133" t="s">
        <v>624</v>
      </c>
      <c r="Q498" s="133" t="s">
        <v>624</v>
      </c>
      <c r="R498" s="318" t="s">
        <v>624</v>
      </c>
    </row>
    <row r="499" spans="2:18">
      <c r="B499" s="182" t="str">
        <f t="shared" si="28"/>
        <v>K12 355 60N</v>
      </c>
      <c r="M499" s="133" t="s">
        <v>625</v>
      </c>
      <c r="N499" s="133" t="s">
        <v>625</v>
      </c>
      <c r="O499" s="133" t="s">
        <v>625</v>
      </c>
      <c r="P499" s="133" t="s">
        <v>625</v>
      </c>
      <c r="Q499" s="133" t="s">
        <v>625</v>
      </c>
      <c r="R499" s="318" t="s">
        <v>625</v>
      </c>
    </row>
    <row r="500" spans="2:18">
      <c r="B500" s="182" t="str">
        <f t="shared" si="28"/>
        <v>K12 355 90N</v>
      </c>
      <c r="M500" s="133" t="s">
        <v>626</v>
      </c>
      <c r="N500" s="133" t="s">
        <v>626</v>
      </c>
      <c r="O500" s="133" t="s">
        <v>626</v>
      </c>
      <c r="P500" s="133" t="s">
        <v>626</v>
      </c>
      <c r="Q500" s="133" t="s">
        <v>626</v>
      </c>
      <c r="R500" s="318" t="s">
        <v>626</v>
      </c>
    </row>
    <row r="501" spans="2:18">
      <c r="B501" s="182" t="str">
        <f t="shared" si="28"/>
        <v>K12 355 110N</v>
      </c>
      <c r="M501" s="133" t="s">
        <v>627</v>
      </c>
      <c r="N501" s="133" t="s">
        <v>627</v>
      </c>
      <c r="O501" s="133" t="s">
        <v>627</v>
      </c>
      <c r="P501" s="133" t="s">
        <v>627</v>
      </c>
      <c r="Q501" s="133" t="s">
        <v>627</v>
      </c>
      <c r="R501" s="318" t="s">
        <v>627</v>
      </c>
    </row>
    <row r="502" spans="2:18">
      <c r="B502" s="182" t="str">
        <f t="shared" si="28"/>
        <v>K12 355 130N</v>
      </c>
      <c r="M502" s="133" t="s">
        <v>628</v>
      </c>
      <c r="N502" s="133" t="s">
        <v>628</v>
      </c>
      <c r="O502" s="133" t="s">
        <v>628</v>
      </c>
      <c r="P502" s="133" t="s">
        <v>628</v>
      </c>
      <c r="Q502" s="133" t="s">
        <v>628</v>
      </c>
      <c r="R502" s="318" t="s">
        <v>628</v>
      </c>
    </row>
    <row r="503" spans="2:18">
      <c r="B503" s="182" t="str">
        <f t="shared" si="28"/>
        <v>STRONG spodní bílý</v>
      </c>
      <c r="M503" s="133" t="s">
        <v>629</v>
      </c>
      <c r="N503" s="133" t="s">
        <v>767</v>
      </c>
      <c r="O503" s="133" t="s">
        <v>768</v>
      </c>
      <c r="P503" s="133" t="s">
        <v>769</v>
      </c>
      <c r="Q503" s="133" t="s">
        <v>1552</v>
      </c>
      <c r="R503" s="318" t="s">
        <v>4148</v>
      </c>
    </row>
    <row r="504" spans="2:18">
      <c r="B504" s="182" t="str">
        <f t="shared" si="28"/>
        <v>STRONG spodní šedý</v>
      </c>
      <c r="M504" s="133" t="s">
        <v>630</v>
      </c>
      <c r="N504" s="133" t="s">
        <v>770</v>
      </c>
      <c r="O504" s="133" t="s">
        <v>771</v>
      </c>
      <c r="P504" s="133" t="s">
        <v>772</v>
      </c>
      <c r="Q504" s="133" t="s">
        <v>1553</v>
      </c>
      <c r="R504" s="318" t="s">
        <v>4153</v>
      </c>
    </row>
    <row r="505" spans="2:18">
      <c r="B505" s="182" t="str">
        <f t="shared" si="28"/>
        <v xml:space="preserve">HUWIL DUO (90°) </v>
      </c>
      <c r="M505" s="133" t="s">
        <v>631</v>
      </c>
      <c r="N505" s="133" t="s">
        <v>631</v>
      </c>
      <c r="O505" s="133" t="s">
        <v>631</v>
      </c>
      <c r="P505" s="133" t="s">
        <v>631</v>
      </c>
      <c r="Q505" s="133" t="s">
        <v>468</v>
      </c>
      <c r="R505" s="318" t="s">
        <v>468</v>
      </c>
    </row>
    <row r="506" spans="2:18">
      <c r="B506" s="182" t="str">
        <f t="shared" si="28"/>
        <v>HUWIL DUO FORTE</v>
      </c>
      <c r="M506" s="133" t="s">
        <v>619</v>
      </c>
      <c r="N506" s="133" t="s">
        <v>619</v>
      </c>
      <c r="O506" s="133" t="s">
        <v>619</v>
      </c>
      <c r="P506" s="133" t="s">
        <v>619</v>
      </c>
      <c r="Q506" s="133" t="s">
        <v>619</v>
      </c>
      <c r="R506" s="318" t="s">
        <v>619</v>
      </c>
    </row>
    <row r="507" spans="2:18">
      <c r="B507" s="182" t="str">
        <f t="shared" si="28"/>
        <v>KRABY 164 spodní</v>
      </c>
      <c r="M507" s="133" t="s">
        <v>632</v>
      </c>
      <c r="N507" s="133" t="s">
        <v>773</v>
      </c>
      <c r="O507" s="133" t="s">
        <v>774</v>
      </c>
      <c r="P507" s="133" t="s">
        <v>775</v>
      </c>
      <c r="Q507" s="133" t="s">
        <v>1391</v>
      </c>
      <c r="R507" s="318" t="s">
        <v>4150</v>
      </c>
    </row>
    <row r="508" spans="2:18">
      <c r="B508" s="182" t="str">
        <f t="shared" si="28"/>
        <v>KRABY 244 spodní</v>
      </c>
      <c r="M508" s="133" t="s">
        <v>633</v>
      </c>
      <c r="N508" s="133" t="s">
        <v>776</v>
      </c>
      <c r="O508" s="133" t="s">
        <v>777</v>
      </c>
      <c r="P508" s="133" t="s">
        <v>778</v>
      </c>
      <c r="Q508" s="133" t="s">
        <v>1392</v>
      </c>
      <c r="R508" s="318" t="s">
        <v>4151</v>
      </c>
    </row>
    <row r="509" spans="2:18">
      <c r="B509" s="182" t="str">
        <f t="shared" si="28"/>
        <v>KRABY 355 spodní</v>
      </c>
      <c r="M509" s="133" t="s">
        <v>634</v>
      </c>
      <c r="N509" s="133" t="s">
        <v>779</v>
      </c>
      <c r="O509" s="133" t="s">
        <v>780</v>
      </c>
      <c r="P509" s="133" t="s">
        <v>781</v>
      </c>
      <c r="Q509" s="133" t="s">
        <v>1393</v>
      </c>
      <c r="R509" s="318" t="s">
        <v>4152</v>
      </c>
    </row>
    <row r="510" spans="2:18">
      <c r="B510" s="182" t="str">
        <f t="shared" si="28"/>
        <v>k nasunutí na vrut H0</v>
      </c>
      <c r="M510" s="133" t="s">
        <v>640</v>
      </c>
      <c r="N510" s="133" t="s">
        <v>782</v>
      </c>
      <c r="O510" s="133" t="s">
        <v>783</v>
      </c>
      <c r="P510" s="133" t="s">
        <v>1282</v>
      </c>
      <c r="Q510" s="133" t="s">
        <v>1554</v>
      </c>
      <c r="R510" s="318" t="s">
        <v>4154</v>
      </c>
    </row>
    <row r="511" spans="2:18">
      <c r="B511" s="182" t="str">
        <f t="shared" si="28"/>
        <v>k nasunutí EURO šroub H0</v>
      </c>
      <c r="M511" s="133" t="s">
        <v>641</v>
      </c>
      <c r="N511" s="133" t="s">
        <v>784</v>
      </c>
      <c r="O511" s="133" t="s">
        <v>785</v>
      </c>
      <c r="P511" s="133" t="s">
        <v>1283</v>
      </c>
      <c r="Q511" s="133" t="s">
        <v>1555</v>
      </c>
      <c r="R511" s="318" t="s">
        <v>4155</v>
      </c>
    </row>
    <row r="512" spans="2:18">
      <c r="B512" s="182" t="str">
        <f t="shared" si="28"/>
        <v>k nasunutí na vrut H2</v>
      </c>
      <c r="M512" s="133" t="s">
        <v>642</v>
      </c>
      <c r="N512" s="133" t="s">
        <v>786</v>
      </c>
      <c r="O512" s="133" t="s">
        <v>787</v>
      </c>
      <c r="P512" s="133" t="s">
        <v>788</v>
      </c>
      <c r="Q512" s="133" t="s">
        <v>1556</v>
      </c>
      <c r="R512" s="318" t="s">
        <v>4156</v>
      </c>
    </row>
    <row r="513" spans="2:18">
      <c r="B513" s="182" t="str">
        <f t="shared" si="28"/>
        <v>k nasunutí EURO šroub H2</v>
      </c>
      <c r="M513" s="133" t="s">
        <v>643</v>
      </c>
      <c r="N513" s="133" t="s">
        <v>789</v>
      </c>
      <c r="O513" s="133" t="s">
        <v>790</v>
      </c>
      <c r="P513" s="133" t="s">
        <v>1284</v>
      </c>
      <c r="Q513" s="133" t="s">
        <v>1557</v>
      </c>
      <c r="R513" s="318" t="s">
        <v>4157</v>
      </c>
    </row>
    <row r="514" spans="2:18">
      <c r="B514" s="182" t="str">
        <f t="shared" si="28"/>
        <v>Clip na vrut H2</v>
      </c>
      <c r="M514" s="133" t="s">
        <v>87</v>
      </c>
      <c r="N514" s="133" t="s">
        <v>164</v>
      </c>
      <c r="O514" s="133" t="s">
        <v>225</v>
      </c>
      <c r="P514" s="133" t="s">
        <v>288</v>
      </c>
      <c r="Q514" s="133" t="s">
        <v>1455</v>
      </c>
      <c r="R514" s="318" t="s">
        <v>4158</v>
      </c>
    </row>
    <row r="515" spans="2:18">
      <c r="B515" s="182" t="str">
        <f t="shared" si="28"/>
        <v>Clip vrut s excentrem H0</v>
      </c>
      <c r="M515" s="133" t="s">
        <v>644</v>
      </c>
      <c r="N515" s="133" t="s">
        <v>791</v>
      </c>
      <c r="O515" s="133" t="s">
        <v>792</v>
      </c>
      <c r="P515" s="133" t="s">
        <v>842</v>
      </c>
      <c r="Q515" s="133" t="s">
        <v>1558</v>
      </c>
      <c r="R515" s="318" t="s">
        <v>4159</v>
      </c>
    </row>
    <row r="516" spans="2:18">
      <c r="B516" s="182" t="str">
        <f t="shared" si="28"/>
        <v>Clip na vrut H0</v>
      </c>
      <c r="M516" s="133" t="s">
        <v>85</v>
      </c>
      <c r="N516" s="133" t="s">
        <v>180</v>
      </c>
      <c r="O516" s="133" t="s">
        <v>241</v>
      </c>
      <c r="P516" s="133" t="s">
        <v>304</v>
      </c>
      <c r="Q516" s="133" t="s">
        <v>1474</v>
      </c>
      <c r="R516" s="318" t="s">
        <v>4160</v>
      </c>
    </row>
    <row r="517" spans="2:18">
      <c r="B517" s="182" t="str">
        <f t="shared" si="28"/>
        <v>Minimální možný rozměr rámečku je 140x140mm</v>
      </c>
      <c r="M517" s="133" t="s">
        <v>796</v>
      </c>
      <c r="N517" s="133" t="s">
        <v>797</v>
      </c>
      <c r="O517" s="133" t="s">
        <v>798</v>
      </c>
      <c r="P517" s="133" t="s">
        <v>799</v>
      </c>
      <c r="Q517" s="133" t="s">
        <v>927</v>
      </c>
      <c r="R517" s="318" t="s">
        <v>3948</v>
      </c>
    </row>
    <row r="518" spans="2:18">
      <c r="B518" s="182" t="str">
        <f t="shared" si="28"/>
        <v xml:space="preserve">Sensys SiSy naložený </v>
      </c>
      <c r="M518" s="156" t="s">
        <v>800</v>
      </c>
      <c r="N518" s="133" t="s">
        <v>800</v>
      </c>
      <c r="O518" s="133" t="s">
        <v>815</v>
      </c>
      <c r="P518" s="133" t="s">
        <v>816</v>
      </c>
      <c r="Q518" s="133" t="s">
        <v>1559</v>
      </c>
      <c r="R518" s="318" t="s">
        <v>4161</v>
      </c>
    </row>
    <row r="519" spans="2:18">
      <c r="B519" s="182" t="str">
        <f t="shared" si="28"/>
        <v xml:space="preserve">Sensys SiSy polonaložený </v>
      </c>
      <c r="M519" s="156" t="s">
        <v>801</v>
      </c>
      <c r="N519" s="133" t="s">
        <v>801</v>
      </c>
      <c r="O519" s="133" t="s">
        <v>823</v>
      </c>
      <c r="P519" s="133" t="s">
        <v>1285</v>
      </c>
      <c r="Q519" s="133" t="s">
        <v>1560</v>
      </c>
      <c r="R519" s="318" t="s">
        <v>4162</v>
      </c>
    </row>
    <row r="520" spans="2:18">
      <c r="B520" s="182" t="str">
        <f t="shared" si="28"/>
        <v xml:space="preserve">Sensys SiSy vložený </v>
      </c>
      <c r="M520" s="156" t="s">
        <v>802</v>
      </c>
      <c r="N520" s="133" t="s">
        <v>835</v>
      </c>
      <c r="O520" s="133" t="s">
        <v>836</v>
      </c>
      <c r="P520" s="133" t="s">
        <v>1286</v>
      </c>
      <c r="Q520" s="133" t="s">
        <v>1561</v>
      </c>
      <c r="R520" s="318" t="s">
        <v>4163</v>
      </c>
    </row>
    <row r="521" spans="2:18">
      <c r="B521" s="182" t="str">
        <f t="shared" si="28"/>
        <v xml:space="preserve">Sensys P2o naložený </v>
      </c>
      <c r="M521" s="156" t="s">
        <v>803</v>
      </c>
      <c r="N521" s="133" t="s">
        <v>803</v>
      </c>
      <c r="O521" s="133" t="s">
        <v>817</v>
      </c>
      <c r="P521" s="133" t="s">
        <v>818</v>
      </c>
      <c r="Q521" s="133" t="s">
        <v>1562</v>
      </c>
      <c r="R521" s="318" t="s">
        <v>4164</v>
      </c>
    </row>
    <row r="522" spans="2:18">
      <c r="B522" s="182" t="str">
        <f t="shared" si="28"/>
        <v xml:space="preserve">Sensys P2o polonaložený </v>
      </c>
      <c r="M522" s="156" t="s">
        <v>804</v>
      </c>
      <c r="N522" s="133" t="s">
        <v>804</v>
      </c>
      <c r="O522" s="133" t="s">
        <v>824</v>
      </c>
      <c r="P522" s="133" t="s">
        <v>1287</v>
      </c>
      <c r="Q522" s="133" t="s">
        <v>1563</v>
      </c>
      <c r="R522" s="318" t="s">
        <v>4165</v>
      </c>
    </row>
    <row r="523" spans="2:18">
      <c r="B523" s="182" t="str">
        <f t="shared" si="28"/>
        <v xml:space="preserve">Sensys P2o vložený </v>
      </c>
      <c r="M523" s="156" t="s">
        <v>805</v>
      </c>
      <c r="N523" s="133" t="s">
        <v>837</v>
      </c>
      <c r="O523" s="133" t="s">
        <v>838</v>
      </c>
      <c r="P523" s="133" t="s">
        <v>1288</v>
      </c>
      <c r="Q523" s="133" t="s">
        <v>1564</v>
      </c>
      <c r="R523" s="318" t="s">
        <v>4166</v>
      </c>
    </row>
    <row r="524" spans="2:18">
      <c r="B524" s="182" t="str">
        <f t="shared" si="28"/>
        <v>Sensys naložený P2O</v>
      </c>
      <c r="M524" s="156" t="s">
        <v>806</v>
      </c>
      <c r="N524" s="133" t="s">
        <v>803</v>
      </c>
      <c r="O524" s="133" t="s">
        <v>817</v>
      </c>
      <c r="P524" s="133" t="s">
        <v>818</v>
      </c>
      <c r="Q524" s="133" t="s">
        <v>1565</v>
      </c>
      <c r="R524" s="318" t="s">
        <v>3949</v>
      </c>
    </row>
    <row r="525" spans="2:18">
      <c r="B525" s="182" t="str">
        <f t="shared" si="28"/>
        <v>naložený s tlumením clip 110°, ONYX</v>
      </c>
      <c r="M525" s="133" t="s">
        <v>807</v>
      </c>
      <c r="N525" s="133" t="s">
        <v>819</v>
      </c>
      <c r="O525" s="133" t="s">
        <v>820</v>
      </c>
      <c r="P525" s="133" t="s">
        <v>833</v>
      </c>
      <c r="Q525" s="133" t="s">
        <v>1566</v>
      </c>
      <c r="R525" s="318" t="s">
        <v>3950</v>
      </c>
    </row>
    <row r="526" spans="2:18">
      <c r="B526" s="182" t="str">
        <f t="shared" si="28"/>
        <v>polonaložený s tlumením clip 110°, ONYX</v>
      </c>
      <c r="M526" s="133" t="s">
        <v>808</v>
      </c>
      <c r="N526" s="133" t="s">
        <v>821</v>
      </c>
      <c r="O526" s="133" t="s">
        <v>822</v>
      </c>
      <c r="P526" s="133" t="s">
        <v>1289</v>
      </c>
      <c r="Q526" s="133" t="s">
        <v>1567</v>
      </c>
      <c r="R526" s="318" t="s">
        <v>3951</v>
      </c>
    </row>
    <row r="527" spans="2:18">
      <c r="B527" s="182" t="str">
        <f t="shared" si="28"/>
        <v>vložený s tlumením clip 110°, ONYX</v>
      </c>
      <c r="M527" s="133" t="s">
        <v>809</v>
      </c>
      <c r="N527" s="133" t="s">
        <v>839</v>
      </c>
      <c r="O527" s="133" t="s">
        <v>840</v>
      </c>
      <c r="P527" s="133" t="s">
        <v>1290</v>
      </c>
      <c r="Q527" s="133" t="s">
        <v>1568</v>
      </c>
      <c r="R527" s="318" t="s">
        <v>3952</v>
      </c>
    </row>
    <row r="528" spans="2:18">
      <c r="B528" s="182" t="str">
        <f t="shared" si="28"/>
        <v>naložený 95°, Onyx</v>
      </c>
      <c r="M528" s="133" t="s">
        <v>810</v>
      </c>
      <c r="N528" s="133" t="s">
        <v>825</v>
      </c>
      <c r="O528" s="133" t="s">
        <v>826</v>
      </c>
      <c r="P528" s="133" t="s">
        <v>834</v>
      </c>
      <c r="Q528" s="133" t="s">
        <v>1569</v>
      </c>
      <c r="R528" s="318" t="s">
        <v>3953</v>
      </c>
    </row>
    <row r="529" spans="2:18">
      <c r="B529" s="182" t="str">
        <f t="shared" si="28"/>
        <v>StrongHinges S3</v>
      </c>
      <c r="M529" s="133" t="s">
        <v>2397</v>
      </c>
      <c r="N529" s="133" t="s">
        <v>2397</v>
      </c>
      <c r="O529" s="133" t="s">
        <v>2397</v>
      </c>
      <c r="P529" s="133" t="s">
        <v>2397</v>
      </c>
      <c r="Q529" s="133" t="s">
        <v>2397</v>
      </c>
      <c r="R529" s="318" t="s">
        <v>2397</v>
      </c>
    </row>
    <row r="530" spans="2:18">
      <c r="B530" s="182" t="str">
        <f t="shared" si="28"/>
        <v>StrongHinges S3 naložený clip bez pružiny</v>
      </c>
      <c r="M530" s="133" t="s">
        <v>2398</v>
      </c>
      <c r="N530" s="133" t="s">
        <v>2399</v>
      </c>
      <c r="O530" s="133" t="s">
        <v>2400</v>
      </c>
      <c r="P530" s="133" t="s">
        <v>2401</v>
      </c>
      <c r="Q530" s="133" t="s">
        <v>2402</v>
      </c>
      <c r="R530" s="318" t="s">
        <v>4167</v>
      </c>
    </row>
    <row r="531" spans="2:18">
      <c r="B531" s="182" t="str">
        <f t="shared" si="28"/>
        <v>StrongHinges S3 naložený clip bez pružiny</v>
      </c>
      <c r="M531" s="133" t="s">
        <v>2398</v>
      </c>
      <c r="N531" s="133" t="s">
        <v>2403</v>
      </c>
      <c r="O531" s="133" t="s">
        <v>2400</v>
      </c>
      <c r="P531" s="133" t="s">
        <v>2401</v>
      </c>
      <c r="Q531" s="133" t="s">
        <v>2402</v>
      </c>
      <c r="R531" s="318" t="s">
        <v>4167</v>
      </c>
    </row>
    <row r="532" spans="2:18">
      <c r="B532" s="182" t="str">
        <f t="shared" si="28"/>
        <v>StorngHinges vložený clip bez pružiny</v>
      </c>
      <c r="M532" s="133" t="s">
        <v>2364</v>
      </c>
      <c r="N532" s="133" t="s">
        <v>2404</v>
      </c>
      <c r="O532" s="133" t="s">
        <v>2405</v>
      </c>
      <c r="P532" s="133" t="s">
        <v>2406</v>
      </c>
      <c r="Q532" s="133" t="s">
        <v>2365</v>
      </c>
      <c r="R532" s="318" t="s">
        <v>4168</v>
      </c>
    </row>
    <row r="533" spans="2:18">
      <c r="B533" s="182" t="str">
        <f t="shared" si="28"/>
        <v>StrongHinges S3 30° clip bez pružiny</v>
      </c>
      <c r="M533" s="133" t="s">
        <v>2407</v>
      </c>
      <c r="N533" s="133" t="s">
        <v>2408</v>
      </c>
      <c r="O533" s="133" t="s">
        <v>2409</v>
      </c>
      <c r="P533" s="133" t="s">
        <v>2410</v>
      </c>
      <c r="Q533" s="133" t="s">
        <v>2411</v>
      </c>
      <c r="R533" s="318" t="s">
        <v>4169</v>
      </c>
    </row>
    <row r="534" spans="2:18">
      <c r="B534" s="182" t="str">
        <f t="shared" si="28"/>
        <v>StrongHinges S3 naložený clip</v>
      </c>
      <c r="M534" s="133" t="s">
        <v>2412</v>
      </c>
      <c r="N534" s="133" t="s">
        <v>2412</v>
      </c>
      <c r="O534" s="133" t="s">
        <v>2413</v>
      </c>
      <c r="P534" s="133" t="s">
        <v>2414</v>
      </c>
      <c r="Q534" s="133" t="s">
        <v>2415</v>
      </c>
      <c r="R534" s="318" t="s">
        <v>4170</v>
      </c>
    </row>
    <row r="535" spans="2:18">
      <c r="B535" s="182" t="str">
        <f t="shared" si="28"/>
        <v>StrongHinges S3 polonaložený clip</v>
      </c>
      <c r="M535" s="133" t="s">
        <v>2416</v>
      </c>
      <c r="N535" s="133" t="s">
        <v>2416</v>
      </c>
      <c r="O535" s="133" t="s">
        <v>2417</v>
      </c>
      <c r="P535" s="133" t="s">
        <v>2418</v>
      </c>
      <c r="Q535" s="133" t="s">
        <v>2419</v>
      </c>
      <c r="R535" s="318" t="s">
        <v>4171</v>
      </c>
    </row>
    <row r="536" spans="2:18">
      <c r="B536" s="182" t="str">
        <f t="shared" si="28"/>
        <v>StrongHinges S3 vložený clip</v>
      </c>
      <c r="M536" s="133" t="s">
        <v>2420</v>
      </c>
      <c r="N536" s="133" t="s">
        <v>2420</v>
      </c>
      <c r="O536" s="133" t="s">
        <v>2421</v>
      </c>
      <c r="P536" s="133" t="s">
        <v>2422</v>
      </c>
      <c r="Q536" s="133" t="s">
        <v>2423</v>
      </c>
      <c r="R536" s="318" t="s">
        <v>4172</v>
      </c>
    </row>
    <row r="537" spans="2:18">
      <c r="B537" s="182" t="str">
        <f t="shared" si="28"/>
        <v>StrongHinges S3 30°clip</v>
      </c>
      <c r="M537" s="133" t="s">
        <v>2424</v>
      </c>
      <c r="N537" s="133" t="s">
        <v>2424</v>
      </c>
      <c r="O537" s="133" t="s">
        <v>2424</v>
      </c>
      <c r="P537" s="133" t="s">
        <v>2424</v>
      </c>
      <c r="Q537" s="133" t="s">
        <v>2425</v>
      </c>
      <c r="R537" s="318" t="s">
        <v>4173</v>
      </c>
    </row>
    <row r="538" spans="2:18">
      <c r="B538" s="182" t="str">
        <f t="shared" si="28"/>
        <v>StrongHinges S3 naložený clip</v>
      </c>
      <c r="M538" s="133" t="s">
        <v>2412</v>
      </c>
      <c r="N538" s="133" t="s">
        <v>2412</v>
      </c>
      <c r="O538" s="133" t="s">
        <v>2413</v>
      </c>
      <c r="P538" s="133" t="s">
        <v>2414</v>
      </c>
      <c r="Q538" s="133" t="s">
        <v>2415</v>
      </c>
      <c r="R538" s="318" t="s">
        <v>4170</v>
      </c>
    </row>
    <row r="539" spans="2:18">
      <c r="B539" s="182" t="str">
        <f t="shared" si="28"/>
        <v>StrongHinges S3 naložený clip bez pružiny</v>
      </c>
      <c r="M539" s="133" t="s">
        <v>2398</v>
      </c>
      <c r="N539" s="133" t="s">
        <v>2399</v>
      </c>
      <c r="O539" s="133" t="s">
        <v>2400</v>
      </c>
      <c r="P539" s="133" t="s">
        <v>2401</v>
      </c>
      <c r="Q539" s="133" t="s">
        <v>2402</v>
      </c>
      <c r="R539" s="318" t="s">
        <v>4167</v>
      </c>
    </row>
    <row r="540" spans="2:18">
      <c r="B540" s="182" t="str">
        <f t="shared" si="28"/>
        <v>StrongHinges S3 Clip vrut s excentrem H0</v>
      </c>
      <c r="M540" s="133" t="s">
        <v>2426</v>
      </c>
      <c r="N540" s="133" t="s">
        <v>2427</v>
      </c>
      <c r="O540" s="133" t="s">
        <v>2428</v>
      </c>
      <c r="P540" s="133" t="s">
        <v>2429</v>
      </c>
      <c r="Q540" s="133" t="s">
        <v>2430</v>
      </c>
      <c r="R540" s="318" t="s">
        <v>4174</v>
      </c>
    </row>
    <row r="541" spans="2:18">
      <c r="B541" s="182" t="str">
        <f t="shared" si="28"/>
        <v>StrongHinges S3 Clip vrut s excentrem H2</v>
      </c>
      <c r="M541" s="133" t="s">
        <v>2431</v>
      </c>
      <c r="N541" s="133" t="s">
        <v>2432</v>
      </c>
      <c r="O541" s="133" t="s">
        <v>2433</v>
      </c>
      <c r="P541" s="133" t="s">
        <v>2434</v>
      </c>
      <c r="Q541" s="133" t="s">
        <v>2435</v>
      </c>
      <c r="R541" s="318" t="s">
        <v>3954</v>
      </c>
    </row>
    <row r="542" spans="2:18">
      <c r="B542" s="182" t="str">
        <f t="shared" si="28"/>
        <v>Úvod</v>
      </c>
      <c r="M542" s="133" t="s">
        <v>843</v>
      </c>
      <c r="N542" s="133" t="s">
        <v>843</v>
      </c>
      <c r="O542" s="133" t="s">
        <v>844</v>
      </c>
      <c r="P542" s="133" t="s">
        <v>1291</v>
      </c>
      <c r="Q542" s="133" t="s">
        <v>928</v>
      </c>
      <c r="R542" s="318" t="s">
        <v>3955</v>
      </c>
    </row>
    <row r="543" spans="2:18">
      <c r="B543" s="182" t="str">
        <f t="shared" si="28"/>
        <v>Maximální možný rozměr rámečku Corleone je 1500x600mm</v>
      </c>
      <c r="M543" s="175" t="s">
        <v>851</v>
      </c>
      <c r="N543" s="133" t="s">
        <v>852</v>
      </c>
      <c r="O543" s="133" t="s">
        <v>853</v>
      </c>
      <c r="P543" s="133" t="s">
        <v>854</v>
      </c>
      <c r="Q543" s="133" t="s">
        <v>1570</v>
      </c>
      <c r="R543" s="318" t="s">
        <v>3956</v>
      </c>
    </row>
    <row r="544" spans="2:18">
      <c r="B544" s="182" t="str">
        <f t="shared" si="28"/>
        <v>Kombinace 2 profilů</v>
      </c>
      <c r="M544" s="133" t="s">
        <v>1005</v>
      </c>
      <c r="N544" s="133" t="s">
        <v>1114</v>
      </c>
      <c r="O544" s="133" t="s">
        <v>1115</v>
      </c>
      <c r="P544" s="133" t="s">
        <v>1116</v>
      </c>
      <c r="Q544" s="133" t="s">
        <v>1571</v>
      </c>
      <c r="R544" s="318" t="s">
        <v>3957</v>
      </c>
    </row>
    <row r="545" spans="2:18">
      <c r="B545" s="182" t="str">
        <f t="shared" si="28"/>
        <v>Dělící lišty</v>
      </c>
      <c r="M545" s="133" t="s">
        <v>1117</v>
      </c>
      <c r="N545" s="133" t="s">
        <v>1119</v>
      </c>
      <c r="O545" s="133" t="s">
        <v>932</v>
      </c>
      <c r="P545" s="133" t="s">
        <v>1118</v>
      </c>
      <c r="Q545" s="133" t="s">
        <v>1394</v>
      </c>
      <c r="R545" s="318" t="s">
        <v>3958</v>
      </c>
    </row>
    <row r="546" spans="2:18">
      <c r="B546" s="182" t="str">
        <f t="shared" si="28"/>
        <v>Značka kování</v>
      </c>
      <c r="M546" s="133" t="s">
        <v>1007</v>
      </c>
      <c r="N546" s="133" t="s">
        <v>1120</v>
      </c>
      <c r="O546" s="133" t="s">
        <v>1121</v>
      </c>
      <c r="P546" s="133" t="s">
        <v>1292</v>
      </c>
      <c r="Q546" s="133" t="s">
        <v>1409</v>
      </c>
      <c r="R546" s="318" t="s">
        <v>3959</v>
      </c>
    </row>
    <row r="547" spans="2:18">
      <c r="B547" s="182" t="str">
        <f t="shared" si="28"/>
        <v>Varianta kování</v>
      </c>
      <c r="M547" s="133" t="s">
        <v>1008</v>
      </c>
      <c r="N547" s="133" t="s">
        <v>1123</v>
      </c>
      <c r="O547" s="133" t="s">
        <v>1122</v>
      </c>
      <c r="P547" s="133" t="s">
        <v>1293</v>
      </c>
      <c r="Q547" s="133" t="s">
        <v>1408</v>
      </c>
      <c r="R547" s="318" t="s">
        <v>3960</v>
      </c>
    </row>
    <row r="548" spans="2:18">
      <c r="B548" s="182" t="str">
        <f t="shared" si="28"/>
        <v>Naložení</v>
      </c>
      <c r="M548" s="133" t="s">
        <v>1107</v>
      </c>
      <c r="N548" s="133" t="s">
        <v>1124</v>
      </c>
      <c r="O548" s="133" t="s">
        <v>1316</v>
      </c>
      <c r="P548" s="133" t="s">
        <v>1125</v>
      </c>
      <c r="Q548" s="133" t="s">
        <v>1395</v>
      </c>
      <c r="R548" s="318" t="s">
        <v>3961</v>
      </c>
    </row>
    <row r="549" spans="2:18">
      <c r="B549" s="182" t="str">
        <f t="shared" si="28"/>
        <v>Závěsy k výklopu</v>
      </c>
      <c r="M549" s="133" t="s">
        <v>2326</v>
      </c>
      <c r="N549" s="133" t="s">
        <v>1126</v>
      </c>
      <c r="O549" s="133" t="s">
        <v>1317</v>
      </c>
      <c r="P549" s="133" t="s">
        <v>1294</v>
      </c>
      <c r="Q549" s="133" t="s">
        <v>1572</v>
      </c>
      <c r="R549" s="318" t="s">
        <v>3962</v>
      </c>
    </row>
    <row r="550" spans="2:18">
      <c r="B550" s="182" t="str">
        <f t="shared" si="28"/>
        <v>Rozteč</v>
      </c>
      <c r="M550" s="133" t="s">
        <v>1129</v>
      </c>
      <c r="N550" s="133" t="s">
        <v>1129</v>
      </c>
      <c r="O550" s="133" t="s">
        <v>1130</v>
      </c>
      <c r="P550" s="133" t="s">
        <v>1131</v>
      </c>
      <c r="Q550" s="133" t="s">
        <v>1396</v>
      </c>
      <c r="R550" s="318" t="s">
        <v>3963</v>
      </c>
    </row>
    <row r="551" spans="2:18">
      <c r="B551" s="182" t="str">
        <f t="shared" si="28"/>
        <v>Rozteč úchytky (mm)</v>
      </c>
      <c r="M551" s="133" t="s">
        <v>1341</v>
      </c>
      <c r="N551" s="133" t="s">
        <v>1342</v>
      </c>
      <c r="O551" s="133" t="s">
        <v>1343</v>
      </c>
      <c r="P551" s="133" t="s">
        <v>1344</v>
      </c>
      <c r="Q551" s="133" t="s">
        <v>1411</v>
      </c>
      <c r="R551" s="318" t="s">
        <v>3964</v>
      </c>
    </row>
    <row r="552" spans="2:18">
      <c r="B552" s="182" t="str">
        <f t="shared" si="28"/>
        <v>Umístění úchytky</v>
      </c>
      <c r="M552" s="133" t="s">
        <v>1031</v>
      </c>
      <c r="N552" s="133" t="s">
        <v>1127</v>
      </c>
      <c r="O552" s="133" t="s">
        <v>1318</v>
      </c>
      <c r="P552" s="133" t="s">
        <v>1128</v>
      </c>
      <c r="Q552" s="133" t="s">
        <v>1412</v>
      </c>
      <c r="R552" s="318" t="s">
        <v>3965</v>
      </c>
    </row>
    <row r="553" spans="2:18">
      <c r="B553" s="182" t="str">
        <f t="shared" si="28"/>
        <v>Závěsy</v>
      </c>
      <c r="M553" s="133" t="s">
        <v>399</v>
      </c>
      <c r="N553" s="133" t="s">
        <v>400</v>
      </c>
      <c r="O553" s="133" t="s">
        <v>401</v>
      </c>
      <c r="P553" s="133" t="s">
        <v>402</v>
      </c>
      <c r="Q553" s="133" t="s">
        <v>1444</v>
      </c>
      <c r="R553" s="318" t="s">
        <v>3764</v>
      </c>
    </row>
    <row r="554" spans="2:18">
      <c r="B554" s="182" t="str">
        <f t="shared" si="28"/>
        <v>Výklopy</v>
      </c>
      <c r="M554" s="133" t="s">
        <v>599</v>
      </c>
      <c r="N554" s="133" t="s">
        <v>599</v>
      </c>
      <c r="O554" s="133" t="s">
        <v>1143</v>
      </c>
      <c r="P554" s="133" t="s">
        <v>1144</v>
      </c>
      <c r="Q554" s="133" t="s">
        <v>1573</v>
      </c>
      <c r="R554" s="318" t="s">
        <v>3966</v>
      </c>
    </row>
    <row r="555" spans="2:18">
      <c r="B555" s="182" t="str">
        <f t="shared" si="28"/>
        <v>Naložený</v>
      </c>
      <c r="M555" s="175" t="s">
        <v>68</v>
      </c>
      <c r="N555" s="133" t="s">
        <v>68</v>
      </c>
      <c r="O555" s="133" t="s">
        <v>220</v>
      </c>
      <c r="P555" s="133" t="s">
        <v>284</v>
      </c>
      <c r="Q555" s="133" t="s">
        <v>1595</v>
      </c>
      <c r="R555" s="318" t="s">
        <v>3774</v>
      </c>
    </row>
    <row r="556" spans="2:18">
      <c r="B556" s="182" t="str">
        <f t="shared" ref="B556:B569" si="29">IF($D$1=1,M556,IF($D$1=2,N556,IF($D$1=3,O556,IF($D$1=4,P556,IF($D$1=5,Q556,IF($D$1=6,R556,0))))))</f>
        <v>Polonaložený</v>
      </c>
      <c r="M556" s="175" t="s">
        <v>69</v>
      </c>
      <c r="N556" s="133" t="s">
        <v>69</v>
      </c>
      <c r="O556" s="133" t="s">
        <v>221</v>
      </c>
      <c r="P556" s="133" t="s">
        <v>1244</v>
      </c>
      <c r="Q556" s="133" t="s">
        <v>1452</v>
      </c>
      <c r="R556" s="318" t="s">
        <v>3967</v>
      </c>
    </row>
    <row r="557" spans="2:18">
      <c r="B557" s="182" t="str">
        <f t="shared" si="29"/>
        <v>Vložený</v>
      </c>
      <c r="M557" s="175" t="s">
        <v>70</v>
      </c>
      <c r="N557" s="133" t="s">
        <v>70</v>
      </c>
      <c r="O557" s="133" t="s">
        <v>1145</v>
      </c>
      <c r="P557" s="133" t="s">
        <v>1245</v>
      </c>
      <c r="Q557" s="133" t="s">
        <v>905</v>
      </c>
      <c r="R557" s="318" t="s">
        <v>3968</v>
      </c>
    </row>
    <row r="558" spans="2:18">
      <c r="B558" s="182" t="str">
        <f t="shared" si="29"/>
        <v>Ano</v>
      </c>
      <c r="M558" s="175" t="s">
        <v>1180</v>
      </c>
      <c r="N558" s="133" t="s">
        <v>1186</v>
      </c>
      <c r="O558" s="133" t="s">
        <v>1185</v>
      </c>
      <c r="P558" s="133" t="s">
        <v>1182</v>
      </c>
      <c r="Q558" s="133" t="s">
        <v>1397</v>
      </c>
      <c r="R558" s="318" t="s">
        <v>3969</v>
      </c>
    </row>
    <row r="559" spans="2:18">
      <c r="B559" s="182" t="str">
        <f t="shared" si="29"/>
        <v>Ne</v>
      </c>
      <c r="M559" s="175" t="s">
        <v>1181</v>
      </c>
      <c r="N559" s="133" t="s">
        <v>1184</v>
      </c>
      <c r="O559" s="133" t="s">
        <v>1184</v>
      </c>
      <c r="P559" s="133" t="s">
        <v>1183</v>
      </c>
      <c r="Q559" s="133" t="s">
        <v>1398</v>
      </c>
      <c r="R559" s="318" t="s">
        <v>3970</v>
      </c>
    </row>
    <row r="560" spans="2:18">
      <c r="B560" s="182" t="str">
        <f t="shared" si="29"/>
        <v>Horizontálně (termín dodání 4 týdny)</v>
      </c>
      <c r="M560" s="175" t="s">
        <v>3123</v>
      </c>
      <c r="N560" s="133" t="s">
        <v>3124</v>
      </c>
      <c r="O560" s="133" t="s">
        <v>3125</v>
      </c>
      <c r="P560" s="133" t="s">
        <v>3126</v>
      </c>
      <c r="Q560" s="133" t="s">
        <v>3127</v>
      </c>
      <c r="R560" s="318" t="s">
        <v>3971</v>
      </c>
    </row>
    <row r="561" spans="2:18">
      <c r="B561" s="182" t="str">
        <f t="shared" si="29"/>
        <v>Vertikálně (termín dodání 4 týdny)</v>
      </c>
      <c r="M561" s="175" t="s">
        <v>3128</v>
      </c>
      <c r="N561" s="133" t="s">
        <v>3129</v>
      </c>
      <c r="O561" s="133" t="s">
        <v>3130</v>
      </c>
      <c r="P561" s="133" t="s">
        <v>3131</v>
      </c>
      <c r="Q561" s="133" t="s">
        <v>3132</v>
      </c>
      <c r="R561" s="318" t="s">
        <v>3972</v>
      </c>
    </row>
    <row r="562" spans="2:18">
      <c r="B562" s="182" t="str">
        <f t="shared" si="29"/>
        <v>Horizontálně i vertikálně (termín dodání 4 týdny)</v>
      </c>
      <c r="M562" s="175" t="s">
        <v>3133</v>
      </c>
      <c r="N562" s="133" t="s">
        <v>3134</v>
      </c>
      <c r="O562" s="133" t="s">
        <v>3135</v>
      </c>
      <c r="P562" s="133" t="s">
        <v>3136</v>
      </c>
      <c r="Q562" s="133" t="s">
        <v>3137</v>
      </c>
      <c r="R562" s="318" t="s">
        <v>3973</v>
      </c>
    </row>
    <row r="563" spans="2:18">
      <c r="B563" s="182" t="str">
        <f t="shared" si="29"/>
        <v>Rámeček složený ze dvou různých profilů</v>
      </c>
      <c r="M563" s="133" t="s">
        <v>1006</v>
      </c>
      <c r="N563" s="133" t="s">
        <v>1187</v>
      </c>
      <c r="O563" s="133" t="s">
        <v>1319</v>
      </c>
      <c r="P563" s="133" t="s">
        <v>1188</v>
      </c>
      <c r="Q563" s="133" t="s">
        <v>1574</v>
      </c>
      <c r="R563" s="318" t="s">
        <v>3974</v>
      </c>
    </row>
    <row r="564" spans="2:18">
      <c r="B564" s="182" t="str">
        <f t="shared" si="29"/>
        <v>Typ folie</v>
      </c>
      <c r="M564" s="175" t="s">
        <v>942</v>
      </c>
      <c r="N564" s="133" t="s">
        <v>1207</v>
      </c>
      <c r="O564" s="133" t="s">
        <v>1208</v>
      </c>
      <c r="P564" s="133" t="s">
        <v>1209</v>
      </c>
      <c r="Q564" s="133" t="s">
        <v>1575</v>
      </c>
      <c r="R564" s="318" t="s">
        <v>3975</v>
      </c>
    </row>
    <row r="565" spans="2:18">
      <c r="B565" s="182" t="str">
        <f t="shared" si="29"/>
        <v>Transparentní</v>
      </c>
      <c r="M565" s="133" t="s">
        <v>953</v>
      </c>
      <c r="N565" s="133" t="s">
        <v>1210</v>
      </c>
      <c r="O565" s="133" t="s">
        <v>1320</v>
      </c>
      <c r="P565" s="133" t="s">
        <v>1213</v>
      </c>
      <c r="Q565" s="133" t="s">
        <v>1399</v>
      </c>
      <c r="R565" s="318" t="s">
        <v>1399</v>
      </c>
    </row>
    <row r="566" spans="2:18">
      <c r="B566" s="182" t="str">
        <f t="shared" si="29"/>
        <v>Bílá</v>
      </c>
      <c r="M566" s="133" t="s">
        <v>956</v>
      </c>
      <c r="N566" s="133" t="s">
        <v>1211</v>
      </c>
      <c r="O566" s="133" t="s">
        <v>1321</v>
      </c>
      <c r="P566" s="133" t="s">
        <v>1295</v>
      </c>
      <c r="Q566" s="133" t="s">
        <v>1400</v>
      </c>
      <c r="R566" s="318" t="s">
        <v>3976</v>
      </c>
    </row>
    <row r="567" spans="2:18">
      <c r="B567" s="182" t="str">
        <f t="shared" si="29"/>
        <v>Černá</v>
      </c>
      <c r="M567" s="133" t="s">
        <v>959</v>
      </c>
      <c r="N567" s="133" t="s">
        <v>1212</v>
      </c>
      <c r="O567" s="133" t="s">
        <v>1322</v>
      </c>
      <c r="P567" s="133" t="s">
        <v>1214</v>
      </c>
      <c r="Q567" s="133" t="s">
        <v>1401</v>
      </c>
      <c r="R567" s="318" t="s">
        <v>3977</v>
      </c>
    </row>
    <row r="568" spans="2:18">
      <c r="B568" s="182" t="str">
        <f t="shared" si="29"/>
        <v>Dále</v>
      </c>
      <c r="M568" s="133" t="s">
        <v>1221</v>
      </c>
      <c r="N568" s="133" t="s">
        <v>1222</v>
      </c>
      <c r="O568" s="133" t="s">
        <v>1323</v>
      </c>
      <c r="P568" s="133" t="s">
        <v>1223</v>
      </c>
      <c r="Q568" s="133" t="s">
        <v>1402</v>
      </c>
      <c r="R568" s="318" t="s">
        <v>3978</v>
      </c>
    </row>
    <row r="569" spans="2:18">
      <c r="B569" s="182" t="str">
        <f t="shared" si="29"/>
        <v>Souhrn</v>
      </c>
      <c r="M569" s="133" t="s">
        <v>1112</v>
      </c>
      <c r="N569" s="133" t="s">
        <v>1226</v>
      </c>
      <c r="O569" s="133" t="s">
        <v>1224</v>
      </c>
      <c r="P569" s="133" t="s">
        <v>1225</v>
      </c>
      <c r="Q569" s="133" t="s">
        <v>1403</v>
      </c>
      <c r="R569" s="318" t="s">
        <v>3979</v>
      </c>
    </row>
    <row r="570" spans="2:18">
      <c r="B570" s="182">
        <f t="shared" ref="B570:B572" si="30">IF($D$1=1,M570,IF($D$1=2,N570,IF($D$1=3,O570,IF($D$1=4,P570,IF($D$1=5,Q570,0)))))</f>
        <v>0</v>
      </c>
    </row>
    <row r="571" spans="2:18">
      <c r="B571" s="182">
        <f t="shared" si="30"/>
        <v>0</v>
      </c>
    </row>
    <row r="572" spans="2:18">
      <c r="B572" s="182">
        <f t="shared" si="30"/>
        <v>0</v>
      </c>
    </row>
    <row r="573" spans="2:18">
      <c r="B573" s="182" t="str">
        <f t="shared" ref="B573:B636" si="31">IF($D$1=1,M573,IF($D$1=2,N573,IF($D$1=3,O573,IF($D$1=4,P573,IF($D$1=5,Q573,IF($D$1=6,R573,0))))))</f>
        <v>Pohled na předěly je jen ilustrativní a nezobrazuje zvolený počet ks předělů horizontálně / vertikálně.</v>
      </c>
      <c r="M573" s="133" t="s">
        <v>3061</v>
      </c>
      <c r="N573" s="133" t="s">
        <v>3063</v>
      </c>
      <c r="O573" s="133" t="s">
        <v>3062</v>
      </c>
      <c r="P573" s="133" t="s">
        <v>3064</v>
      </c>
      <c r="Q573" s="133" t="s">
        <v>1576</v>
      </c>
      <c r="R573" s="318" t="s">
        <v>4175</v>
      </c>
    </row>
    <row r="574" spans="2:18">
      <c r="B574" s="182" t="str">
        <f t="shared" si="31"/>
        <v>Upozornění:</v>
      </c>
      <c r="M574" s="133" t="s">
        <v>3502</v>
      </c>
      <c r="N574" s="133" t="s">
        <v>3501</v>
      </c>
      <c r="O574" s="133" t="s">
        <v>3500</v>
      </c>
      <c r="P574" s="133" t="s">
        <v>3503</v>
      </c>
      <c r="Q574" s="133" t="s">
        <v>3504</v>
      </c>
      <c r="R574" s="318" t="s">
        <v>4176</v>
      </c>
    </row>
    <row r="575" spans="2:18">
      <c r="B575" s="182" t="str">
        <f t="shared" si="31"/>
        <v>Již neměnit po tom co vyberete typ skla/síťky</v>
      </c>
      <c r="M575" s="133" t="s">
        <v>4244</v>
      </c>
      <c r="N575" s="133" t="s">
        <v>4245</v>
      </c>
      <c r="O575" s="133" t="s">
        <v>4246</v>
      </c>
      <c r="P575" s="133" t="s">
        <v>4247</v>
      </c>
      <c r="Q575" s="133" t="s">
        <v>4248</v>
      </c>
      <c r="R575" s="318" t="s">
        <v>4249</v>
      </c>
    </row>
    <row r="576" spans="2:18">
      <c r="B576" s="182" t="str">
        <f t="shared" si="31"/>
        <v>Zpět</v>
      </c>
      <c r="M576" s="133" t="s">
        <v>1324</v>
      </c>
      <c r="N576" s="133" t="s">
        <v>1327</v>
      </c>
      <c r="O576" s="133" t="s">
        <v>1326</v>
      </c>
      <c r="P576" s="133" t="s">
        <v>1325</v>
      </c>
      <c r="Q576" s="133" t="s">
        <v>1404</v>
      </c>
      <c r="R576" s="318" t="s">
        <v>4177</v>
      </c>
    </row>
    <row r="577" spans="2:18">
      <c r="B577" s="182" t="str">
        <f t="shared" si="31"/>
        <v>Standardní vzdálenost závěsů od okraje je nastavena na 100mm (minimální  80mm). V případě potřeby změnit rozteč mezi jednotlivými závěsy, prosím, uveďte do poznámky (v mm).</v>
      </c>
      <c r="M577" s="133" t="s">
        <v>1329</v>
      </c>
      <c r="N577" s="133" t="s">
        <v>1330</v>
      </c>
      <c r="O577" s="133" t="s">
        <v>1331</v>
      </c>
      <c r="P577" s="133" t="s">
        <v>2076</v>
      </c>
      <c r="Q577" s="133" t="s">
        <v>1577</v>
      </c>
      <c r="R577" s="318" t="s">
        <v>4178</v>
      </c>
    </row>
    <row r="578" spans="2:18" ht="75">
      <c r="B578" s="182" t="str">
        <f t="shared" si="31"/>
        <v>Do zelených buněk upřesněte vzdálenost vrtání úchytky od kraje rámečku.
Pokud požadujete vrtání úchytky na střed rámečku a do středu profilu, vepište prosím do zelených buněk "x".</v>
      </c>
      <c r="M578" s="197" t="s">
        <v>1612</v>
      </c>
      <c r="N578" s="197" t="s">
        <v>1941</v>
      </c>
      <c r="O578" s="197" t="s">
        <v>3499</v>
      </c>
      <c r="P578" s="197" t="s">
        <v>2075</v>
      </c>
      <c r="Q578" s="197" t="s">
        <v>1613</v>
      </c>
      <c r="R578" s="323" t="s">
        <v>4179</v>
      </c>
    </row>
    <row r="579" spans="2:18">
      <c r="B579" s="182" t="str">
        <f t="shared" si="31"/>
        <v>Při použití pantů je maximální doporučený rozměr 600mm</v>
      </c>
      <c r="M579" s="133" t="s">
        <v>3468</v>
      </c>
      <c r="N579" s="133" t="s">
        <v>3469</v>
      </c>
      <c r="O579" s="133" t="s">
        <v>3470</v>
      </c>
      <c r="P579" s="133" t="s">
        <v>3471</v>
      </c>
      <c r="Q579" s="133" t="s">
        <v>3472</v>
      </c>
      <c r="R579" s="318" t="s">
        <v>4180</v>
      </c>
    </row>
    <row r="580" spans="2:18">
      <c r="B580" s="182" t="str">
        <f t="shared" si="31"/>
        <v>Varna černá výrobce doporučuje délku max. 1200 mm</v>
      </c>
      <c r="M580" s="133" t="s">
        <v>1425</v>
      </c>
      <c r="N580" s="133" t="s">
        <v>1426</v>
      </c>
      <c r="O580" s="133" t="s">
        <v>1427</v>
      </c>
      <c r="P580" s="133" t="s">
        <v>1428</v>
      </c>
      <c r="Q580" s="133" t="s">
        <v>1429</v>
      </c>
      <c r="R580" s="318" t="s">
        <v>4181</v>
      </c>
    </row>
    <row r="581" spans="2:18">
      <c r="B581" s="182" t="str">
        <f t="shared" si="31"/>
        <v>Varna černá výrobce doporučuje délku max. 1200 mm</v>
      </c>
      <c r="M581" s="133" t="s">
        <v>1425</v>
      </c>
      <c r="N581" s="133" t="s">
        <v>1430</v>
      </c>
      <c r="O581" s="133" t="s">
        <v>1427</v>
      </c>
      <c r="P581" s="133" t="s">
        <v>1428</v>
      </c>
      <c r="Q581" s="133" t="s">
        <v>1429</v>
      </c>
      <c r="R581" s="318" t="s">
        <v>4181</v>
      </c>
    </row>
    <row r="582" spans="2:18" ht="67.900000000000006" customHeight="1">
      <c r="B582" s="182" t="str">
        <f t="shared" si="31"/>
        <v>Rocca černá délka max. 2150 mm
Varna černá délka max. 1200 mm</v>
      </c>
      <c r="M582" s="197" t="s">
        <v>3056</v>
      </c>
      <c r="N582" s="197" t="s">
        <v>3057</v>
      </c>
      <c r="O582" s="197" t="s">
        <v>3058</v>
      </c>
      <c r="P582" s="197" t="s">
        <v>3059</v>
      </c>
      <c r="Q582" s="197" t="s">
        <v>3060</v>
      </c>
      <c r="R582" s="324" t="s">
        <v>4182</v>
      </c>
    </row>
    <row r="583" spans="2:18">
      <c r="B583" s="182" t="str">
        <f t="shared" si="31"/>
        <v>Objednávka skla</v>
      </c>
      <c r="M583" s="133" t="s">
        <v>1431</v>
      </c>
      <c r="N583" s="133" t="s">
        <v>1431</v>
      </c>
      <c r="O583" s="133" t="s">
        <v>1432</v>
      </c>
      <c r="P583" s="133" t="s">
        <v>1433</v>
      </c>
      <c r="Q583" s="133" t="s">
        <v>1434</v>
      </c>
      <c r="R583" s="318" t="s">
        <v>4183</v>
      </c>
    </row>
    <row r="584" spans="2:18">
      <c r="B584" s="182" t="str">
        <f t="shared" si="31"/>
        <v>s pružinou a tlumením</v>
      </c>
      <c r="M584" s="133" t="s">
        <v>2092</v>
      </c>
      <c r="N584" s="133" t="s">
        <v>2095</v>
      </c>
      <c r="O584" s="133" t="s">
        <v>2098</v>
      </c>
      <c r="P584" s="133" t="s">
        <v>2101</v>
      </c>
      <c r="Q584" s="133" t="s">
        <v>2104</v>
      </c>
      <c r="R584" s="318" t="s">
        <v>4184</v>
      </c>
    </row>
    <row r="585" spans="2:18">
      <c r="B585" s="182" t="str">
        <f t="shared" si="31"/>
        <v>s pružinou bez tlumení</v>
      </c>
      <c r="M585" s="133" t="s">
        <v>2093</v>
      </c>
      <c r="N585" s="133" t="s">
        <v>2096</v>
      </c>
      <c r="O585" s="133" t="s">
        <v>2099</v>
      </c>
      <c r="P585" s="133" t="s">
        <v>2102</v>
      </c>
      <c r="Q585" s="133" t="s">
        <v>2105</v>
      </c>
      <c r="R585" s="318" t="s">
        <v>4185</v>
      </c>
    </row>
    <row r="586" spans="2:18">
      <c r="B586" s="182" t="str">
        <f t="shared" si="31"/>
        <v>tip-on bez pružiny/tlumení</v>
      </c>
      <c r="M586" s="133" t="s">
        <v>2094</v>
      </c>
      <c r="N586" s="133" t="s">
        <v>2097</v>
      </c>
      <c r="O586" s="133" t="s">
        <v>2100</v>
      </c>
      <c r="P586" s="133" t="s">
        <v>2103</v>
      </c>
      <c r="Q586" s="133" t="s">
        <v>2106</v>
      </c>
      <c r="R586" s="318" t="s">
        <v>4186</v>
      </c>
    </row>
    <row r="587" spans="2:18">
      <c r="B587" s="182" t="str">
        <f t="shared" si="31"/>
        <v>stříbrná</v>
      </c>
      <c r="M587" s="133" t="s">
        <v>1102</v>
      </c>
      <c r="N587" s="133" t="s">
        <v>1600</v>
      </c>
      <c r="O587" s="133" t="s">
        <v>1601</v>
      </c>
      <c r="P587" s="133" t="s">
        <v>1596</v>
      </c>
      <c r="Q587" s="133" t="s">
        <v>1598</v>
      </c>
      <c r="R587" s="318" t="s">
        <v>4187</v>
      </c>
    </row>
    <row r="588" spans="2:18">
      <c r="B588" s="182" t="str">
        <f t="shared" si="31"/>
        <v>černá</v>
      </c>
      <c r="M588" s="133" t="s">
        <v>1104</v>
      </c>
      <c r="N588" s="133" t="s">
        <v>1212</v>
      </c>
      <c r="O588" s="133" t="s">
        <v>1602</v>
      </c>
      <c r="P588" s="133" t="s">
        <v>1597</v>
      </c>
      <c r="Q588" s="133" t="s">
        <v>1599</v>
      </c>
      <c r="R588" s="318" t="s">
        <v>4188</v>
      </c>
    </row>
    <row r="589" spans="2:18">
      <c r="B589" s="182" t="str">
        <f t="shared" si="31"/>
        <v>Při použití se sklem je maximální doporučený rozměr 1500 x 600 mm</v>
      </c>
      <c r="M589" s="133" t="s">
        <v>1616</v>
      </c>
      <c r="N589" s="133" t="s">
        <v>1619</v>
      </c>
      <c r="O589" s="133" t="s">
        <v>1617</v>
      </c>
      <c r="P589" s="133" t="s">
        <v>1618</v>
      </c>
      <c r="Q589" s="133" t="s">
        <v>1615</v>
      </c>
      <c r="R589" s="318" t="s">
        <v>3980</v>
      </c>
    </row>
    <row r="590" spans="2:18">
      <c r="B590" s="133" t="s">
        <v>1940</v>
      </c>
      <c r="R590" s="318"/>
    </row>
    <row r="591" spans="2:18">
      <c r="B591" s="182" t="str">
        <f t="shared" si="31"/>
        <v>(spodního)</v>
      </c>
      <c r="M591" t="s">
        <v>4541</v>
      </c>
      <c r="N591" s="133" t="s">
        <v>4545</v>
      </c>
      <c r="O591" s="133" t="s">
        <v>1950</v>
      </c>
      <c r="P591" s="133" t="s">
        <v>1942</v>
      </c>
      <c r="Q591" s="133" t="s">
        <v>1946</v>
      </c>
      <c r="R591" t="s">
        <v>3981</v>
      </c>
    </row>
    <row r="592" spans="2:18">
      <c r="B592" s="182" t="str">
        <f t="shared" si="31"/>
        <v>(levého)</v>
      </c>
      <c r="M592" t="s">
        <v>4542</v>
      </c>
      <c r="N592" s="133" t="s">
        <v>4546</v>
      </c>
      <c r="O592" s="133" t="s">
        <v>1951</v>
      </c>
      <c r="P592" s="133" t="s">
        <v>1943</v>
      </c>
      <c r="Q592" s="133" t="s">
        <v>1947</v>
      </c>
      <c r="R592" t="s">
        <v>3982</v>
      </c>
    </row>
    <row r="593" spans="2:18">
      <c r="B593" s="182" t="str">
        <f t="shared" si="31"/>
        <v>(horního)</v>
      </c>
      <c r="M593" t="s">
        <v>4543</v>
      </c>
      <c r="N593" s="133" t="s">
        <v>4547</v>
      </c>
      <c r="O593" s="133" t="s">
        <v>1952</v>
      </c>
      <c r="P593" s="133" t="s">
        <v>1944</v>
      </c>
      <c r="Q593" s="133" t="s">
        <v>1948</v>
      </c>
      <c r="R593" t="s">
        <v>3983</v>
      </c>
    </row>
    <row r="594" spans="2:18">
      <c r="B594" s="182" t="str">
        <f t="shared" si="31"/>
        <v>(pravého)</v>
      </c>
      <c r="M594" t="s">
        <v>4544</v>
      </c>
      <c r="N594" s="133" t="s">
        <v>4544</v>
      </c>
      <c r="O594" s="133" t="s">
        <v>1953</v>
      </c>
      <c r="P594" s="133" t="s">
        <v>1945</v>
      </c>
      <c r="Q594" s="133" t="s">
        <v>1949</v>
      </c>
      <c r="R594" t="s">
        <v>3984</v>
      </c>
    </row>
    <row r="595" spans="2:18">
      <c r="B595" s="182" t="str">
        <f t="shared" si="31"/>
        <v>275672- autom. 30N šedá</v>
      </c>
      <c r="M595" s="133" t="s">
        <v>1955</v>
      </c>
      <c r="N595" s="133" t="s">
        <v>1956</v>
      </c>
      <c r="O595" s="133" t="s">
        <v>1957</v>
      </c>
      <c r="P595" s="133" t="s">
        <v>1958</v>
      </c>
      <c r="Q595" s="133" t="s">
        <v>1959</v>
      </c>
      <c r="R595" t="s">
        <v>3985</v>
      </c>
    </row>
    <row r="596" spans="2:18">
      <c r="B596" s="182" t="str">
        <f t="shared" si="31"/>
        <v>275673- autom. 60N šedá</v>
      </c>
      <c r="M596" s="133" t="s">
        <v>1960</v>
      </c>
      <c r="N596" s="133" t="s">
        <v>1961</v>
      </c>
      <c r="O596" s="133" t="s">
        <v>1962</v>
      </c>
      <c r="P596" s="133" t="s">
        <v>1963</v>
      </c>
      <c r="Q596" s="133" t="s">
        <v>1964</v>
      </c>
      <c r="R596" t="s">
        <v>3986</v>
      </c>
    </row>
    <row r="597" spans="2:18">
      <c r="B597" s="182" t="str">
        <f t="shared" si="31"/>
        <v>275674- autom. 80N šedá</v>
      </c>
      <c r="M597" s="133" t="s">
        <v>1965</v>
      </c>
      <c r="N597" s="133" t="s">
        <v>1966</v>
      </c>
      <c r="O597" s="133" t="s">
        <v>1967</v>
      </c>
      <c r="P597" s="133" t="s">
        <v>1968</v>
      </c>
      <c r="Q597" s="133" t="s">
        <v>1969</v>
      </c>
      <c r="R597" t="s">
        <v>3987</v>
      </c>
    </row>
    <row r="598" spans="2:18">
      <c r="B598" s="182" t="str">
        <f t="shared" si="31"/>
        <v>275675- autom. 100N šedá</v>
      </c>
      <c r="M598" s="133" t="s">
        <v>1970</v>
      </c>
      <c r="N598" s="133" t="s">
        <v>1971</v>
      </c>
      <c r="O598" s="133" t="s">
        <v>1972</v>
      </c>
      <c r="P598" s="133" t="s">
        <v>1973</v>
      </c>
      <c r="Q598" s="133" t="s">
        <v>1974</v>
      </c>
      <c r="R598" t="s">
        <v>3988</v>
      </c>
    </row>
    <row r="599" spans="2:18">
      <c r="B599" s="182" t="str">
        <f t="shared" si="31"/>
        <v>275676- autom. 120N šedá</v>
      </c>
      <c r="M599" s="133" t="s">
        <v>1975</v>
      </c>
      <c r="N599" s="133" t="s">
        <v>1976</v>
      </c>
      <c r="O599" s="133" t="s">
        <v>1977</v>
      </c>
      <c r="P599" s="133" t="s">
        <v>1978</v>
      </c>
      <c r="Q599" s="133" t="s">
        <v>1979</v>
      </c>
      <c r="R599" t="s">
        <v>3989</v>
      </c>
    </row>
    <row r="600" spans="2:18">
      <c r="B600" s="198" t="s">
        <v>1954</v>
      </c>
      <c r="R600"/>
    </row>
    <row r="601" spans="2:18">
      <c r="B601" s="182" t="str">
        <f t="shared" si="31"/>
        <v>248162- autom. 30N bílá</v>
      </c>
      <c r="M601" s="133" t="s">
        <v>1980</v>
      </c>
      <c r="N601" s="133" t="s">
        <v>1981</v>
      </c>
      <c r="O601" s="133" t="s">
        <v>1982</v>
      </c>
      <c r="P601" s="133" t="s">
        <v>1983</v>
      </c>
      <c r="Q601" s="133" t="s">
        <v>1984</v>
      </c>
      <c r="R601" t="s">
        <v>3990</v>
      </c>
    </row>
    <row r="602" spans="2:18">
      <c r="B602" s="182" t="str">
        <f t="shared" si="31"/>
        <v>248163- autom. 60N bílá</v>
      </c>
      <c r="M602" s="133" t="s">
        <v>1985</v>
      </c>
      <c r="N602" s="133" t="s">
        <v>1986</v>
      </c>
      <c r="O602" s="133" t="s">
        <v>1987</v>
      </c>
      <c r="P602" s="133" t="s">
        <v>1988</v>
      </c>
      <c r="Q602" s="133" t="s">
        <v>1989</v>
      </c>
      <c r="R602" t="s">
        <v>3991</v>
      </c>
    </row>
    <row r="603" spans="2:18">
      <c r="B603" s="182" t="str">
        <f t="shared" si="31"/>
        <v>248164- autom. 80N bílá</v>
      </c>
      <c r="M603" s="133" t="s">
        <v>1990</v>
      </c>
      <c r="N603" s="133" t="s">
        <v>1991</v>
      </c>
      <c r="O603" s="133" t="s">
        <v>1992</v>
      </c>
      <c r="P603" s="133" t="s">
        <v>1993</v>
      </c>
      <c r="Q603" s="133" t="s">
        <v>1994</v>
      </c>
      <c r="R603" t="s">
        <v>3992</v>
      </c>
    </row>
    <row r="604" spans="2:18">
      <c r="B604" s="182" t="str">
        <f t="shared" si="31"/>
        <v>248165- autom. 100N bílá</v>
      </c>
      <c r="M604" s="133" t="s">
        <v>1995</v>
      </c>
      <c r="N604" s="133" t="s">
        <v>1996</v>
      </c>
      <c r="O604" s="133" t="s">
        <v>1997</v>
      </c>
      <c r="P604" s="133" t="s">
        <v>1998</v>
      </c>
      <c r="Q604" s="133" t="s">
        <v>1999</v>
      </c>
      <c r="R604" t="s">
        <v>3993</v>
      </c>
    </row>
    <row r="605" spans="2:18">
      <c r="B605" s="182" t="str">
        <f t="shared" si="31"/>
        <v>248166- autom. 120N bílá</v>
      </c>
      <c r="M605" s="133" t="s">
        <v>2000</v>
      </c>
      <c r="N605" s="133" t="s">
        <v>2001</v>
      </c>
      <c r="O605" s="133" t="s">
        <v>2002</v>
      </c>
      <c r="P605" s="133" t="s">
        <v>2003</v>
      </c>
      <c r="Q605" s="133" t="s">
        <v>2004</v>
      </c>
      <c r="R605" t="s">
        <v>3994</v>
      </c>
    </row>
    <row r="606" spans="2:18">
      <c r="B606" s="182" t="str">
        <f t="shared" si="31"/>
        <v>284250- poloh. 60N šedá</v>
      </c>
      <c r="M606" s="133" t="s">
        <v>2005</v>
      </c>
      <c r="N606" s="133" t="s">
        <v>2006</v>
      </c>
      <c r="O606" s="133" t="s">
        <v>2007</v>
      </c>
      <c r="P606" s="133" t="s">
        <v>2008</v>
      </c>
      <c r="Q606" s="133" t="s">
        <v>2009</v>
      </c>
      <c r="R606" t="s">
        <v>3995</v>
      </c>
    </row>
    <row r="607" spans="2:18">
      <c r="B607" s="198" t="s">
        <v>1954</v>
      </c>
      <c r="R607"/>
    </row>
    <row r="608" spans="2:18">
      <c r="B608" s="182" t="str">
        <f t="shared" si="31"/>
        <v>284251- poloh. 80N šedá</v>
      </c>
      <c r="M608" s="133" t="s">
        <v>2010</v>
      </c>
      <c r="N608" s="133" t="s">
        <v>2011</v>
      </c>
      <c r="O608" s="133" t="s">
        <v>2012</v>
      </c>
      <c r="P608" s="133" t="s">
        <v>2013</v>
      </c>
      <c r="Q608" s="133" t="s">
        <v>2014</v>
      </c>
      <c r="R608" t="s">
        <v>3996</v>
      </c>
    </row>
    <row r="609" spans="2:18">
      <c r="B609" s="182" t="str">
        <f t="shared" si="31"/>
        <v>284252- poloh. 100N šedá</v>
      </c>
      <c r="M609" s="133" t="s">
        <v>2015</v>
      </c>
      <c r="N609" s="133" t="s">
        <v>2016</v>
      </c>
      <c r="O609" s="133" t="s">
        <v>2017</v>
      </c>
      <c r="P609" s="133" t="s">
        <v>2018</v>
      </c>
      <c r="Q609" s="133" t="s">
        <v>2019</v>
      </c>
      <c r="R609" t="s">
        <v>3997</v>
      </c>
    </row>
    <row r="610" spans="2:18">
      <c r="B610" s="182" t="str">
        <f t="shared" si="31"/>
        <v>284253- poloh. 120N šedá</v>
      </c>
      <c r="M610" s="133" t="s">
        <v>2020</v>
      </c>
      <c r="N610" s="133" t="s">
        <v>2021</v>
      </c>
      <c r="O610" s="133" t="s">
        <v>2022</v>
      </c>
      <c r="P610" s="133" t="s">
        <v>2023</v>
      </c>
      <c r="Q610" s="133" t="s">
        <v>2024</v>
      </c>
      <c r="R610" t="s">
        <v>3998</v>
      </c>
    </row>
    <row r="611" spans="2:18">
      <c r="B611" s="182" t="str">
        <f t="shared" si="31"/>
        <v>284254- poloh. 60N bílá</v>
      </c>
      <c r="M611" s="133" t="s">
        <v>2025</v>
      </c>
      <c r="N611" s="133" t="s">
        <v>2026</v>
      </c>
      <c r="O611" s="133" t="s">
        <v>2027</v>
      </c>
      <c r="P611" s="133" t="s">
        <v>2028</v>
      </c>
      <c r="Q611" s="133" t="s">
        <v>2029</v>
      </c>
      <c r="R611" t="s">
        <v>3999</v>
      </c>
    </row>
    <row r="612" spans="2:18">
      <c r="B612" s="182" t="str">
        <f t="shared" si="31"/>
        <v>284255- poloh. 80N bílá</v>
      </c>
      <c r="M612" s="133" t="s">
        <v>2030</v>
      </c>
      <c r="N612" s="133" t="s">
        <v>2031</v>
      </c>
      <c r="O612" s="133" t="s">
        <v>2032</v>
      </c>
      <c r="P612" s="133" t="s">
        <v>2033</v>
      </c>
      <c r="Q612" s="133" t="s">
        <v>2034</v>
      </c>
      <c r="R612" t="s">
        <v>4000</v>
      </c>
    </row>
    <row r="613" spans="2:18">
      <c r="B613" s="182" t="str">
        <f t="shared" si="31"/>
        <v>284256- poloh. 100N bílá</v>
      </c>
      <c r="M613" s="133" t="s">
        <v>2035</v>
      </c>
      <c r="N613" s="133" t="s">
        <v>2036</v>
      </c>
      <c r="O613" s="133" t="s">
        <v>2037</v>
      </c>
      <c r="P613" s="133" t="s">
        <v>2038</v>
      </c>
      <c r="Q613" s="133" t="s">
        <v>2039</v>
      </c>
      <c r="R613" t="s">
        <v>4001</v>
      </c>
    </row>
    <row r="614" spans="2:18">
      <c r="B614" s="182" t="str">
        <f t="shared" si="31"/>
        <v>284257- poloh. 120N bílá</v>
      </c>
      <c r="M614" s="133" t="s">
        <v>2040</v>
      </c>
      <c r="N614" s="133" t="s">
        <v>2041</v>
      </c>
      <c r="O614" s="133" t="s">
        <v>2042</v>
      </c>
      <c r="P614" s="133" t="s">
        <v>2043</v>
      </c>
      <c r="Q614" s="133" t="s">
        <v>2044</v>
      </c>
      <c r="R614" t="s">
        <v>4002</v>
      </c>
    </row>
    <row r="615" spans="2:18">
      <c r="B615" s="198" t="s">
        <v>1954</v>
      </c>
      <c r="R615" s="318"/>
    </row>
    <row r="616" spans="2:18">
      <c r="B616" s="182" t="str">
        <f t="shared" si="31"/>
        <v>275689- spodní 80N šedá</v>
      </c>
      <c r="M616" s="133" t="s">
        <v>3218</v>
      </c>
      <c r="N616" s="133" t="s">
        <v>2045</v>
      </c>
      <c r="O616" s="133" t="s">
        <v>2046</v>
      </c>
      <c r="P616" s="133" t="s">
        <v>2047</v>
      </c>
      <c r="Q616" s="133" t="s">
        <v>2048</v>
      </c>
      <c r="R616" s="318" t="s">
        <v>4189</v>
      </c>
    </row>
    <row r="617" spans="2:18">
      <c r="B617" s="182" t="str">
        <f t="shared" si="31"/>
        <v>248167- spodní 80N bílá</v>
      </c>
      <c r="M617" s="133" t="s">
        <v>3219</v>
      </c>
      <c r="N617" s="133" t="s">
        <v>2049</v>
      </c>
      <c r="O617" s="133" t="s">
        <v>2050</v>
      </c>
      <c r="P617" s="133" t="s">
        <v>2051</v>
      </c>
      <c r="Q617" s="133" t="s">
        <v>2052</v>
      </c>
      <c r="R617" s="318" t="s">
        <v>4190</v>
      </c>
    </row>
    <row r="618" spans="2:18">
      <c r="B618" s="182" t="str">
        <f t="shared" si="31"/>
        <v>507355-22L3200-výška skříňky=300 – 339 mm</v>
      </c>
      <c r="M618" s="133" t="s">
        <v>2293</v>
      </c>
      <c r="N618" s="133" t="s">
        <v>2297</v>
      </c>
      <c r="O618" s="133" t="s">
        <v>2301</v>
      </c>
      <c r="P618" s="133" t="s">
        <v>2305</v>
      </c>
      <c r="Q618" s="133" t="s">
        <v>2309</v>
      </c>
      <c r="R618" s="318" t="s">
        <v>4191</v>
      </c>
    </row>
    <row r="619" spans="2:18">
      <c r="B619" s="182" t="str">
        <f t="shared" si="31"/>
        <v>507356-22L3500-výška skříňky=340 – 389 mm</v>
      </c>
      <c r="M619" s="133" t="s">
        <v>2294</v>
      </c>
      <c r="N619" s="133" t="s">
        <v>2298</v>
      </c>
      <c r="O619" s="133" t="s">
        <v>2302</v>
      </c>
      <c r="P619" s="133" t="s">
        <v>2306</v>
      </c>
      <c r="Q619" s="133" t="s">
        <v>2310</v>
      </c>
      <c r="R619" s="318" t="s">
        <v>4192</v>
      </c>
    </row>
    <row r="620" spans="2:18">
      <c r="B620" s="182" t="str">
        <f t="shared" si="31"/>
        <v>507357-22L3800-výška skříňky=390 – 540 mm</v>
      </c>
      <c r="M620" s="133" t="s">
        <v>2295</v>
      </c>
      <c r="N620" s="133" t="s">
        <v>2299</v>
      </c>
      <c r="O620" s="133" t="s">
        <v>2303</v>
      </c>
      <c r="P620" s="133" t="s">
        <v>2307</v>
      </c>
      <c r="Q620" s="133" t="s">
        <v>2311</v>
      </c>
      <c r="R620" s="318" t="s">
        <v>4193</v>
      </c>
    </row>
    <row r="621" spans="2:18">
      <c r="B621" s="182" t="str">
        <f t="shared" si="31"/>
        <v>507358-22L3900-výška skříňky=480 – 580 mm</v>
      </c>
      <c r="M621" s="133" t="s">
        <v>2296</v>
      </c>
      <c r="N621" s="133" t="s">
        <v>2300</v>
      </c>
      <c r="O621" s="133" t="s">
        <v>2304</v>
      </c>
      <c r="P621" s="133" t="s">
        <v>2308</v>
      </c>
      <c r="Q621" s="133" t="s">
        <v>2312</v>
      </c>
      <c r="R621" s="318" t="s">
        <v>4194</v>
      </c>
    </row>
    <row r="622" spans="2:18">
      <c r="B622" s="182" t="str">
        <f t="shared" si="31"/>
        <v>Servo:</v>
      </c>
      <c r="M622" s="133" t="s">
        <v>2053</v>
      </c>
      <c r="N622" s="133" t="s">
        <v>2053</v>
      </c>
      <c r="O622" s="133" t="s">
        <v>2053</v>
      </c>
      <c r="P622" s="133" t="s">
        <v>2053</v>
      </c>
      <c r="Q622" s="133" t="s">
        <v>2053</v>
      </c>
      <c r="R622" s="318" t="s">
        <v>4195</v>
      </c>
    </row>
    <row r="623" spans="2:18">
      <c r="B623" s="182" t="str">
        <f t="shared" si="31"/>
        <v>197612-21L3200.01-výška skříňky=300 – 349 mm</v>
      </c>
      <c r="M623" s="133" t="s">
        <v>2054</v>
      </c>
      <c r="N623" s="133" t="s">
        <v>2055</v>
      </c>
      <c r="O623" s="133" t="s">
        <v>2056</v>
      </c>
      <c r="P623" s="133" t="s">
        <v>2057</v>
      </c>
      <c r="Q623" s="133" t="s">
        <v>2058</v>
      </c>
      <c r="R623" s="318" t="s">
        <v>4196</v>
      </c>
    </row>
    <row r="624" spans="2:18">
      <c r="B624" s="182" t="str">
        <f t="shared" si="31"/>
        <v>197613-21L3500.01-výška skříňky=350 – 399 mm</v>
      </c>
      <c r="M624" s="133" t="s">
        <v>2059</v>
      </c>
      <c r="N624" s="133" t="s">
        <v>2060</v>
      </c>
      <c r="O624" s="133" t="s">
        <v>2061</v>
      </c>
      <c r="P624" s="133" t="s">
        <v>2062</v>
      </c>
      <c r="Q624" s="133" t="s">
        <v>2063</v>
      </c>
      <c r="R624" s="318" t="s">
        <v>4197</v>
      </c>
    </row>
    <row r="625" spans="2:18">
      <c r="B625" s="182" t="str">
        <f t="shared" si="31"/>
        <v>197614-21L3800.01-výška skříňky=400 – 550 mm</v>
      </c>
      <c r="M625" s="133" t="s">
        <v>2064</v>
      </c>
      <c r="N625" s="133" t="s">
        <v>2065</v>
      </c>
      <c r="O625" s="133" t="s">
        <v>2066</v>
      </c>
      <c r="P625" s="133" t="s">
        <v>2067</v>
      </c>
      <c r="Q625" s="133" t="s">
        <v>2068</v>
      </c>
      <c r="R625" s="318" t="s">
        <v>4198</v>
      </c>
    </row>
    <row r="626" spans="2:18">
      <c r="B626" s="182" t="str">
        <f t="shared" si="31"/>
        <v>197615-21L3900.01-výška skříňky=450 – 580 mm</v>
      </c>
      <c r="M626" s="133" t="s">
        <v>2069</v>
      </c>
      <c r="N626" s="133" t="s">
        <v>2070</v>
      </c>
      <c r="O626" s="133" t="s">
        <v>2071</v>
      </c>
      <c r="P626" s="133" t="s">
        <v>2072</v>
      </c>
      <c r="Q626" s="133" t="s">
        <v>2073</v>
      </c>
      <c r="R626" s="318" t="s">
        <v>4199</v>
      </c>
    </row>
    <row r="627" spans="2:18">
      <c r="B627" s="182" t="str">
        <f t="shared" si="31"/>
        <v>Typ skla/síťky</v>
      </c>
      <c r="M627" s="175" t="s">
        <v>2287</v>
      </c>
      <c r="N627" s="133" t="s">
        <v>2288</v>
      </c>
      <c r="O627" s="133" t="s">
        <v>2289</v>
      </c>
      <c r="P627" s="133" t="s">
        <v>2290</v>
      </c>
      <c r="Q627" s="133" t="s">
        <v>2291</v>
      </c>
      <c r="R627" s="318" t="s">
        <v>4145</v>
      </c>
    </row>
    <row r="628" spans="2:18" ht="45">
      <c r="B628" s="182" t="str">
        <f t="shared" si="31"/>
        <v>Do zelených buněk upřesněte vzdálenost vrtání úchytky od vnějšího kraje rámečku.</v>
      </c>
      <c r="M628" s="197" t="s">
        <v>2087</v>
      </c>
      <c r="N628" s="197" t="s">
        <v>2088</v>
      </c>
      <c r="O628" s="197" t="s">
        <v>2089</v>
      </c>
      <c r="P628" s="197" t="s">
        <v>2090</v>
      </c>
      <c r="Q628" s="197" t="s">
        <v>2091</v>
      </c>
      <c r="R628" s="323" t="s">
        <v>4200</v>
      </c>
    </row>
    <row r="629" spans="2:18">
      <c r="B629" s="182" t="str">
        <f t="shared" si="31"/>
        <v>Neplatná kombinace</v>
      </c>
      <c r="M629" s="133" t="s">
        <v>2107</v>
      </c>
      <c r="N629" s="133" t="s">
        <v>2111</v>
      </c>
      <c r="O629" s="133" t="s">
        <v>2110</v>
      </c>
      <c r="P629" s="133" t="s">
        <v>2109</v>
      </c>
      <c r="Q629" s="133" t="s">
        <v>2108</v>
      </c>
      <c r="R629" s="318" t="s">
        <v>4201</v>
      </c>
    </row>
    <row r="630" spans="2:18">
      <c r="B630" s="182" t="str">
        <f t="shared" si="31"/>
        <v>křížová vrut</v>
      </c>
      <c r="M630" s="175" t="s">
        <v>2119</v>
      </c>
      <c r="N630" s="175" t="s">
        <v>2125</v>
      </c>
      <c r="O630" s="133" t="s">
        <v>2126</v>
      </c>
      <c r="P630" s="133" t="s">
        <v>2127</v>
      </c>
      <c r="Q630" s="133" t="s">
        <v>2128</v>
      </c>
      <c r="R630" s="318" t="s">
        <v>4202</v>
      </c>
    </row>
    <row r="631" spans="2:18">
      <c r="B631" s="182" t="str">
        <f t="shared" si="31"/>
        <v>křížová vrut (excentr)</v>
      </c>
      <c r="M631" s="175" t="s">
        <v>2117</v>
      </c>
      <c r="N631" s="175" t="s">
        <v>2129</v>
      </c>
      <c r="O631" s="133" t="s">
        <v>2130</v>
      </c>
      <c r="P631" s="133" t="s">
        <v>2131</v>
      </c>
      <c r="Q631" s="133" t="s">
        <v>2132</v>
      </c>
      <c r="R631" s="318" t="s">
        <v>4203</v>
      </c>
    </row>
    <row r="632" spans="2:18">
      <c r="B632" s="182" t="str">
        <f t="shared" si="31"/>
        <v>křížová euro</v>
      </c>
      <c r="M632" s="175" t="s">
        <v>2120</v>
      </c>
      <c r="N632" s="175" t="s">
        <v>2133</v>
      </c>
      <c r="O632" s="133" t="s">
        <v>2148</v>
      </c>
      <c r="P632" s="133" t="s">
        <v>2134</v>
      </c>
      <c r="Q632" s="133" t="s">
        <v>2135</v>
      </c>
      <c r="R632" s="318" t="s">
        <v>4204</v>
      </c>
    </row>
    <row r="633" spans="2:18">
      <c r="B633" s="182" t="str">
        <f t="shared" si="31"/>
        <v>křížová hmoždinka</v>
      </c>
      <c r="M633" s="175" t="s">
        <v>2121</v>
      </c>
      <c r="N633" s="175" t="s">
        <v>2136</v>
      </c>
      <c r="O633" s="133" t="s">
        <v>2149</v>
      </c>
      <c r="P633" s="133" t="s">
        <v>2137</v>
      </c>
      <c r="Q633" s="133" t="s">
        <v>2137</v>
      </c>
      <c r="R633" s="318" t="s">
        <v>4205</v>
      </c>
    </row>
    <row r="634" spans="2:18">
      <c r="B634" s="182" t="str">
        <f t="shared" si="31"/>
        <v>přímá vrut</v>
      </c>
      <c r="M634" s="175" t="s">
        <v>2122</v>
      </c>
      <c r="N634" s="175" t="s">
        <v>2138</v>
      </c>
      <c r="O634" s="133" t="s">
        <v>2139</v>
      </c>
      <c r="P634" s="133" t="s">
        <v>2141</v>
      </c>
      <c r="Q634" s="133" t="s">
        <v>2140</v>
      </c>
      <c r="R634" s="318" t="s">
        <v>4206</v>
      </c>
    </row>
    <row r="635" spans="2:18">
      <c r="B635" s="182" t="str">
        <f t="shared" si="31"/>
        <v>přímá euro</v>
      </c>
      <c r="M635" s="175" t="s">
        <v>2123</v>
      </c>
      <c r="N635" s="175" t="s">
        <v>2123</v>
      </c>
      <c r="O635" s="133" t="s">
        <v>2144</v>
      </c>
      <c r="P635" s="133" t="s">
        <v>2142</v>
      </c>
      <c r="Q635" s="133" t="s">
        <v>2143</v>
      </c>
      <c r="R635" s="318" t="s">
        <v>4207</v>
      </c>
    </row>
    <row r="636" spans="2:18">
      <c r="B636" s="182" t="str">
        <f t="shared" si="31"/>
        <v>přímá hmoždinka</v>
      </c>
      <c r="M636" s="175" t="s">
        <v>2124</v>
      </c>
      <c r="N636" s="175" t="s">
        <v>2124</v>
      </c>
      <c r="O636" s="133" t="s">
        <v>2145</v>
      </c>
      <c r="P636" s="133" t="s">
        <v>2146</v>
      </c>
      <c r="Q636" s="133" t="s">
        <v>2147</v>
      </c>
      <c r="R636" s="318" t="s">
        <v>4208</v>
      </c>
    </row>
    <row r="637" spans="2:18">
      <c r="B637" s="182" t="str">
        <f t="shared" ref="B637:B653" si="32">IF($D$1=1,M637,IF($D$1=2,N637,IF($D$1=3,O637,IF($D$1=4,P637,IF($D$1=5,Q637,IF($D$1=6,R637,0))))))</f>
        <v>délka max. 2150 mm</v>
      </c>
      <c r="M637" s="133" t="s">
        <v>2163</v>
      </c>
      <c r="N637" s="133" t="s">
        <v>2164</v>
      </c>
      <c r="O637" s="133" t="s">
        <v>2165</v>
      </c>
      <c r="P637" s="133" t="s">
        <v>2265</v>
      </c>
      <c r="Q637" s="133" t="s">
        <v>2166</v>
      </c>
      <c r="R637" s="318" t="s">
        <v>4209</v>
      </c>
    </row>
    <row r="638" spans="2:18">
      <c r="B638" s="182" t="str">
        <f t="shared" si="32"/>
        <v>Vzdálenost od spodního okraje</v>
      </c>
      <c r="M638" s="175" t="s">
        <v>3216</v>
      </c>
      <c r="N638" s="133" t="s">
        <v>2182</v>
      </c>
      <c r="O638" s="133" t="s">
        <v>2180</v>
      </c>
      <c r="P638" s="133" t="s">
        <v>2184</v>
      </c>
      <c r="Q638" s="133" t="s">
        <v>2178</v>
      </c>
      <c r="R638" s="318" t="s">
        <v>4210</v>
      </c>
    </row>
    <row r="639" spans="2:18">
      <c r="B639" s="182" t="str">
        <f t="shared" si="32"/>
        <v>Vzdálenost od horního okraje</v>
      </c>
      <c r="M639" s="175" t="s">
        <v>3217</v>
      </c>
      <c r="N639" s="133" t="s">
        <v>2183</v>
      </c>
      <c r="O639" s="133" t="s">
        <v>2181</v>
      </c>
      <c r="P639" s="133" t="s">
        <v>2185</v>
      </c>
      <c r="Q639" s="133" t="s">
        <v>2179</v>
      </c>
      <c r="R639" s="318" t="s">
        <v>4211</v>
      </c>
    </row>
    <row r="640" spans="2:18">
      <c r="B640" s="182" t="str">
        <f t="shared" si="32"/>
        <v>Bez úprav</v>
      </c>
      <c r="M640" s="133" t="s">
        <v>1139</v>
      </c>
      <c r="N640" s="133" t="s">
        <v>1139</v>
      </c>
      <c r="O640" s="133" t="s">
        <v>1140</v>
      </c>
      <c r="P640" s="133" t="s">
        <v>1138</v>
      </c>
      <c r="Q640" s="133" t="s">
        <v>1438</v>
      </c>
      <c r="R640" s="318" t="s">
        <v>4212</v>
      </c>
    </row>
    <row r="641" spans="2:18">
      <c r="B641" s="182" t="str">
        <f t="shared" si="32"/>
        <v>Kalené (termín dodání 4 týdny)</v>
      </c>
      <c r="M641" s="133" t="s">
        <v>3118</v>
      </c>
      <c r="N641" s="133" t="s">
        <v>3119</v>
      </c>
      <c r="O641" s="133" t="s">
        <v>3120</v>
      </c>
      <c r="P641" s="133" t="s">
        <v>3121</v>
      </c>
      <c r="Q641" s="133" t="s">
        <v>3122</v>
      </c>
      <c r="R641" s="318" t="s">
        <v>4213</v>
      </c>
    </row>
    <row r="642" spans="2:18">
      <c r="B642" s="182" t="str">
        <f t="shared" si="32"/>
        <v>Folie</v>
      </c>
      <c r="M642" s="133" t="s">
        <v>933</v>
      </c>
      <c r="N642" s="133" t="s">
        <v>933</v>
      </c>
      <c r="O642" s="133" t="s">
        <v>1141</v>
      </c>
      <c r="P642" s="133" t="s">
        <v>1142</v>
      </c>
      <c r="Q642" s="133" t="s">
        <v>1437</v>
      </c>
      <c r="R642" s="318" t="s">
        <v>4011</v>
      </c>
    </row>
    <row r="643" spans="2:18" ht="58.5">
      <c r="B643" s="182" t="str">
        <f t="shared" si="32"/>
        <v xml:space="preserve">Rámečky bez skla se dodávají v demontovaném stavu. </v>
      </c>
      <c r="M643" s="199" t="s">
        <v>2258</v>
      </c>
      <c r="N643" s="199" t="s">
        <v>2257</v>
      </c>
      <c r="O643" s="199" t="s">
        <v>2259</v>
      </c>
      <c r="P643" s="204" t="s">
        <v>2260</v>
      </c>
      <c r="Q643" s="226" t="s">
        <v>2325</v>
      </c>
      <c r="R643" s="318" t="s">
        <v>4214</v>
      </c>
    </row>
    <row r="644" spans="2:18" ht="74.25" customHeight="1">
      <c r="B644" s="182" t="str">
        <f t="shared" si="32"/>
        <v>Maximální doporučený rozměr je 1500x600. Při objednání většího rozměru se může sklo vysunout z profilu. Za takové reklamace výrobce nenese odpovědnost.</v>
      </c>
      <c r="M644" s="197" t="s">
        <v>2266</v>
      </c>
      <c r="N644" s="212" t="s">
        <v>2268</v>
      </c>
      <c r="O644" s="197" t="s">
        <v>2269</v>
      </c>
      <c r="P644" s="211" t="s">
        <v>2267</v>
      </c>
      <c r="Q644" s="197" t="s">
        <v>2270</v>
      </c>
      <c r="R644" s="323" t="s">
        <v>4215</v>
      </c>
    </row>
    <row r="645" spans="2:18">
      <c r="B645" s="182" t="str">
        <f t="shared" si="32"/>
        <v>Vzdálenost od pravého okraje</v>
      </c>
      <c r="M645" s="175" t="s">
        <v>4519</v>
      </c>
      <c r="N645" s="133" t="s">
        <v>4520</v>
      </c>
      <c r="O645" s="133" t="s">
        <v>4521</v>
      </c>
      <c r="P645" s="133" t="s">
        <v>4523</v>
      </c>
      <c r="Q645" s="133" t="s">
        <v>4522</v>
      </c>
      <c r="R645" s="318" t="s">
        <v>4524</v>
      </c>
    </row>
    <row r="646" spans="2:18">
      <c r="B646" s="182" t="str">
        <f t="shared" si="32"/>
        <v>520405 SALICE AIR SOFT niklový závěs s úhlem otevírání 92° sada 2ks</v>
      </c>
      <c r="M646" s="34" t="s">
        <v>2570</v>
      </c>
      <c r="N646" s="34" t="s">
        <v>2570</v>
      </c>
      <c r="O646" s="34" t="s">
        <v>2571</v>
      </c>
      <c r="P646" t="s">
        <v>2572</v>
      </c>
      <c r="R646" t="s">
        <v>4216</v>
      </c>
    </row>
    <row r="647" spans="2:18">
      <c r="B647" s="182" t="str">
        <f t="shared" si="32"/>
        <v>520406 SALICE AIR PUSH TO OPEN niklový závěs s adaptérem sada 2ks</v>
      </c>
      <c r="M647" s="34" t="s">
        <v>2573</v>
      </c>
      <c r="N647" s="34" t="s">
        <v>2573</v>
      </c>
      <c r="O647" s="34" t="s">
        <v>2574</v>
      </c>
      <c r="P647" t="s">
        <v>2575</v>
      </c>
      <c r="R647" t="s">
        <v>4217</v>
      </c>
    </row>
    <row r="648" spans="2:18">
      <c r="B648" s="182" t="str">
        <f t="shared" si="32"/>
        <v>520407 SALICE AIR PUSH TO OPEN niklový závěs s adaptérem sada 2ks</v>
      </c>
      <c r="M648" s="34" t="s">
        <v>2576</v>
      </c>
      <c r="N648" s="34" t="s">
        <v>2576</v>
      </c>
      <c r="O648" s="34" t="s">
        <v>2577</v>
      </c>
      <c r="P648" t="s">
        <v>2575</v>
      </c>
      <c r="R648" t="s">
        <v>4218</v>
      </c>
    </row>
    <row r="649" spans="2:18">
      <c r="B649" s="182" t="str">
        <f t="shared" si="32"/>
        <v>520408 SALICE AIR SOFT niklový závěs s adaptérem sada 2ks</v>
      </c>
      <c r="M649" s="34" t="s">
        <v>2578</v>
      </c>
      <c r="N649" s="34" t="s">
        <v>2578</v>
      </c>
      <c r="O649" s="34" t="s">
        <v>2579</v>
      </c>
      <c r="P649" t="s">
        <v>2580</v>
      </c>
      <c r="R649" t="s">
        <v>4219</v>
      </c>
    </row>
    <row r="650" spans="2:18">
      <c r="B650" s="182" t="str">
        <f t="shared" si="32"/>
        <v>520410 SALICE AIR SOFT TITANIUM závěs s úhlem otevírání 92' sada 2ks</v>
      </c>
      <c r="M650" s="34" t="s">
        <v>2581</v>
      </c>
      <c r="N650" s="34" t="s">
        <v>2581</v>
      </c>
      <c r="O650" s="34" t="s">
        <v>2582</v>
      </c>
      <c r="P650" t="s">
        <v>2583</v>
      </c>
      <c r="R650" t="s">
        <v>4220</v>
      </c>
    </row>
    <row r="651" spans="2:18">
      <c r="B651" s="182" t="str">
        <f t="shared" si="32"/>
        <v>520411 SALICE AIR TITANIUM PUSH TO OPEN závěs sada 2ks</v>
      </c>
      <c r="M651" s="34" t="s">
        <v>2584</v>
      </c>
      <c r="N651" s="34" t="s">
        <v>2584</v>
      </c>
      <c r="O651" s="34" t="s">
        <v>2585</v>
      </c>
      <c r="P651" t="s">
        <v>2586</v>
      </c>
      <c r="R651" t="s">
        <v>4221</v>
      </c>
    </row>
    <row r="652" spans="2:18">
      <c r="B652" s="182" t="str">
        <f t="shared" si="32"/>
        <v>520412 SALICE AIR TITANIUM PUSH TO OPEN závěs s adaptérem sada 2ks</v>
      </c>
      <c r="M652" s="34" t="s">
        <v>2587</v>
      </c>
      <c r="N652" s="34" t="s">
        <v>2587</v>
      </c>
      <c r="O652" s="34" t="s">
        <v>2588</v>
      </c>
      <c r="P652" t="s">
        <v>2589</v>
      </c>
      <c r="R652" t="s">
        <v>4222</v>
      </c>
    </row>
    <row r="653" spans="2:18">
      <c r="B653" s="182" t="str">
        <f t="shared" si="32"/>
        <v>520413 SALICE AIR SOFT TITANIUM závěs s adaptérem sada 2ks</v>
      </c>
      <c r="M653" t="s">
        <v>2590</v>
      </c>
      <c r="N653" t="s">
        <v>2590</v>
      </c>
      <c r="O653" t="s">
        <v>2591</v>
      </c>
      <c r="P653" t="s">
        <v>2592</v>
      </c>
      <c r="R653" t="s">
        <v>4223</v>
      </c>
    </row>
    <row r="654" spans="2:18">
      <c r="R654" s="318"/>
    </row>
    <row r="655" spans="2:18">
      <c r="B655" s="182" t="str">
        <f t="shared" ref="B655:B657" si="33">IF($D$1=1,M655,IF($D$1=2,N655,IF($D$1=3,O655,IF($D$1=4,P655,IF($D$1=5,Q655,IF($D$1=6,R655,0))))))</f>
        <v>Výplň rámečku síťka</v>
      </c>
      <c r="M655" s="133" t="s">
        <v>2273</v>
      </c>
      <c r="N655" s="133" t="s">
        <v>2379</v>
      </c>
      <c r="O655" s="133" t="s">
        <v>2510</v>
      </c>
      <c r="P655" s="222" t="s">
        <v>4250</v>
      </c>
      <c r="Q655" s="133" t="s">
        <v>4251</v>
      </c>
      <c r="R655" t="s">
        <v>4252</v>
      </c>
    </row>
    <row r="656" spans="2:18">
      <c r="B656" s="182" t="str">
        <f t="shared" si="33"/>
        <v>max. rozměr 1000x500mm</v>
      </c>
      <c r="M656" s="133" t="s">
        <v>2277</v>
      </c>
      <c r="N656" s="133" t="s">
        <v>2278</v>
      </c>
      <c r="O656" s="133" t="s">
        <v>2279</v>
      </c>
      <c r="P656" s="133" t="s">
        <v>2280</v>
      </c>
      <c r="Q656" s="133" t="s">
        <v>2281</v>
      </c>
      <c r="R656" t="s">
        <v>4224</v>
      </c>
    </row>
    <row r="657" spans="2:18">
      <c r="B657" s="182" t="str">
        <f t="shared" si="33"/>
        <v>max. rozměr 1100x500mm</v>
      </c>
      <c r="M657" s="133" t="s">
        <v>4489</v>
      </c>
      <c r="N657" s="133" t="s">
        <v>4490</v>
      </c>
      <c r="O657" s="133" t="s">
        <v>4491</v>
      </c>
      <c r="P657" s="133" t="s">
        <v>4493</v>
      </c>
      <c r="Q657" s="133" t="s">
        <v>4494</v>
      </c>
      <c r="R657" t="s">
        <v>4492</v>
      </c>
    </row>
    <row r="658" spans="2:18">
      <c r="B658" s="182" t="str">
        <f t="shared" ref="B658:B676" si="34">IF($D$1=1,M658,IF($D$1=2,N658,IF($D$1=3,O658,IF($D$1=4,P658,IF($D$1=5,Q658,IF($D$1=6,R658,0))))))</f>
        <v>Typ síťky</v>
      </c>
      <c r="M658" s="133" t="s">
        <v>2282</v>
      </c>
      <c r="N658" s="133" t="s">
        <v>2283</v>
      </c>
      <c r="O658" s="133" t="s">
        <v>2284</v>
      </c>
      <c r="P658" s="133" t="s">
        <v>2285</v>
      </c>
      <c r="Q658" s="133" t="s">
        <v>2286</v>
      </c>
      <c r="R658" t="s">
        <v>4225</v>
      </c>
    </row>
    <row r="659" spans="2:18">
      <c r="B659" s="182" t="str">
        <f t="shared" si="34"/>
        <v>Polonaložená a vložená varianta neexistuje</v>
      </c>
      <c r="M659" s="133" t="s">
        <v>2366</v>
      </c>
      <c r="N659" s="133" t="s">
        <v>2366</v>
      </c>
      <c r="O659" s="133" t="s">
        <v>2367</v>
      </c>
      <c r="P659" s="133" t="s">
        <v>2368</v>
      </c>
      <c r="Q659" s="133" t="s">
        <v>2369</v>
      </c>
      <c r="R659" t="s">
        <v>4226</v>
      </c>
    </row>
    <row r="660" spans="2:18">
      <c r="B660" s="182" t="str">
        <f t="shared" si="34"/>
        <v>Broušení hran</v>
      </c>
      <c r="M660" s="133" t="s">
        <v>1435</v>
      </c>
      <c r="N660" s="133" t="s">
        <v>2380</v>
      </c>
      <c r="O660" s="133" t="s">
        <v>2381</v>
      </c>
      <c r="P660" s="133" t="s">
        <v>2383</v>
      </c>
      <c r="Q660" s="133" t="s">
        <v>2382</v>
      </c>
      <c r="R660" t="s">
        <v>4227</v>
      </c>
    </row>
    <row r="661" spans="2:18">
      <c r="B661" s="182" t="str">
        <f t="shared" si="34"/>
        <v>StrongLift_horní</v>
      </c>
      <c r="M661" t="s">
        <v>2501</v>
      </c>
      <c r="N661" t="s">
        <v>2512</v>
      </c>
      <c r="O661" t="s">
        <v>2511</v>
      </c>
      <c r="P661" t="s">
        <v>2514</v>
      </c>
      <c r="Q661" t="s">
        <v>2515</v>
      </c>
      <c r="R661" t="s">
        <v>4107</v>
      </c>
    </row>
    <row r="662" spans="2:18">
      <c r="B662" s="182" t="str">
        <f t="shared" si="34"/>
        <v>StrongLift_spodní</v>
      </c>
      <c r="M662" t="s">
        <v>2502</v>
      </c>
      <c r="N662" t="s">
        <v>2513</v>
      </c>
      <c r="O662" t="s">
        <v>2516</v>
      </c>
      <c r="P662" t="s">
        <v>2517</v>
      </c>
      <c r="Q662" t="s">
        <v>2518</v>
      </c>
      <c r="R662" t="s">
        <v>4108</v>
      </c>
    </row>
    <row r="663" spans="2:18">
      <c r="B663" s="182" t="str">
        <f t="shared" si="34"/>
        <v>korpusový závěs</v>
      </c>
      <c r="M663" s="133" t="s">
        <v>2519</v>
      </c>
      <c r="N663" s="133" t="s">
        <v>2520</v>
      </c>
      <c r="O663" s="133" t="s">
        <v>2521</v>
      </c>
      <c r="P663" s="133" t="s">
        <v>2531</v>
      </c>
      <c r="Q663" s="133" t="s">
        <v>2522</v>
      </c>
      <c r="R663" t="s">
        <v>4081</v>
      </c>
    </row>
    <row r="664" spans="2:18">
      <c r="B664" s="182" t="str">
        <f t="shared" si="34"/>
        <v>tlumený</v>
      </c>
      <c r="M664" t="s">
        <v>1063</v>
      </c>
      <c r="N664" t="s">
        <v>2523</v>
      </c>
      <c r="O664" s="133" t="s">
        <v>2524</v>
      </c>
      <c r="P664" s="133" t="s">
        <v>3473</v>
      </c>
      <c r="Q664" t="s">
        <v>2525</v>
      </c>
      <c r="R664" t="s">
        <v>4080</v>
      </c>
    </row>
    <row r="665" spans="2:18">
      <c r="B665" s="182" t="str">
        <f t="shared" si="34"/>
        <v>horní</v>
      </c>
      <c r="M665" s="175" t="s">
        <v>3006</v>
      </c>
      <c r="N665" s="175" t="s">
        <v>3007</v>
      </c>
      <c r="O665" s="133" t="s">
        <v>2526</v>
      </c>
      <c r="P665" t="s">
        <v>2528</v>
      </c>
      <c r="Q665" s="133" t="s">
        <v>2530</v>
      </c>
      <c r="R665" t="s">
        <v>4120</v>
      </c>
    </row>
    <row r="666" spans="2:18">
      <c r="B666" s="182" t="str">
        <f t="shared" si="34"/>
        <v>spodní</v>
      </c>
      <c r="M666" t="s">
        <v>425</v>
      </c>
      <c r="N666" t="s">
        <v>3008</v>
      </c>
      <c r="O666" t="s">
        <v>2527</v>
      </c>
      <c r="P666" t="s">
        <v>2529</v>
      </c>
      <c r="Q666" t="s">
        <v>1367</v>
      </c>
      <c r="R666" t="s">
        <v>4082</v>
      </c>
    </row>
    <row r="667" spans="2:18">
      <c r="B667" s="182" t="str">
        <f t="shared" si="34"/>
        <v>Úzký</v>
      </c>
      <c r="M667" s="175" t="s">
        <v>456</v>
      </c>
      <c r="N667" s="133" t="s">
        <v>2532</v>
      </c>
      <c r="O667" s="133" t="s">
        <v>251</v>
      </c>
      <c r="P667" s="133" t="s">
        <v>313</v>
      </c>
      <c r="Q667" s="133" t="s">
        <v>1356</v>
      </c>
      <c r="R667" t="s">
        <v>4083</v>
      </c>
    </row>
    <row r="668" spans="2:18">
      <c r="B668" s="182" t="str">
        <f t="shared" si="34"/>
        <v>Široký</v>
      </c>
      <c r="M668" s="175" t="s">
        <v>455</v>
      </c>
      <c r="N668" s="133" t="s">
        <v>455</v>
      </c>
      <c r="O668" s="133" t="s">
        <v>252</v>
      </c>
      <c r="P668" s="133" t="s">
        <v>314</v>
      </c>
      <c r="Q668" s="133" t="s">
        <v>1357</v>
      </c>
      <c r="R668" t="s">
        <v>4084</v>
      </c>
    </row>
    <row r="669" spans="2:18">
      <c r="R669"/>
    </row>
    <row r="670" spans="2:18">
      <c r="B670" s="182" t="str">
        <f t="shared" si="34"/>
        <v>Přesáhli jste maximální rozměr skla</v>
      </c>
      <c r="M670" s="133" t="s">
        <v>2555</v>
      </c>
      <c r="N670" s="133" t="s">
        <v>2556</v>
      </c>
      <c r="O670" s="133" t="s">
        <v>2557</v>
      </c>
      <c r="P670" s="133" t="s">
        <v>2559</v>
      </c>
      <c r="Q670" s="133" t="s">
        <v>2558</v>
      </c>
      <c r="R670" t="s">
        <v>4228</v>
      </c>
    </row>
    <row r="671" spans="2:18">
      <c r="B671" s="182" t="str">
        <f t="shared" si="34"/>
        <v>průhlednost 50%</v>
      </c>
      <c r="M671" s="133" t="s">
        <v>3031</v>
      </c>
      <c r="N671" s="133" t="s">
        <v>3033</v>
      </c>
      <c r="O671" s="133" t="s">
        <v>3035</v>
      </c>
      <c r="P671" s="133" t="s">
        <v>3037</v>
      </c>
      <c r="Q671" s="133" t="s">
        <v>3039</v>
      </c>
      <c r="R671" t="s">
        <v>4229</v>
      </c>
    </row>
    <row r="672" spans="2:18">
      <c r="B672" s="182" t="str">
        <f t="shared" si="34"/>
        <v>průhlednost 67 %</v>
      </c>
      <c r="M672" s="133" t="s">
        <v>3032</v>
      </c>
      <c r="N672" s="133" t="s">
        <v>3034</v>
      </c>
      <c r="O672" s="133" t="s">
        <v>3036</v>
      </c>
      <c r="P672" s="133" t="s">
        <v>3038</v>
      </c>
      <c r="Q672" s="133" t="s">
        <v>3040</v>
      </c>
      <c r="R672" t="s">
        <v>4012</v>
      </c>
    </row>
    <row r="673" spans="2:18">
      <c r="B673" s="182" t="str">
        <f t="shared" si="34"/>
        <v>Při převzetí zásilky je kupující povinen zboží zkontrolovat a případné zjevné přepravní poškození ihned zapsat s kurýrem do protokolu, jinak může být taková reklamace zamítnuta.</v>
      </c>
      <c r="M673" s="133" t="s">
        <v>4362</v>
      </c>
      <c r="N673" s="133" t="s">
        <v>4363</v>
      </c>
      <c r="O673" s="133" t="s">
        <v>4365</v>
      </c>
      <c r="P673" s="133" t="s">
        <v>4364</v>
      </c>
      <c r="Q673" s="133" t="s">
        <v>4366</v>
      </c>
      <c r="R673" s="133" t="s">
        <v>4367</v>
      </c>
    </row>
    <row r="674" spans="2:18">
      <c r="B674" s="182" t="str">
        <f t="shared" si="34"/>
        <v>Vzdálenost od horního okraje</v>
      </c>
      <c r="M674" s="175" t="s">
        <v>3217</v>
      </c>
      <c r="N674" s="133" t="s">
        <v>4525</v>
      </c>
      <c r="O674" s="133" t="s">
        <v>2181</v>
      </c>
      <c r="P674" s="133" t="s">
        <v>4528</v>
      </c>
      <c r="Q674" s="133" t="s">
        <v>4530</v>
      </c>
      <c r="R674" t="s">
        <v>4527</v>
      </c>
    </row>
    <row r="675" spans="2:18">
      <c r="B675" s="182" t="str">
        <f t="shared" si="34"/>
        <v>Vzdálenost od spodního okraje</v>
      </c>
      <c r="M675" s="175" t="s">
        <v>3216</v>
      </c>
      <c r="N675" s="133" t="s">
        <v>4526</v>
      </c>
      <c r="O675" s="133" t="s">
        <v>2180</v>
      </c>
      <c r="P675" s="133" t="s">
        <v>4529</v>
      </c>
      <c r="Q675" s="133" t="s">
        <v>2178</v>
      </c>
      <c r="R675" s="133" t="s">
        <v>4531</v>
      </c>
    </row>
    <row r="676" spans="2:18" ht="75">
      <c r="B676" s="182" t="str">
        <f t="shared" si="34"/>
        <v>Do profilu Rimini není možné vrtat, proto není možná montáž ani na závěsy, ani na výklopy. Maximální rozměr rámečku 1100x500 mm a nelze jej dodat bez skla.</v>
      </c>
      <c r="M676" s="133" t="s">
        <v>4549</v>
      </c>
      <c r="N676" s="133" t="s">
        <v>4553</v>
      </c>
      <c r="O676" s="133" t="s">
        <v>4552</v>
      </c>
      <c r="P676" s="197" t="s">
        <v>4548</v>
      </c>
      <c r="Q676" s="133" t="s">
        <v>4551</v>
      </c>
      <c r="R676" s="133" t="s">
        <v>4550</v>
      </c>
    </row>
    <row r="682" spans="2:18">
      <c r="B682" s="182" t="str">
        <f t="shared" ref="B682:B696" si="35">IF($D$1=1,M682,IF($D$1=2,N682,IF($D$1=3,O682,IF($D$1=4,P682,IF($D$1=5,Q682,IF($D$1=6,R682,0))))))</f>
        <v>Podmínky a doporučení pro správné objednání hliníkových rámečků</v>
      </c>
      <c r="M682" s="1" t="s">
        <v>2594</v>
      </c>
      <c r="N682" t="s">
        <v>2595</v>
      </c>
      <c r="O682" t="s">
        <v>3492</v>
      </c>
      <c r="P682" t="s">
        <v>2596</v>
      </c>
      <c r="Q682" s="133" t="s">
        <v>2597</v>
      </c>
      <c r="R682" t="s">
        <v>4230</v>
      </c>
    </row>
    <row r="683" spans="2:18">
      <c r="B683" s="182" t="str">
        <f t="shared" si="35"/>
        <v>Obecná doporučení:</v>
      </c>
      <c r="M683" s="1" t="s">
        <v>2598</v>
      </c>
      <c r="N683" t="s">
        <v>2599</v>
      </c>
      <c r="O683" t="s">
        <v>2638</v>
      </c>
      <c r="P683" t="s">
        <v>2600</v>
      </c>
      <c r="Q683" s="133" t="s">
        <v>2601</v>
      </c>
      <c r="R683" t="s">
        <v>4231</v>
      </c>
    </row>
    <row r="684" spans="2:18">
      <c r="B684" s="182" t="str">
        <f t="shared" si="35"/>
        <v>Při vyplňování formuláře postupujte vždy shora dolů.</v>
      </c>
      <c r="M684" s="1" t="s">
        <v>2602</v>
      </c>
      <c r="N684" t="s">
        <v>2603</v>
      </c>
      <c r="O684" t="s">
        <v>3494</v>
      </c>
      <c r="P684" t="s">
        <v>2604</v>
      </c>
      <c r="Q684" s="133" t="s">
        <v>2605</v>
      </c>
      <c r="R684" t="s">
        <v>4232</v>
      </c>
    </row>
    <row r="685" spans="2:18">
      <c r="B685" s="182" t="str">
        <f t="shared" si="35"/>
        <v>Provedete-li zpětně změnu, je potřeba znovu zadat položky níže od této změny.</v>
      </c>
      <c r="M685" s="1" t="s">
        <v>2606</v>
      </c>
      <c r="N685" t="s">
        <v>2607</v>
      </c>
      <c r="O685" t="s">
        <v>3495</v>
      </c>
      <c r="P685" t="s">
        <v>2608</v>
      </c>
      <c r="Q685" s="133" t="s">
        <v>2609</v>
      </c>
      <c r="R685" t="s">
        <v>4233</v>
      </c>
    </row>
    <row r="686" spans="2:18">
      <c r="B686" s="182" t="str">
        <f t="shared" si="35"/>
        <v xml:space="preserve">Před odesláním objednávky zkontrolujte formulář, zda obsahuje pouze Vámi požadované rámečky.     </v>
      </c>
      <c r="M686" s="1" t="s">
        <v>2610</v>
      </c>
      <c r="N686" t="s">
        <v>2611</v>
      </c>
      <c r="O686" t="s">
        <v>3496</v>
      </c>
      <c r="P686" t="s">
        <v>2612</v>
      </c>
      <c r="Q686" s="133" t="s">
        <v>2613</v>
      </c>
      <c r="R686" t="s">
        <v>4234</v>
      </c>
    </row>
    <row r="687" spans="2:18">
      <c r="B687" s="182" t="str">
        <f t="shared" si="35"/>
        <v>Standardní doba dodání zakázky je maximálně tři týdny. Pro upřesnění termínu dodání prosím kontaktujte pracovníky Zákaznického servisu.</v>
      </c>
      <c r="M687" s="1" t="s">
        <v>2614</v>
      </c>
      <c r="N687" t="s">
        <v>2615</v>
      </c>
      <c r="O687" t="s">
        <v>3505</v>
      </c>
      <c r="P687" t="s">
        <v>2616</v>
      </c>
      <c r="Q687" s="133" t="s">
        <v>2617</v>
      </c>
      <c r="R687" t="s">
        <v>4235</v>
      </c>
    </row>
    <row r="688" spans="2:18">
      <c r="B688" s="182" t="str">
        <f t="shared" si="35"/>
        <v>Praktické informace:</v>
      </c>
      <c r="M688" s="1" t="s">
        <v>2618</v>
      </c>
      <c r="N688" t="s">
        <v>2619</v>
      </c>
      <c r="O688" t="s">
        <v>2639</v>
      </c>
      <c r="P688" t="s">
        <v>2620</v>
      </c>
      <c r="Q688" s="133" t="s">
        <v>2621</v>
      </c>
      <c r="R688" t="s">
        <v>4236</v>
      </c>
    </row>
    <row r="689" spans="2:18">
      <c r="B689" s="182" t="str">
        <f t="shared" si="35"/>
        <v>Pro vyšší rozměr rámečku než 2500 mm doporučujeme použít dělící příčky, v opačném případě hrozí prohnutí profilu nebo uvolnění skla z profilu.</v>
      </c>
      <c r="M689" s="1" t="s">
        <v>2622</v>
      </c>
      <c r="N689" t="s">
        <v>2623</v>
      </c>
      <c r="O689" t="s">
        <v>2640</v>
      </c>
      <c r="P689" t="s">
        <v>2624</v>
      </c>
      <c r="Q689" s="133" t="s">
        <v>2625</v>
      </c>
      <c r="R689" t="s">
        <v>4237</v>
      </c>
    </row>
    <row r="690" spans="2:18">
      <c r="B690" s="182" t="str">
        <f t="shared" si="35"/>
        <v>K nadrozměrným rámečkům (nad rozměr 1200 x 800 mm), může být účtován příplatek za speciální balení a dopravu (více informací u pracovníků Zákaznického servisu).</v>
      </c>
      <c r="M690" s="1" t="s">
        <v>2626</v>
      </c>
      <c r="N690" t="s">
        <v>2627</v>
      </c>
      <c r="O690" t="s">
        <v>2641</v>
      </c>
      <c r="P690" t="s">
        <v>2628</v>
      </c>
      <c r="Q690" s="133" t="s">
        <v>2629</v>
      </c>
      <c r="R690" t="s">
        <v>4238</v>
      </c>
    </row>
    <row r="691" spans="2:18">
      <c r="B691" s="182" t="str">
        <f t="shared" si="35"/>
        <v>Síťka v rámečku je standardně orientovaná horizontálně. Pokud mají být otvory síťky orientované vertikálně, uvěďte toto do poznámky.</v>
      </c>
      <c r="M691" s="1" t="s">
        <v>2630</v>
      </c>
      <c r="N691" t="s">
        <v>2631</v>
      </c>
      <c r="O691" t="s">
        <v>2642</v>
      </c>
      <c r="P691" t="s">
        <v>2632</v>
      </c>
      <c r="Q691" s="133" t="s">
        <v>2633</v>
      </c>
      <c r="R691" t="s">
        <v>4239</v>
      </c>
    </row>
    <row r="692" spans="2:18">
      <c r="B692" s="182" t="str">
        <f t="shared" si="35"/>
        <v>Potvrzuji, že rozumím a přijímám výše uvedené podmínky a doporučení.</v>
      </c>
      <c r="M692" s="1" t="s">
        <v>2634</v>
      </c>
      <c r="N692" t="s">
        <v>2635</v>
      </c>
      <c r="O692" t="s">
        <v>2643</v>
      </c>
      <c r="P692" t="s">
        <v>2636</v>
      </c>
      <c r="Q692" s="133" t="s">
        <v>3658</v>
      </c>
      <c r="R692" t="s">
        <v>4240</v>
      </c>
    </row>
    <row r="693" spans="2:18" ht="23.45" customHeight="1">
      <c r="B693" s="182" t="str">
        <f t="shared" si="35"/>
        <v>Zvolený rozměr rámečku neodpovídá maximálním rozměrům skla, nebo profilu</v>
      </c>
      <c r="M693" s="197" t="s">
        <v>3225</v>
      </c>
      <c r="N693" s="133" t="s">
        <v>3228</v>
      </c>
      <c r="O693" s="133" t="s">
        <v>3226</v>
      </c>
      <c r="P693" s="133" t="s">
        <v>3229</v>
      </c>
      <c r="Q693" s="197" t="s">
        <v>3227</v>
      </c>
      <c r="R693" s="325" t="s">
        <v>4241</v>
      </c>
    </row>
    <row r="694" spans="2:18">
      <c r="B694" s="182" t="str">
        <f t="shared" si="35"/>
        <v>Cena</v>
      </c>
      <c r="M694" s="175" t="s">
        <v>1196</v>
      </c>
      <c r="N694" s="133" t="s">
        <v>1196</v>
      </c>
      <c r="O694" s="133" t="s">
        <v>259</v>
      </c>
      <c r="P694" s="133" t="s">
        <v>3223</v>
      </c>
      <c r="Q694" s="133" t="s">
        <v>3224</v>
      </c>
      <c r="R694" t="s">
        <v>4242</v>
      </c>
    </row>
    <row r="695" spans="2:18">
      <c r="B695" s="182" t="str">
        <f t="shared" si="35"/>
        <v>Cena kování</v>
      </c>
      <c r="M695" s="133" t="s">
        <v>3514</v>
      </c>
      <c r="N695" s="133" t="s">
        <v>3515</v>
      </c>
      <c r="O695" s="133" t="s">
        <v>212</v>
      </c>
      <c r="P695" s="133" t="s">
        <v>3516</v>
      </c>
      <c r="Q695" s="133" t="s">
        <v>1442</v>
      </c>
      <c r="R695" t="s">
        <v>4243</v>
      </c>
    </row>
    <row r="696" spans="2:18">
      <c r="B696" s="182" t="str">
        <f t="shared" si="35"/>
        <v>Barva profilu a síťky se může lišit z důvodu tolerance v procesu výroby</v>
      </c>
      <c r="M696" s="133" t="s">
        <v>3474</v>
      </c>
      <c r="N696" s="133" t="s">
        <v>3475</v>
      </c>
      <c r="O696" s="133" t="s">
        <v>3476</v>
      </c>
      <c r="P696" s="133" t="s">
        <v>3477</v>
      </c>
      <c r="Q696" s="133" t="s">
        <v>3478</v>
      </c>
      <c r="R696" s="318" t="s">
        <v>4142</v>
      </c>
    </row>
    <row r="697" spans="2:18">
      <c r="B697" s="133" t="str">
        <f>O697</f>
        <v>Koszt transportu musi zostać zweryfikowany</v>
      </c>
      <c r="O697" s="133" t="s">
        <v>3512</v>
      </c>
      <c r="R697"/>
    </row>
    <row r="700" spans="2:18">
      <c r="C700" s="133" t="s">
        <v>2371</v>
      </c>
    </row>
    <row r="701" spans="2:18">
      <c r="C701" s="133" t="s">
        <v>2293</v>
      </c>
      <c r="D701" s="133" t="s">
        <v>2645</v>
      </c>
    </row>
    <row r="702" spans="2:18">
      <c r="C702" s="133" t="s">
        <v>2294</v>
      </c>
      <c r="D702" s="133" t="s">
        <v>2646</v>
      </c>
    </row>
    <row r="703" spans="2:18">
      <c r="C703" s="133" t="s">
        <v>2295</v>
      </c>
      <c r="D703" s="133" t="s">
        <v>2648</v>
      </c>
    </row>
    <row r="704" spans="2:18">
      <c r="C704" s="133" t="s">
        <v>2296</v>
      </c>
      <c r="D704" s="133" t="s">
        <v>2647</v>
      </c>
    </row>
    <row r="705" spans="3:4">
      <c r="C705" s="133" t="s">
        <v>2297</v>
      </c>
      <c r="D705" s="133" t="s">
        <v>2645</v>
      </c>
    </row>
    <row r="706" spans="3:4">
      <c r="C706" s="133" t="s">
        <v>2298</v>
      </c>
      <c r="D706" s="133" t="s">
        <v>2646</v>
      </c>
    </row>
    <row r="707" spans="3:4">
      <c r="C707" s="133" t="s">
        <v>2299</v>
      </c>
      <c r="D707" s="133" t="s">
        <v>2648</v>
      </c>
    </row>
    <row r="708" spans="3:4">
      <c r="C708" s="133" t="s">
        <v>2300</v>
      </c>
      <c r="D708" s="133" t="s">
        <v>2647</v>
      </c>
    </row>
    <row r="709" spans="3:4">
      <c r="C709" s="133" t="s">
        <v>2301</v>
      </c>
      <c r="D709" s="133" t="s">
        <v>2645</v>
      </c>
    </row>
    <row r="710" spans="3:4">
      <c r="C710" s="133" t="s">
        <v>2302</v>
      </c>
      <c r="D710" s="133" t="s">
        <v>2646</v>
      </c>
    </row>
    <row r="711" spans="3:4">
      <c r="C711" s="133" t="s">
        <v>2303</v>
      </c>
      <c r="D711" s="133" t="s">
        <v>2648</v>
      </c>
    </row>
    <row r="712" spans="3:4">
      <c r="C712" s="133" t="s">
        <v>2304</v>
      </c>
      <c r="D712" s="133" t="s">
        <v>2647</v>
      </c>
    </row>
    <row r="713" spans="3:4">
      <c r="C713" s="133" t="s">
        <v>2305</v>
      </c>
      <c r="D713" s="133" t="s">
        <v>2645</v>
      </c>
    </row>
    <row r="714" spans="3:4">
      <c r="C714" s="133" t="s">
        <v>2306</v>
      </c>
      <c r="D714" s="133" t="s">
        <v>2646</v>
      </c>
    </row>
    <row r="715" spans="3:4">
      <c r="C715" s="133" t="s">
        <v>2307</v>
      </c>
      <c r="D715" s="133" t="s">
        <v>2648</v>
      </c>
    </row>
    <row r="716" spans="3:4">
      <c r="C716" s="133" t="s">
        <v>2308</v>
      </c>
      <c r="D716" s="133" t="s">
        <v>2647</v>
      </c>
    </row>
    <row r="717" spans="3:4">
      <c r="C717" s="133" t="s">
        <v>2309</v>
      </c>
      <c r="D717" s="133" t="s">
        <v>2645</v>
      </c>
    </row>
    <row r="718" spans="3:4">
      <c r="C718" s="133" t="s">
        <v>2310</v>
      </c>
      <c r="D718" s="133" t="s">
        <v>2646</v>
      </c>
    </row>
    <row r="719" spans="3:4">
      <c r="C719" s="133" t="s">
        <v>2311</v>
      </c>
      <c r="D719" s="133" t="s">
        <v>2648</v>
      </c>
    </row>
    <row r="720" spans="3:4">
      <c r="C720" s="133" t="s">
        <v>2312</v>
      </c>
      <c r="D720" s="133" t="s">
        <v>2647</v>
      </c>
    </row>
    <row r="721" spans="2:18">
      <c r="C721" s="133" t="s">
        <v>4003</v>
      </c>
      <c r="D721" s="133" t="s">
        <v>2645</v>
      </c>
    </row>
    <row r="722" spans="2:18">
      <c r="C722" s="133" t="s">
        <v>4004</v>
      </c>
      <c r="D722" s="133" t="s">
        <v>2646</v>
      </c>
    </row>
    <row r="723" spans="2:18">
      <c r="C723" s="133" t="s">
        <v>4005</v>
      </c>
      <c r="D723" s="133" t="s">
        <v>2648</v>
      </c>
    </row>
    <row r="724" spans="2:18">
      <c r="C724" s="133" t="s">
        <v>4006</v>
      </c>
      <c r="D724" s="133" t="s">
        <v>2647</v>
      </c>
    </row>
    <row r="725" spans="2:18">
      <c r="B725" s="182" t="str">
        <f t="shared" ref="B725" si="36">IF($D$1=1,M725,IF($D$1=2,N725,IF($D$1=3,O725,IF($D$1=4,P725,IF($D$1=5,Q725,IF($D$1=6,R725,0))))))</f>
        <v>Sleva</v>
      </c>
      <c r="C725" s="133" t="s">
        <v>2054</v>
      </c>
      <c r="D725" s="133" t="s">
        <v>2056</v>
      </c>
      <c r="M725" s="175" t="s">
        <v>3485</v>
      </c>
      <c r="N725" s="133" t="s">
        <v>3486</v>
      </c>
      <c r="O725" s="133" t="s">
        <v>3487</v>
      </c>
      <c r="P725" s="133" t="s">
        <v>3488</v>
      </c>
      <c r="Q725" s="133" t="s">
        <v>3489</v>
      </c>
      <c r="R725" s="133" t="s">
        <v>4013</v>
      </c>
    </row>
    <row r="726" spans="2:18">
      <c r="C726" s="133" t="s">
        <v>2059</v>
      </c>
      <c r="D726" s="133" t="s">
        <v>2061</v>
      </c>
    </row>
    <row r="727" spans="2:18">
      <c r="C727" s="133" t="s">
        <v>2064</v>
      </c>
      <c r="D727" s="133" t="s">
        <v>2066</v>
      </c>
    </row>
    <row r="728" spans="2:18">
      <c r="C728" s="133" t="s">
        <v>2069</v>
      </c>
      <c r="D728" s="133" t="s">
        <v>2071</v>
      </c>
    </row>
    <row r="729" spans="2:18">
      <c r="C729" s="133" t="s">
        <v>2055</v>
      </c>
      <c r="D729" s="133" t="s">
        <v>2056</v>
      </c>
    </row>
    <row r="730" spans="2:18">
      <c r="C730" s="133" t="s">
        <v>2060</v>
      </c>
      <c r="D730" s="133" t="s">
        <v>2061</v>
      </c>
    </row>
    <row r="731" spans="2:18">
      <c r="C731" s="133" t="s">
        <v>2065</v>
      </c>
      <c r="D731" s="133" t="s">
        <v>2066</v>
      </c>
    </row>
    <row r="732" spans="2:18">
      <c r="C732" s="133" t="s">
        <v>2070</v>
      </c>
      <c r="D732" s="133" t="s">
        <v>2071</v>
      </c>
    </row>
    <row r="733" spans="2:18">
      <c r="C733" s="133" t="s">
        <v>2056</v>
      </c>
      <c r="D733" s="133" t="s">
        <v>2056</v>
      </c>
    </row>
    <row r="734" spans="2:18">
      <c r="C734" s="133" t="s">
        <v>2061</v>
      </c>
      <c r="D734" s="133" t="s">
        <v>2061</v>
      </c>
    </row>
    <row r="735" spans="2:18">
      <c r="C735" s="133" t="s">
        <v>2066</v>
      </c>
      <c r="D735" s="133" t="s">
        <v>2066</v>
      </c>
    </row>
    <row r="736" spans="2:18">
      <c r="C736" s="133" t="s">
        <v>2071</v>
      </c>
      <c r="D736" s="133" t="s">
        <v>2071</v>
      </c>
    </row>
    <row r="737" spans="3:4">
      <c r="C737" s="133" t="s">
        <v>2057</v>
      </c>
      <c r="D737" s="133" t="s">
        <v>2056</v>
      </c>
    </row>
    <row r="738" spans="3:4">
      <c r="C738" s="133" t="s">
        <v>2062</v>
      </c>
      <c r="D738" s="133" t="s">
        <v>2061</v>
      </c>
    </row>
    <row r="739" spans="3:4">
      <c r="C739" s="133" t="s">
        <v>2067</v>
      </c>
      <c r="D739" s="133" t="s">
        <v>2066</v>
      </c>
    </row>
    <row r="740" spans="3:4">
      <c r="C740" s="133" t="s">
        <v>2072</v>
      </c>
      <c r="D740" s="133" t="s">
        <v>2071</v>
      </c>
    </row>
    <row r="741" spans="3:4">
      <c r="C741" s="133" t="s">
        <v>2058</v>
      </c>
      <c r="D741" s="133" t="s">
        <v>2056</v>
      </c>
    </row>
    <row r="742" spans="3:4">
      <c r="C742" s="133" t="s">
        <v>2063</v>
      </c>
      <c r="D742" s="133" t="s">
        <v>2061</v>
      </c>
    </row>
    <row r="743" spans="3:4">
      <c r="C743" s="133" t="s">
        <v>2068</v>
      </c>
      <c r="D743" s="133" t="s">
        <v>2066</v>
      </c>
    </row>
    <row r="744" spans="3:4">
      <c r="C744" s="133" t="s">
        <v>2073</v>
      </c>
      <c r="D744" s="133" t="s">
        <v>2071</v>
      </c>
    </row>
    <row r="745" spans="3:4">
      <c r="C745" s="318" t="s">
        <v>4007</v>
      </c>
      <c r="D745" s="133" t="s">
        <v>2056</v>
      </c>
    </row>
    <row r="746" spans="3:4">
      <c r="C746" s="318" t="s">
        <v>4008</v>
      </c>
      <c r="D746" s="133" t="s">
        <v>2061</v>
      </c>
    </row>
    <row r="747" spans="3:4">
      <c r="C747" s="318" t="s">
        <v>4009</v>
      </c>
      <c r="D747" s="133" t="s">
        <v>2066</v>
      </c>
    </row>
    <row r="748" spans="3:4">
      <c r="C748" s="318" t="s">
        <v>4010</v>
      </c>
      <c r="D748" s="133" t="s">
        <v>2071</v>
      </c>
    </row>
  </sheetData>
  <mergeCells count="16">
    <mergeCell ref="K4:L4"/>
    <mergeCell ref="A6:A63"/>
    <mergeCell ref="A101:A165"/>
    <mergeCell ref="A79:A84"/>
    <mergeCell ref="I170:J170"/>
    <mergeCell ref="K170:L170"/>
    <mergeCell ref="G170:H170"/>
    <mergeCell ref="K100:L100"/>
    <mergeCell ref="C100:D100"/>
    <mergeCell ref="E100:F100"/>
    <mergeCell ref="G100:H100"/>
    <mergeCell ref="I100:J100"/>
    <mergeCell ref="C4:D4"/>
    <mergeCell ref="E4:F4"/>
    <mergeCell ref="G4:H4"/>
    <mergeCell ref="I4:J4"/>
  </mergeCells>
  <phoneticPr fontId="15" type="noConversion"/>
  <conditionalFormatting sqref="C701:D720">
    <cfRule type="expression" dxfId="476" priority="3" stopIfTrue="1">
      <formula>AND(COUNTIF($M$584:$M$589, C701)+COUNTIF($M$595:$M$626, C701)+COUNTIF($M$629:$M$629, C701)+COUNTIF($M$644:$M$646, C701)&gt;1,NOT(ISBLANK(C701)))</formula>
    </cfRule>
  </conditionalFormatting>
  <conditionalFormatting sqref="D721:D724">
    <cfRule type="expression" dxfId="475" priority="2" stopIfTrue="1">
      <formula>AND(COUNTIF($M$584:$M$589, D721)+COUNTIF($M$595:$M$626, D721)+COUNTIF($M$629:$M$629, D721)+COUNTIF($M$644:$M$646, D721)&gt;1,NOT(ISBLANK(D721)))</formula>
    </cfRule>
  </conditionalFormatting>
  <conditionalFormatting sqref="M584:M589">
    <cfRule type="expression" dxfId="474" priority="9" stopIfTrue="1">
      <formula>AND(COUNTIF($M$584:$M$589, M584)+COUNTIF($M$595:$M$626, M584)+COUNTIF($M$629:$M$629, M584)+COUNTIF($M$644:$M$646, M584)&gt;1,NOT(ISBLANK(M584)))</formula>
    </cfRule>
  </conditionalFormatting>
  <conditionalFormatting sqref="M595:M626 M629 M644 C725:C728">
    <cfRule type="expression" dxfId="473" priority="1" stopIfTrue="1">
      <formula>AND(COUNTIF($M$584:$M$589, C595)+COUNTIF($M$595:$M$626, C595)+COUNTIF($M$629:$M$629, C595)+COUNTIF($M$644:$M$646, C595)&gt;1,NOT(ISBLANK(C595)))</formula>
    </cfRule>
  </conditionalFormatting>
  <conditionalFormatting sqref="N618:Q621">
    <cfRule type="expression" dxfId="472" priority="5" stopIfTrue="1">
      <formula>AND(COUNTIF($M$584:$M$589, N618)+COUNTIF($M$595:$M$626, N618)+COUNTIF($M$629:$M$629, N618)+COUNTIF($M$644:$M$646, N618)&gt;1,NOT(ISBLANK(N618)))</formula>
    </cfRule>
  </conditionalFormatting>
  <hyperlinks>
    <hyperlink ref="N317" r:id="rId1" xr:uid="{92C178D6-04AB-467D-B460-13F1EA7BE0F7}"/>
    <hyperlink ref="M317" r:id="rId2" xr:uid="{520B93AC-0648-47B4-8EF3-DC5C381451BF}"/>
    <hyperlink ref="R317" r:id="rId3" xr:uid="{F227CD53-25D6-4095-869B-7220AB110728}"/>
  </hyperlinks>
  <pageMargins left="0.7" right="0.7" top="0.78740157499999996" bottom="0.78740157499999996" header="0.3" footer="0.3"/>
  <pageSetup paperSize="9" orientation="portrait" verticalDpi="300"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D3B8-D35C-4A11-91AC-15B1F52F4AD6}">
  <sheetPr codeName="List1">
    <pageSetUpPr autoPageBreaks="0"/>
  </sheetPr>
  <dimension ref="A1:W34"/>
  <sheetViews>
    <sheetView showGridLines="0" showRowColHeaders="0" topLeftCell="A14" workbookViewId="0">
      <selection activeCell="M28" sqref="M28:M29"/>
    </sheetView>
  </sheetViews>
  <sheetFormatPr defaultColWidth="0" defaultRowHeight="15" customHeight="1" zeroHeight="1"/>
  <cols>
    <col min="1" max="3" width="8.5703125" style="1" customWidth="1"/>
    <col min="4" max="4" width="6.5703125" style="1" customWidth="1"/>
    <col min="5" max="8" width="8.5703125" style="1" customWidth="1"/>
    <col min="9" max="9" width="6.42578125" style="1" customWidth="1"/>
    <col min="10" max="10" width="2.140625" style="1" customWidth="1"/>
    <col min="11" max="11" width="5.42578125" style="1" customWidth="1"/>
    <col min="12" max="14" width="8.5703125" style="1" customWidth="1"/>
    <col min="15" max="15" width="19.28515625" style="1" customWidth="1"/>
    <col min="16" max="16" width="8.5703125" style="1" customWidth="1"/>
    <col min="17" max="17" width="6.5703125" style="1" customWidth="1"/>
    <col min="18" max="19" width="8.5703125" style="1" customWidth="1"/>
    <col min="20" max="20" width="10.5703125" style="1" customWidth="1"/>
    <col min="21" max="22" width="8.5703125" style="1" hidden="1" customWidth="1"/>
    <col min="23" max="23" width="15.5703125" style="1" hidden="1" customWidth="1"/>
    <col min="24" max="16384" width="8.5703125" style="1" hidden="1"/>
  </cols>
  <sheetData>
    <row r="1" spans="1:23">
      <c r="A1" s="38"/>
      <c r="B1" s="38"/>
      <c r="C1" s="38"/>
      <c r="D1" s="38"/>
      <c r="E1" s="38"/>
      <c r="F1" s="38"/>
      <c r="G1" s="38"/>
      <c r="H1" s="38"/>
      <c r="I1" s="38"/>
      <c r="J1" s="38"/>
      <c r="K1" s="38"/>
      <c r="L1" s="38"/>
      <c r="M1" s="38"/>
      <c r="N1" s="38"/>
      <c r="O1" s="38"/>
    </row>
    <row r="2" spans="1:23" ht="15" customHeight="1">
      <c r="A2" s="39"/>
      <c r="B2" s="39"/>
      <c r="C2" s="39"/>
      <c r="D2" s="39"/>
      <c r="E2" s="39"/>
      <c r="F2" s="39"/>
      <c r="G2" s="39"/>
      <c r="H2" s="39"/>
      <c r="I2" s="39"/>
      <c r="J2" s="39"/>
      <c r="K2" s="39"/>
      <c r="L2" s="39"/>
      <c r="M2" s="39"/>
      <c r="N2" s="39"/>
      <c r="O2" s="39"/>
      <c r="P2" s="15"/>
      <c r="Q2" s="580" t="str">
        <f>'Translate&amp;Prices&amp;Logo'!$B$542</f>
        <v>Úvod</v>
      </c>
      <c r="R2" s="581"/>
      <c r="S2" s="581"/>
      <c r="T2" s="581"/>
      <c r="W2" s="6" t="b">
        <v>0</v>
      </c>
    </row>
    <row r="3" spans="1:23" ht="15" customHeight="1">
      <c r="A3" s="39"/>
      <c r="B3" s="39"/>
      <c r="C3" s="39"/>
      <c r="D3" s="39"/>
      <c r="E3" s="39"/>
      <c r="F3" s="39"/>
      <c r="G3" s="39"/>
      <c r="H3" s="39"/>
      <c r="I3" s="39"/>
      <c r="J3" s="39"/>
      <c r="K3" s="39"/>
      <c r="L3" s="39"/>
      <c r="M3" s="39"/>
      <c r="N3" s="39"/>
      <c r="O3" s="39"/>
      <c r="P3" s="15"/>
      <c r="Q3" s="580"/>
      <c r="R3" s="581"/>
      <c r="S3" s="581"/>
      <c r="T3" s="581"/>
    </row>
    <row r="4" spans="1:23"/>
    <row r="5" spans="1:23" ht="21">
      <c r="B5" s="238" t="str">
        <f>'Translate&amp;Prices&amp;Logo'!B682</f>
        <v>Podmínky a doporučení pro správné objednání hliníkových rámečků</v>
      </c>
    </row>
    <row r="6" spans="1:23" ht="11.1" customHeight="1">
      <c r="B6" s="230"/>
    </row>
    <row r="7" spans="1:23" ht="18" customHeight="1">
      <c r="B7" s="237" t="str">
        <f>'Translate&amp;Prices&amp;Logo'!B683</f>
        <v>Obecná doporučení:</v>
      </c>
    </row>
    <row r="8" spans="1:23" ht="15" customHeight="1">
      <c r="B8" s="1" t="str">
        <f>'Translate&amp;Prices&amp;Logo'!$B$304</f>
        <v>Vždy používejte aktuální verzi formuláře, který je dostupný na našich stránkách.</v>
      </c>
    </row>
    <row r="9" spans="1:23" ht="15" customHeight="1">
      <c r="B9" s="12" t="str">
        <f>'Translate&amp;Prices&amp;Logo'!B684</f>
        <v>Při vyplňování formuláře postupujte vždy shora dolů.</v>
      </c>
    </row>
    <row r="10" spans="1:23">
      <c r="B10" s="12" t="str">
        <f>'Translate&amp;Prices&amp;Logo'!B685</f>
        <v>Provedete-li zpětně změnu, je potřeba znovu zadat položky níže od této změny.</v>
      </c>
      <c r="C10" s="229"/>
      <c r="D10" s="229"/>
      <c r="E10" s="229"/>
      <c r="F10" s="229"/>
      <c r="G10" s="229"/>
      <c r="H10" s="229"/>
      <c r="I10" s="229"/>
      <c r="J10" s="229"/>
      <c r="K10" s="229"/>
      <c r="L10" s="229"/>
      <c r="M10" s="229"/>
      <c r="N10" s="229"/>
      <c r="O10" s="229"/>
      <c r="P10" s="229"/>
    </row>
    <row r="11" spans="1:23">
      <c r="B11" s="12" t="str">
        <f>'Translate&amp;Prices&amp;Logo'!B686</f>
        <v xml:space="preserve">Před odesláním objednávky zkontrolujte formulář, zda obsahuje pouze Vámi požadované rámečky.     </v>
      </c>
    </row>
    <row r="12" spans="1:23" ht="15" customHeight="1">
      <c r="B12" s="229" t="str">
        <f>'Translate&amp;Prices&amp;Logo'!$B$316&amp;" "&amp;'Translate&amp;Prices&amp;Logo'!$B$317</f>
        <v>Vyplněnou objednávku zašlete na adresu  objednavky@demos-trade.com</v>
      </c>
      <c r="C12" s="229"/>
      <c r="D12" s="229"/>
      <c r="E12" s="229"/>
      <c r="F12" s="229"/>
      <c r="G12" s="229"/>
      <c r="H12" s="229"/>
      <c r="I12" s="229"/>
      <c r="J12" s="229"/>
      <c r="K12" s="229"/>
      <c r="L12" s="229"/>
      <c r="M12" s="229"/>
    </row>
    <row r="13" spans="1:23" ht="30" customHeight="1">
      <c r="B13" s="670" t="str">
        <f>'Translate&amp;Prices&amp;Logo'!B687</f>
        <v>Standardní doba dodání zakázky je maximálně tři týdny. Pro upřesnění termínu dodání prosím kontaktujte pracovníky Zákaznického servisu.</v>
      </c>
      <c r="C13" s="670"/>
      <c r="D13" s="670"/>
      <c r="E13" s="670"/>
      <c r="F13" s="670"/>
      <c r="G13" s="670"/>
      <c r="H13" s="670"/>
      <c r="I13" s="670"/>
      <c r="J13" s="670"/>
      <c r="K13" s="670"/>
      <c r="L13" s="670"/>
      <c r="M13" s="670"/>
      <c r="N13" s="670"/>
      <c r="O13" s="670"/>
      <c r="P13" s="670"/>
      <c r="Q13" s="670"/>
      <c r="R13" s="670"/>
      <c r="S13" s="670"/>
    </row>
    <row r="14" spans="1:23" ht="45.75" customHeight="1">
      <c r="B14" s="667" t="str">
        <f>'Translate&amp;Prices&amp;Logo'!B673</f>
        <v>Při převzetí zásilky je kupující povinen zboží zkontrolovat a případné zjevné přepravní poškození ihned zapsat s kurýrem do protokolu, jinak může být taková reklamace zamítnuta.</v>
      </c>
      <c r="C14" s="667"/>
      <c r="D14" s="667"/>
      <c r="E14" s="667"/>
      <c r="F14" s="667"/>
      <c r="G14" s="667"/>
      <c r="H14" s="667"/>
      <c r="I14" s="667"/>
      <c r="J14" s="667"/>
      <c r="K14" s="667"/>
      <c r="L14" s="667"/>
      <c r="M14" s="667"/>
      <c r="N14" s="667"/>
      <c r="O14" s="667"/>
      <c r="P14" s="667"/>
      <c r="Q14" s="667"/>
      <c r="R14" s="667"/>
      <c r="S14" s="667"/>
    </row>
    <row r="15" spans="1:23" ht="32.25" customHeight="1">
      <c r="B15" s="1" t="str">
        <f>'Translate&amp;Prices&amp;Logo'!$B$173</f>
        <v>Uvedené ceny jsou bez DPH a nezahrnují cenu požadovaného kování!</v>
      </c>
    </row>
    <row r="16" spans="1:23" ht="46.5" customHeight="1">
      <c r="B16" s="673" t="str">
        <f>IF(Zakaznik!K23="Dostawa na adres","W przypadku wyboru DOSTAWA NA ADRES do zamówienia zostanie automatycznie doliczona opłata transportowa. Cena zależna od rozmiaru ramki. Aby zobaczyć ostateczną cenę, kliknij na Podsumowanie. ","")</f>
        <v/>
      </c>
      <c r="C16" s="673"/>
      <c r="D16" s="673"/>
      <c r="E16" s="673"/>
      <c r="F16" s="673"/>
      <c r="G16" s="673"/>
      <c r="H16" s="673"/>
      <c r="I16" s="673"/>
      <c r="J16" s="673"/>
      <c r="K16" s="673"/>
      <c r="L16" s="316"/>
      <c r="M16" s="674" t="str">
        <f>IF(Zakaznik!K23="Dostawa na adres","W przypadku wyboru DOSTAWA NA ADRES w jednym zamówieniu nie można łączyć ramki ze szkłem i bez szkła. ","")</f>
        <v/>
      </c>
      <c r="N16" s="674"/>
      <c r="O16" s="674"/>
      <c r="P16" s="674"/>
      <c r="Q16" s="674"/>
      <c r="R16" s="674"/>
      <c r="S16" s="316"/>
      <c r="T16" s="316"/>
    </row>
    <row r="17" spans="2:20" ht="21.75" customHeight="1">
      <c r="B17" s="671" t="str">
        <f>'Translate&amp;Prices&amp;Logo'!B574</f>
        <v>Upozornění:</v>
      </c>
      <c r="C17" s="672"/>
      <c r="D17" s="672"/>
    </row>
    <row r="18" spans="2:20" ht="15" customHeight="1">
      <c r="B18" s="1" t="str">
        <f>'Translate&amp;Prices&amp;Logo'!$B$303</f>
        <v xml:space="preserve">Pro připevnění kování do ALU rámečku, je nutné používat vruty pro toto určené (např. kód 13681). </v>
      </c>
    </row>
    <row r="19" spans="2:20" ht="15" customHeight="1">
      <c r="B19" s="1" t="str">
        <f>'Translate&amp;Prices&amp;Logo'!$B$333</f>
        <v>Pokud je úchytka připevněna skrz sklo, je nutné vždy použít distanční podložku (např. 144516, 191970, C0315)</v>
      </c>
    </row>
    <row r="20" spans="2:20"/>
    <row r="21" spans="2:20">
      <c r="B21" s="1" t="str">
        <f>'Translate&amp;Prices&amp;Logo'!$B$313</f>
        <v>Maximální doporučený rozměr rámečku je 2500 x 1250 mm (v případě rámečků s nalepeným sklem, např. Corleone 1500 x 600 mm)</v>
      </c>
    </row>
    <row r="22" spans="2:20" ht="30" customHeight="1">
      <c r="B22" s="667" t="str">
        <f>'Translate&amp;Prices&amp;Logo'!B689</f>
        <v>Pro vyšší rozměr rámečku než 2500 mm doporučujeme použít dělící příčky, v opačném případě hrozí prohnutí profilu nebo uvolnění skla z profilu.</v>
      </c>
      <c r="C22" s="667"/>
      <c r="D22" s="667"/>
      <c r="E22" s="667"/>
      <c r="F22" s="667"/>
      <c r="G22" s="667"/>
      <c r="H22" s="667"/>
      <c r="I22" s="667"/>
      <c r="J22" s="667"/>
      <c r="K22" s="667"/>
      <c r="L22" s="667"/>
      <c r="M22" s="667"/>
      <c r="N22" s="667"/>
      <c r="O22" s="667"/>
      <c r="P22" s="667"/>
      <c r="Q22" s="667"/>
      <c r="R22" s="667"/>
      <c r="S22" s="667"/>
      <c r="T22" s="234"/>
    </row>
    <row r="23" spans="2:20" ht="30" customHeight="1">
      <c r="B23" s="667" t="str">
        <f>'Translate&amp;Prices&amp;Logo'!$B$329</f>
        <v>K nadrozměrným rámečkům (nad rozměr 1200 x 800 mm), může být účtován příplatek za speciální balení a dopravu (více informací u pracovníků Zákaznického servisu).</v>
      </c>
      <c r="C23" s="667"/>
      <c r="D23" s="667"/>
      <c r="E23" s="667"/>
      <c r="F23" s="667"/>
      <c r="G23" s="667"/>
      <c r="H23" s="667"/>
      <c r="I23" s="667"/>
      <c r="J23" s="667"/>
      <c r="K23" s="667"/>
      <c r="L23" s="667"/>
      <c r="M23" s="667"/>
      <c r="N23" s="667"/>
      <c r="O23" s="667"/>
      <c r="P23" s="667"/>
      <c r="Q23" s="667"/>
      <c r="R23" s="667"/>
      <c r="S23" s="667"/>
    </row>
    <row r="24" spans="2:20">
      <c r="B24" s="1" t="str">
        <f>'Translate&amp;Prices&amp;Logo'!$B$302</f>
        <v>Reklamace spojené s poškozením nelze uplatnit, pokud byl rámeček již namontován.</v>
      </c>
    </row>
    <row r="25" spans="2:20">
      <c r="B25" s="1" t="str">
        <f>'Translate&amp;Prices&amp;Logo'!$B$691</f>
        <v>Síťka v rámečku je standardně orientovaná horizontálně. Pokud mají být otvory síťky orientované vertikálně, uvěďte toto do poznámky.</v>
      </c>
    </row>
    <row r="26" spans="2:20">
      <c r="B26" s="235" t="str">
        <f>'Translate&amp;Prices&amp;Logo'!B696</f>
        <v>Barva profilu a síťky se může lišit z důvodu tolerance v procesu výroby</v>
      </c>
    </row>
    <row r="27" spans="2:20" ht="30" customHeight="1" thickBot="1">
      <c r="B27" s="237" t="str">
        <f>'Translate&amp;Prices&amp;Logo'!$B$692</f>
        <v>Potvrzuji, že rozumím a přijímám výše uvedené podmínky a doporučení.</v>
      </c>
    </row>
    <row r="28" spans="2:20">
      <c r="B28" s="236"/>
      <c r="M28" s="668"/>
    </row>
    <row r="29" spans="2:20" ht="15.75" thickBot="1">
      <c r="B29" s="236"/>
      <c r="M29" s="669"/>
    </row>
    <row r="30" spans="2:20" ht="6.75" customHeight="1"/>
    <row r="31" spans="2:20" ht="15" customHeight="1">
      <c r="B31" s="580" t="str">
        <f>"&lt;"&amp;" "&amp;'Translate&amp;Prices&amp;Logo'!$B$576</f>
        <v>&lt; Zpět</v>
      </c>
      <c r="C31" s="581"/>
      <c r="R31" s="580" t="str">
        <f>IF(W2=TRUE,(CONCATENATE('Translate&amp;Prices&amp;Logo'!$B$568," &gt;"))," ")</f>
        <v xml:space="preserve"> </v>
      </c>
      <c r="S31" s="581"/>
    </row>
    <row r="32" spans="2:20" ht="15" customHeight="1">
      <c r="B32" s="580"/>
      <c r="C32" s="581"/>
      <c r="R32" s="580"/>
      <c r="S32" s="581"/>
    </row>
    <row r="33"/>
    <row r="34"/>
  </sheetData>
  <sheetProtection algorithmName="SHA-512" hashValue="m0P1poY5NksR5gtATx9TTjLL3ujXhYNsTMVal9ICkDss0q8rPAVczjuRg6SQCNyKQdcAJnepwu2H+GykH7CdNA==" saltValue="145ystwAeuIToKCBZdjBUw==" spinCount="100000" sheet="1" objects="1" scenarios="1"/>
  <mergeCells count="11">
    <mergeCell ref="B31:C32"/>
    <mergeCell ref="R31:S32"/>
    <mergeCell ref="Q2:T3"/>
    <mergeCell ref="B22:S22"/>
    <mergeCell ref="B23:S23"/>
    <mergeCell ref="M28:M29"/>
    <mergeCell ref="B13:S13"/>
    <mergeCell ref="B17:D17"/>
    <mergeCell ref="B16:K16"/>
    <mergeCell ref="M16:R16"/>
    <mergeCell ref="B14:S14"/>
  </mergeCells>
  <conditionalFormatting sqref="R31:S32">
    <cfRule type="expression" dxfId="470" priority="2">
      <formula>R31=" "</formula>
    </cfRule>
  </conditionalFormatting>
  <hyperlinks>
    <hyperlink ref="Q2:T3" location="Hlavní!A1" display="Hlavní!A1" xr:uid="{E6D3E0FA-09CE-4815-83A4-FF4803A8F05B}"/>
    <hyperlink ref="R31:S32" location="Ram_1!A1" display="Ram_1!A1" xr:uid="{01A2E514-1707-4E64-A3EB-20A1D376B833}"/>
    <hyperlink ref="B31:C32" location="Zakaznik!A1" display="Zakaznik!A1" xr:uid="{9A0D7A28-B1BA-4B51-890B-1A8325EF0424}"/>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07620" r:id="rId4" name="Check Box 4">
              <controlPr defaultSize="0" autoFill="0" autoLine="0" autoPict="0">
                <anchor moveWithCells="1">
                  <from>
                    <xdr:col>12</xdr:col>
                    <xdr:colOff>180975</xdr:colOff>
                    <xdr:row>26</xdr:row>
                    <xdr:rowOff>628650</xdr:rowOff>
                  </from>
                  <to>
                    <xdr:col>12</xdr:col>
                    <xdr:colOff>428625</xdr:colOff>
                    <xdr:row>28</xdr:row>
                    <xdr:rowOff>171450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0EFF9D7-8C66-4E68-B34D-4F9663DC7270}">
            <xm:f>Zakaznik!$K$23="Dostawa na adres"</xm:f>
            <x14:dxf>
              <fill>
                <patternFill>
                  <bgColor rgb="FFFFFF00"/>
                </patternFill>
              </fill>
            </x14:dxf>
          </x14:cfRule>
          <xm:sqref>B16 M16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589E-393E-4BBE-BE73-C12F25F7DDD9}">
  <sheetPr codeName="List25"/>
  <dimension ref="A1:EZ209"/>
  <sheetViews>
    <sheetView topLeftCell="A92" workbookViewId="0">
      <selection activeCell="A139" sqref="A96:A139"/>
    </sheetView>
  </sheetViews>
  <sheetFormatPr defaultColWidth="8.5703125" defaultRowHeight="15"/>
  <cols>
    <col min="1" max="1" width="30" customWidth="1"/>
    <col min="2" max="2" width="25.42578125" customWidth="1"/>
    <col min="3" max="3" width="26.5703125" bestFit="1" customWidth="1"/>
    <col min="4" max="11" width="24.5703125" customWidth="1"/>
    <col min="12" max="12" width="20.42578125" customWidth="1"/>
    <col min="13" max="13" width="23" customWidth="1"/>
    <col min="14" max="14" width="19.140625" bestFit="1" customWidth="1"/>
    <col min="15" max="15" width="23.42578125" bestFit="1" customWidth="1"/>
    <col min="16" max="16" width="20.140625" bestFit="1" customWidth="1"/>
    <col min="17" max="17" width="19.140625" bestFit="1" customWidth="1"/>
    <col min="18" max="18" width="14.5703125" customWidth="1"/>
    <col min="20" max="20" width="18.5703125" bestFit="1" customWidth="1"/>
    <col min="21" max="21" width="9.5703125" customWidth="1"/>
    <col min="22" max="22" width="19.5703125" customWidth="1"/>
    <col min="23" max="23" width="19.42578125" bestFit="1" customWidth="1"/>
    <col min="25" max="31" width="13.42578125" customWidth="1"/>
    <col min="69" max="69" width="13.42578125" customWidth="1"/>
    <col min="80" max="80" width="21.5703125" customWidth="1"/>
    <col min="85" max="85" width="17.42578125" customWidth="1"/>
    <col min="86" max="86" width="24.7109375" customWidth="1"/>
    <col min="87" max="87" width="29.140625" customWidth="1"/>
    <col min="88" max="88" width="30.5703125" customWidth="1"/>
    <col min="89" max="89" width="26.85546875" customWidth="1"/>
    <col min="90" max="90" width="38.7109375" customWidth="1"/>
    <col min="91" max="91" width="29.85546875" bestFit="1" customWidth="1"/>
    <col min="92" max="92" width="25.28515625" customWidth="1"/>
    <col min="93" max="93" width="26.5703125" customWidth="1"/>
    <col min="94" max="94" width="17.7109375" customWidth="1"/>
    <col min="95" max="95" width="19.42578125" customWidth="1"/>
    <col min="96" max="98" width="25.140625" bestFit="1" customWidth="1"/>
    <col min="99" max="100" width="29.85546875" bestFit="1" customWidth="1"/>
    <col min="101" max="102" width="20.28515625" bestFit="1" customWidth="1"/>
    <col min="103" max="104" width="29.85546875" bestFit="1" customWidth="1"/>
    <col min="105" max="105" width="20.28515625" bestFit="1" customWidth="1"/>
    <col min="106" max="106" width="37.7109375" customWidth="1"/>
    <col min="109" max="109" width="26.5703125" customWidth="1"/>
    <col min="111" max="111" width="26" customWidth="1"/>
    <col min="112" max="112" width="28.7109375" customWidth="1"/>
    <col min="113" max="113" width="33.85546875" customWidth="1"/>
    <col min="114" max="114" width="23.85546875" bestFit="1" customWidth="1"/>
    <col min="115" max="115" width="21.140625" customWidth="1"/>
    <col min="116" max="116" width="19.42578125" customWidth="1"/>
    <col min="117" max="117" width="20.85546875" customWidth="1"/>
    <col min="118" max="118" width="26.42578125" bestFit="1" customWidth="1"/>
    <col min="129" max="129" width="32.7109375" customWidth="1"/>
    <col min="132" max="132" width="34.28515625" bestFit="1" customWidth="1"/>
    <col min="133" max="133" width="22" bestFit="1" customWidth="1"/>
    <col min="134" max="134" width="23.28515625" bestFit="1" customWidth="1"/>
    <col min="135" max="135" width="20.85546875" bestFit="1" customWidth="1"/>
    <col min="136" max="136" width="21.42578125" bestFit="1" customWidth="1"/>
    <col min="137" max="137" width="20" bestFit="1" customWidth="1"/>
    <col min="138" max="138" width="21.42578125" bestFit="1" customWidth="1"/>
    <col min="139" max="139" width="21" bestFit="1" customWidth="1"/>
    <col min="140" max="140" width="22.42578125" bestFit="1" customWidth="1"/>
    <col min="141" max="141" width="22" bestFit="1" customWidth="1"/>
    <col min="142" max="142" width="20.5703125" bestFit="1" customWidth="1"/>
    <col min="143" max="143" width="22.42578125" bestFit="1" customWidth="1"/>
    <col min="144" max="144" width="23.7109375" bestFit="1" customWidth="1"/>
  </cols>
  <sheetData>
    <row r="1" spans="1:156">
      <c r="A1" s="22" t="s">
        <v>934</v>
      </c>
      <c r="B1" s="22"/>
      <c r="C1" s="22"/>
      <c r="D1" s="22"/>
      <c r="E1" s="22"/>
      <c r="F1" s="22"/>
      <c r="G1" s="22"/>
      <c r="H1" s="22"/>
      <c r="I1" s="22"/>
      <c r="J1" s="22"/>
      <c r="K1" s="22"/>
      <c r="L1" s="22"/>
      <c r="M1" s="22"/>
      <c r="N1" s="22"/>
      <c r="O1" s="22"/>
      <c r="P1" s="22"/>
      <c r="Q1" s="22"/>
      <c r="R1" s="22"/>
      <c r="S1" s="23"/>
      <c r="T1" s="22" t="s">
        <v>399</v>
      </c>
      <c r="U1" s="22"/>
      <c r="V1" s="22"/>
      <c r="W1" s="22"/>
      <c r="X1" s="23"/>
      <c r="Y1" s="22" t="s">
        <v>8</v>
      </c>
      <c r="Z1" s="22"/>
      <c r="AA1" s="22"/>
      <c r="AB1" s="22"/>
      <c r="AC1" s="22"/>
      <c r="AD1" s="22"/>
      <c r="AE1" s="22"/>
      <c r="AF1" s="23"/>
      <c r="BQ1" t="s">
        <v>814</v>
      </c>
      <c r="BW1" t="s">
        <v>110</v>
      </c>
    </row>
    <row r="2" spans="1:156">
      <c r="A2" s="25" t="s">
        <v>946</v>
      </c>
      <c r="B2" s="25" t="s">
        <v>564</v>
      </c>
      <c r="C2" s="25"/>
      <c r="D2">
        <v>1</v>
      </c>
      <c r="E2">
        <v>2</v>
      </c>
      <c r="F2">
        <v>3</v>
      </c>
      <c r="G2">
        <v>4</v>
      </c>
      <c r="H2">
        <v>5</v>
      </c>
      <c r="I2">
        <v>6</v>
      </c>
      <c r="J2">
        <v>7</v>
      </c>
      <c r="K2">
        <v>8</v>
      </c>
      <c r="L2">
        <v>9</v>
      </c>
      <c r="M2">
        <v>10</v>
      </c>
      <c r="N2">
        <v>11</v>
      </c>
      <c r="O2">
        <v>12</v>
      </c>
      <c r="P2">
        <v>13</v>
      </c>
      <c r="Q2">
        <v>14</v>
      </c>
      <c r="R2">
        <v>15</v>
      </c>
      <c r="S2" s="23"/>
      <c r="T2" s="24" t="s">
        <v>936</v>
      </c>
      <c r="U2" s="24" t="s">
        <v>814</v>
      </c>
      <c r="V2" s="24" t="s">
        <v>947</v>
      </c>
      <c r="W2" s="24" t="s">
        <v>948</v>
      </c>
      <c r="X2" s="23"/>
      <c r="Y2" s="26">
        <v>1</v>
      </c>
      <c r="Z2" s="26">
        <v>2</v>
      </c>
      <c r="AA2" s="26">
        <v>3</v>
      </c>
      <c r="AB2" s="26">
        <v>4</v>
      </c>
      <c r="AC2" s="26">
        <v>5</v>
      </c>
      <c r="AD2" s="26">
        <v>6</v>
      </c>
      <c r="AE2" s="26">
        <v>7</v>
      </c>
      <c r="AF2" s="23"/>
      <c r="AO2" t="str">
        <f>'Translate&amp;Prices&amp;Logo'!B229</f>
        <v>Nahoře</v>
      </c>
      <c r="AP2" t="str">
        <f>'Translate&amp;Prices&amp;Logo'!B231</f>
        <v xml:space="preserve">Vpravo </v>
      </c>
      <c r="BQ2" t="str">
        <f>'Translate&amp;Prices&amp;Logo'!$B$553</f>
        <v>Závěsy</v>
      </c>
      <c r="BR2" t="str">
        <f>'Translate&amp;Prices&amp;Logo'!$B$554</f>
        <v>Výklopy</v>
      </c>
      <c r="BW2" t="str">
        <f>'Translate&amp;Prices&amp;Logo'!$B$232</f>
        <v>Vlevo</v>
      </c>
      <c r="CG2" t="s">
        <v>456</v>
      </c>
      <c r="CH2" t="s">
        <v>1105</v>
      </c>
      <c r="CI2" t="s">
        <v>456</v>
      </c>
      <c r="CJ2" t="s">
        <v>1105</v>
      </c>
      <c r="CK2" t="s">
        <v>456</v>
      </c>
      <c r="CL2" t="s">
        <v>1105</v>
      </c>
      <c r="CM2" t="s">
        <v>456</v>
      </c>
      <c r="CN2" t="s">
        <v>1105</v>
      </c>
      <c r="CO2" t="s">
        <v>456</v>
      </c>
      <c r="CP2" t="s">
        <v>1105</v>
      </c>
      <c r="CQ2" t="s">
        <v>456</v>
      </c>
      <c r="CR2" t="s">
        <v>1105</v>
      </c>
      <c r="CS2" t="s">
        <v>456</v>
      </c>
      <c r="CT2" t="s">
        <v>1105</v>
      </c>
      <c r="CU2" t="s">
        <v>456</v>
      </c>
      <c r="CV2" t="s">
        <v>1105</v>
      </c>
      <c r="CW2" t="s">
        <v>456</v>
      </c>
      <c r="CX2" t="s">
        <v>1105</v>
      </c>
      <c r="CY2" t="s">
        <v>456</v>
      </c>
      <c r="CZ2" t="s">
        <v>1105</v>
      </c>
      <c r="DA2" t="s">
        <v>456</v>
      </c>
      <c r="DB2" t="s">
        <v>1105</v>
      </c>
      <c r="DC2" t="s">
        <v>456</v>
      </c>
      <c r="DD2" t="s">
        <v>1105</v>
      </c>
      <c r="DE2" t="s">
        <v>456</v>
      </c>
      <c r="DF2" t="s">
        <v>1105</v>
      </c>
      <c r="DG2" t="s">
        <v>456</v>
      </c>
      <c r="DH2" t="s">
        <v>1105</v>
      </c>
      <c r="DI2" t="s">
        <v>456</v>
      </c>
      <c r="DJ2" t="s">
        <v>1105</v>
      </c>
      <c r="DK2" t="s">
        <v>456</v>
      </c>
      <c r="DL2" t="s">
        <v>1105</v>
      </c>
    </row>
    <row r="3" spans="1:156">
      <c r="A3" s="24" t="s">
        <v>105</v>
      </c>
      <c r="B3" s="24" t="s">
        <v>566</v>
      </c>
      <c r="C3" s="24" t="str">
        <f>CONCATENATE("_",A3,"_",B3)</f>
        <v>_Úzký ALU rámeček_Aventos HF</v>
      </c>
      <c r="D3" t="s">
        <v>1033</v>
      </c>
      <c r="E3" t="s">
        <v>1034</v>
      </c>
      <c r="F3" t="s">
        <v>1035</v>
      </c>
      <c r="G3" t="s">
        <v>1036</v>
      </c>
      <c r="H3" t="s">
        <v>1037</v>
      </c>
      <c r="I3" t="s">
        <v>1038</v>
      </c>
      <c r="S3" s="23"/>
      <c r="T3">
        <v>1</v>
      </c>
      <c r="U3" t="s">
        <v>2</v>
      </c>
      <c r="V3" t="s">
        <v>1039</v>
      </c>
      <c r="W3" t="s">
        <v>1040</v>
      </c>
      <c r="X3" s="23"/>
      <c r="AF3" s="23"/>
      <c r="AO3" t="str">
        <f>'Translate&amp;Prices&amp;Logo'!B230</f>
        <v>Dole</v>
      </c>
      <c r="AP3" t="str">
        <f>'Translate&amp;Prices&amp;Logo'!B232</f>
        <v>Vlevo</v>
      </c>
      <c r="BQ3" t="s">
        <v>984</v>
      </c>
      <c r="BR3" t="s">
        <v>954</v>
      </c>
      <c r="BW3" t="str">
        <f>'Translate&amp;Prices&amp;Logo'!$B$231</f>
        <v xml:space="preserve">Vpravo </v>
      </c>
      <c r="CG3" t="s">
        <v>2370</v>
      </c>
      <c r="CH3" t="s">
        <v>2370</v>
      </c>
      <c r="CI3" t="s">
        <v>2150</v>
      </c>
      <c r="CJ3" t="s">
        <v>2150</v>
      </c>
      <c r="CK3" t="s">
        <v>964</v>
      </c>
      <c r="CL3" t="s">
        <v>964</v>
      </c>
      <c r="CM3" t="s">
        <v>967</v>
      </c>
      <c r="CN3" t="s">
        <v>967</v>
      </c>
      <c r="CO3" t="s">
        <v>974</v>
      </c>
      <c r="CP3" t="s">
        <v>974</v>
      </c>
      <c r="CQ3" t="s">
        <v>1109</v>
      </c>
      <c r="CR3" t="s">
        <v>1109</v>
      </c>
      <c r="CS3" t="s">
        <v>969</v>
      </c>
      <c r="CT3" t="s">
        <v>969</v>
      </c>
      <c r="CU3" t="s">
        <v>975</v>
      </c>
      <c r="CV3" t="s">
        <v>975</v>
      </c>
      <c r="CW3" t="s">
        <v>2533</v>
      </c>
      <c r="CX3" t="s">
        <v>2533</v>
      </c>
      <c r="CY3" t="s">
        <v>978</v>
      </c>
      <c r="CZ3" t="s">
        <v>978</v>
      </c>
      <c r="DA3" t="s">
        <v>2547</v>
      </c>
      <c r="DB3" t="s">
        <v>2547</v>
      </c>
      <c r="DC3" t="s">
        <v>980</v>
      </c>
      <c r="DD3" t="s">
        <v>980</v>
      </c>
      <c r="DE3" t="s">
        <v>981</v>
      </c>
      <c r="DF3" t="s">
        <v>981</v>
      </c>
      <c r="DG3" t="s">
        <v>2503</v>
      </c>
      <c r="DH3" t="s">
        <v>2503</v>
      </c>
      <c r="DI3" t="s">
        <v>2504</v>
      </c>
      <c r="DJ3" t="s">
        <v>2504</v>
      </c>
      <c r="DK3" t="s">
        <v>985</v>
      </c>
      <c r="DL3" t="s">
        <v>985</v>
      </c>
    </row>
    <row r="4" spans="1:156">
      <c r="A4" s="24" t="s">
        <v>106</v>
      </c>
      <c r="B4" s="24" t="s">
        <v>566</v>
      </c>
      <c r="C4" s="24" t="str">
        <f>CONCATENATE("_",A4,"_",B4)</f>
        <v>_Široký ALU rámeček_Aventos HF</v>
      </c>
      <c r="D4" t="s">
        <v>1041</v>
      </c>
      <c r="E4" t="s">
        <v>1034</v>
      </c>
      <c r="F4" t="s">
        <v>1042</v>
      </c>
      <c r="G4" t="s">
        <v>1043</v>
      </c>
      <c r="H4" t="s">
        <v>1044</v>
      </c>
      <c r="I4" t="s">
        <v>1045</v>
      </c>
      <c r="S4" s="23"/>
      <c r="V4" t="s">
        <v>1046</v>
      </c>
      <c r="W4" t="s">
        <v>1047</v>
      </c>
      <c r="X4" s="23"/>
      <c r="AF4" s="23"/>
      <c r="AO4" t="str">
        <f>'Translate&amp;Prices&amp;Logo'!B231</f>
        <v xml:space="preserve">Vpravo </v>
      </c>
      <c r="BQ4" t="s">
        <v>954</v>
      </c>
      <c r="BR4" t="s">
        <v>976</v>
      </c>
      <c r="BW4" t="str">
        <f>'Translate&amp;Prices&amp;Logo'!$B$229</f>
        <v>Nahoře</v>
      </c>
      <c r="CG4" t="s">
        <v>3623</v>
      </c>
      <c r="CH4" t="s">
        <v>3624</v>
      </c>
      <c r="CI4" t="s">
        <v>3625</v>
      </c>
      <c r="CJ4" t="s">
        <v>3626</v>
      </c>
      <c r="CK4" t="s">
        <v>3627</v>
      </c>
      <c r="CL4" t="s">
        <v>3628</v>
      </c>
      <c r="CM4" t="s">
        <v>3629</v>
      </c>
      <c r="CN4" t="s">
        <v>3630</v>
      </c>
      <c r="CO4" t="s">
        <v>3631</v>
      </c>
      <c r="CP4" t="s">
        <v>3632</v>
      </c>
      <c r="CQ4" t="s">
        <v>3633</v>
      </c>
      <c r="CR4" t="s">
        <v>3634</v>
      </c>
      <c r="CS4" t="s">
        <v>3635</v>
      </c>
      <c r="CT4" t="s">
        <v>3636</v>
      </c>
      <c r="CU4" t="s">
        <v>3637</v>
      </c>
      <c r="CV4" t="s">
        <v>3638</v>
      </c>
      <c r="CW4" t="s">
        <v>3639</v>
      </c>
      <c r="CX4" t="s">
        <v>3640</v>
      </c>
      <c r="CY4" t="s">
        <v>3641</v>
      </c>
      <c r="CZ4" t="s">
        <v>3642</v>
      </c>
      <c r="DA4" t="s">
        <v>3643</v>
      </c>
      <c r="DB4" t="s">
        <v>3644</v>
      </c>
      <c r="DC4" t="s">
        <v>3645</v>
      </c>
      <c r="DD4" t="s">
        <v>3646</v>
      </c>
      <c r="DE4" t="s">
        <v>3647</v>
      </c>
      <c r="DF4" t="s">
        <v>3648</v>
      </c>
      <c r="DG4" t="s">
        <v>3649</v>
      </c>
      <c r="DH4" t="s">
        <v>3650</v>
      </c>
      <c r="DI4" t="s">
        <v>3651</v>
      </c>
      <c r="DJ4" t="s">
        <v>3652</v>
      </c>
      <c r="DK4" t="s">
        <v>3653</v>
      </c>
      <c r="DL4" t="s">
        <v>3654</v>
      </c>
      <c r="DM4" t="s">
        <v>3072</v>
      </c>
      <c r="DN4" t="s">
        <v>3069</v>
      </c>
      <c r="DO4" t="s">
        <v>3070</v>
      </c>
      <c r="DP4" t="s">
        <v>3071</v>
      </c>
      <c r="DQ4" t="s">
        <v>3067</v>
      </c>
      <c r="DR4" t="s">
        <v>3068</v>
      </c>
      <c r="DS4" t="s">
        <v>3065</v>
      </c>
      <c r="DT4" t="s">
        <v>3066</v>
      </c>
      <c r="DU4" t="s">
        <v>3078</v>
      </c>
      <c r="DV4" t="s">
        <v>3079</v>
      </c>
      <c r="DW4" t="s">
        <v>3080</v>
      </c>
      <c r="DX4" t="s">
        <v>3081</v>
      </c>
      <c r="DY4" t="s">
        <v>3083</v>
      </c>
      <c r="DZ4" t="s">
        <v>3084</v>
      </c>
      <c r="EA4" t="s">
        <v>3085</v>
      </c>
      <c r="EB4" t="s">
        <v>3086</v>
      </c>
      <c r="EC4" t="s">
        <v>4085</v>
      </c>
      <c r="ED4" t="s">
        <v>4086</v>
      </c>
      <c r="EE4" t="s">
        <v>4091</v>
      </c>
      <c r="EF4" t="s">
        <v>4092</v>
      </c>
      <c r="EG4" t="s">
        <v>4089</v>
      </c>
      <c r="EH4" t="s">
        <v>4090</v>
      </c>
      <c r="EI4" t="s">
        <v>4088</v>
      </c>
      <c r="EJ4" t="s">
        <v>4087</v>
      </c>
      <c r="EK4" t="s">
        <v>4110</v>
      </c>
      <c r="EL4" t="s">
        <v>4111</v>
      </c>
      <c r="EM4" t="s">
        <v>4112</v>
      </c>
      <c r="EN4" t="s">
        <v>4113</v>
      </c>
      <c r="EO4" t="s">
        <v>4114</v>
      </c>
      <c r="EP4" t="s">
        <v>4115</v>
      </c>
      <c r="EQ4" t="s">
        <v>4116</v>
      </c>
      <c r="ER4" t="s">
        <v>4117</v>
      </c>
      <c r="ES4" t="s">
        <v>4125</v>
      </c>
      <c r="ET4" t="s">
        <v>4126</v>
      </c>
      <c r="EU4" t="s">
        <v>4127</v>
      </c>
      <c r="EV4" t="s">
        <v>4128</v>
      </c>
      <c r="EW4" t="s">
        <v>4129</v>
      </c>
      <c r="EX4" t="s">
        <v>4130</v>
      </c>
      <c r="EY4" t="s">
        <v>4131</v>
      </c>
      <c r="EZ4" t="s">
        <v>4132</v>
      </c>
    </row>
    <row r="5" spans="1:156">
      <c r="A5" s="27" t="s">
        <v>105</v>
      </c>
      <c r="B5" t="s">
        <v>2150</v>
      </c>
      <c r="C5" s="27" t="str">
        <f t="shared" ref="C5:C34" si="0">CONCATENATE("_",A5,"_",B5)</f>
        <v>_Úzký ALU rámeček_Aventos_HK_XS</v>
      </c>
      <c r="D5" t="s">
        <v>1033</v>
      </c>
      <c r="E5" t="s">
        <v>1034</v>
      </c>
      <c r="F5" t="s">
        <v>1049</v>
      </c>
      <c r="G5" t="s">
        <v>1050</v>
      </c>
      <c r="S5" s="23"/>
      <c r="V5" t="s">
        <v>1051</v>
      </c>
      <c r="W5" t="s">
        <v>1052</v>
      </c>
      <c r="X5" s="23"/>
      <c r="AF5" s="23"/>
      <c r="AO5" t="str">
        <f>'Translate&amp;Prices&amp;Logo'!B232</f>
        <v>Vlevo</v>
      </c>
      <c r="BQ5" t="s">
        <v>2436</v>
      </c>
      <c r="BR5" t="s">
        <v>2499</v>
      </c>
      <c r="BW5" t="str">
        <f>'Translate&amp;Prices&amp;Logo'!$B$230</f>
        <v>Dole</v>
      </c>
      <c r="CG5" t="s">
        <v>2568</v>
      </c>
      <c r="CH5" t="s">
        <v>2569</v>
      </c>
      <c r="CI5" t="str">
        <f>CONCATENATE("blum ",'Translate&amp;Prices&amp;Logo'!B664," 118033")</f>
        <v>blum tlumený 118033</v>
      </c>
      <c r="CJ5" t="str">
        <f>CONCATENATE("blum ",'Translate&amp;Prices&amp;Logo'!B664," 12047")</f>
        <v>blum tlumený 12047</v>
      </c>
      <c r="CK5" t="s">
        <v>2508</v>
      </c>
      <c r="CL5" t="s">
        <v>2509</v>
      </c>
      <c r="CM5" t="s">
        <v>2508</v>
      </c>
      <c r="CN5" t="s">
        <v>2509</v>
      </c>
      <c r="CO5" t="s">
        <v>2508</v>
      </c>
      <c r="CP5" t="s">
        <v>2509</v>
      </c>
      <c r="CQ5" t="str">
        <f>CONCATENATE("hettich ",'Translate&amp;Prices&amp;Logo'!B666," 300282")</f>
        <v>hettich spodní 300282</v>
      </c>
      <c r="CR5" t="str">
        <f>CONCATENATE("hettich ",'Translate&amp;Prices&amp;Logo'!B666," 232346")</f>
        <v>hettich spodní 232346</v>
      </c>
      <c r="CS5" t="str">
        <f>CONCATENATE("hettich ",'Translate&amp;Prices&amp;Logo'!B666," 300282")</f>
        <v>hettich spodní 300282</v>
      </c>
      <c r="CT5" t="str">
        <f>CONCATENATE("hettich ",'Translate&amp;Prices&amp;Logo'!B666," 232346")</f>
        <v>hettich spodní 232346</v>
      </c>
      <c r="CU5" t="s">
        <v>2508</v>
      </c>
      <c r="CV5" t="s">
        <v>2509</v>
      </c>
      <c r="CW5" t="s">
        <v>1076</v>
      </c>
      <c r="CX5" t="s">
        <v>1090</v>
      </c>
      <c r="CY5" t="s">
        <v>2508</v>
      </c>
      <c r="CZ5" t="s">
        <v>2509</v>
      </c>
      <c r="DA5" t="s">
        <v>1076</v>
      </c>
      <c r="DB5" t="s">
        <v>1090</v>
      </c>
      <c r="DC5" t="str">
        <f>CONCATENATE("hettich ",'Translate&amp;Prices&amp;Logo'!B666," 300282")</f>
        <v>hettich spodní 300282</v>
      </c>
      <c r="DD5" t="s">
        <v>1090</v>
      </c>
      <c r="DE5" t="str">
        <f>CONCATENATE("hettich ",'Translate&amp;Prices&amp;Logo'!B666," 300282")</f>
        <v>hettich spodní 300282</v>
      </c>
      <c r="DF5" t="s">
        <v>1090</v>
      </c>
      <c r="DG5" t="s">
        <v>2508</v>
      </c>
      <c r="DH5" t="s">
        <v>2509</v>
      </c>
      <c r="DI5" t="s">
        <v>2508</v>
      </c>
      <c r="DJ5" t="s">
        <v>2509</v>
      </c>
      <c r="DK5" t="str">
        <f>CONCATENATE("hettich ",'Translate&amp;Prices&amp;Logo'!B666," 300282")</f>
        <v>hettich spodní 300282</v>
      </c>
      <c r="DL5" t="s">
        <v>1090</v>
      </c>
      <c r="DM5" t="s">
        <v>2509</v>
      </c>
      <c r="DN5" t="s">
        <v>2508</v>
      </c>
      <c r="DO5" t="s">
        <v>2509</v>
      </c>
      <c r="DP5" t="s">
        <v>2508</v>
      </c>
      <c r="DQ5" t="s">
        <v>2535</v>
      </c>
      <c r="DR5" t="s">
        <v>1090</v>
      </c>
      <c r="DS5" t="s">
        <v>2535</v>
      </c>
      <c r="DT5" t="s">
        <v>1090</v>
      </c>
      <c r="DU5" t="s">
        <v>3082</v>
      </c>
      <c r="DV5" t="s">
        <v>1090</v>
      </c>
      <c r="DW5" t="s">
        <v>3082</v>
      </c>
      <c r="DX5" t="s">
        <v>1090</v>
      </c>
      <c r="DY5" t="s">
        <v>2508</v>
      </c>
      <c r="DZ5" t="s">
        <v>2509</v>
      </c>
      <c r="EA5" t="s">
        <v>2508</v>
      </c>
      <c r="EB5" t="s">
        <v>2509</v>
      </c>
      <c r="EC5" t="s">
        <v>2508</v>
      </c>
      <c r="ED5" t="s">
        <v>2509</v>
      </c>
      <c r="EE5" t="s">
        <v>2508</v>
      </c>
      <c r="EF5" t="s">
        <v>2509</v>
      </c>
      <c r="EG5" t="s">
        <v>4095</v>
      </c>
      <c r="EH5" t="s">
        <v>1090</v>
      </c>
      <c r="EI5" t="s">
        <v>4095</v>
      </c>
      <c r="EJ5" t="s">
        <v>1090</v>
      </c>
      <c r="EK5" t="s">
        <v>2508</v>
      </c>
      <c r="EL5" t="s">
        <v>2509</v>
      </c>
      <c r="EM5" t="s">
        <v>2508</v>
      </c>
      <c r="EN5" t="s">
        <v>2509</v>
      </c>
      <c r="EO5" t="s">
        <v>2989</v>
      </c>
      <c r="EP5" t="s">
        <v>1090</v>
      </c>
      <c r="EQ5" t="s">
        <v>2989</v>
      </c>
      <c r="ER5" t="s">
        <v>1090</v>
      </c>
      <c r="ES5" t="s">
        <v>2508</v>
      </c>
      <c r="ET5" t="s">
        <v>2509</v>
      </c>
      <c r="EU5" t="s">
        <v>2508</v>
      </c>
      <c r="EV5" t="s">
        <v>2509</v>
      </c>
      <c r="EW5" t="s">
        <v>4133</v>
      </c>
      <c r="EX5" t="s">
        <v>1090</v>
      </c>
      <c r="EY5" t="s">
        <v>4133</v>
      </c>
      <c r="EZ5" t="s">
        <v>1090</v>
      </c>
    </row>
    <row r="6" spans="1:156">
      <c r="A6" s="27" t="s">
        <v>106</v>
      </c>
      <c r="B6" t="s">
        <v>2150</v>
      </c>
      <c r="C6" s="27" t="str">
        <f t="shared" si="0"/>
        <v>_Široký ALU rámeček_Aventos_HK_XS</v>
      </c>
      <c r="D6" t="s">
        <v>1053</v>
      </c>
      <c r="E6" t="s">
        <v>1034</v>
      </c>
      <c r="F6" t="s">
        <v>1054</v>
      </c>
      <c r="G6" t="s">
        <v>1045</v>
      </c>
      <c r="H6" t="s">
        <v>1050</v>
      </c>
      <c r="S6" s="23"/>
      <c r="V6" t="s">
        <v>1052</v>
      </c>
      <c r="W6" t="s">
        <v>1055</v>
      </c>
      <c r="X6" s="23"/>
      <c r="AF6" s="23"/>
      <c r="BQ6" s="34" t="s">
        <v>2442</v>
      </c>
      <c r="BR6" t="s">
        <v>966</v>
      </c>
      <c r="CG6" t="s">
        <v>2568</v>
      </c>
      <c r="CH6" t="s">
        <v>2569</v>
      </c>
      <c r="CI6" t="s">
        <v>2568</v>
      </c>
      <c r="CJ6" t="str">
        <f>CONCATENATE("blum ",'Translate&amp;Prices&amp;Logo'!B664," 12047")</f>
        <v>blum tlumený 12047</v>
      </c>
      <c r="CK6" t="str">
        <f>CONCATENATE("hettich ",'Translate&amp;Prices&amp;Logo'!B664," 300279")</f>
        <v>hettich tlumený 300279</v>
      </c>
      <c r="CL6" t="str">
        <f>CONCATENATE("hettich ",'Translate&amp;Prices&amp;Logo'!B664," 104717")</f>
        <v>hettich tlumený 104717</v>
      </c>
      <c r="CM6" t="str">
        <f>CONCATENATE("hettich ",'Translate&amp;Prices&amp;Logo'!B664," 300279")</f>
        <v>hettich tlumený 300279</v>
      </c>
      <c r="CN6" t="str">
        <f>CONCATENATE("hettich ",'Translate&amp;Prices&amp;Logo'!B664," 104717")</f>
        <v>hettich tlumený 104717</v>
      </c>
      <c r="CO6" t="str">
        <f>CONCATENATE("hettich ",'Translate&amp;Prices&amp;Logo'!B664," 300279")</f>
        <v>hettich tlumený 300279</v>
      </c>
      <c r="CP6" t="str">
        <f>CONCATENATE("hettich ",'Translate&amp;Prices&amp;Logo'!B664," 104717")</f>
        <v>hettich tlumený 104717</v>
      </c>
      <c r="CQ6" t="str">
        <f>CONCATENATE("hettich ",'Translate&amp;Prices&amp;Logo'!B665," 300279")</f>
        <v>hettich horní 300279</v>
      </c>
      <c r="CR6" t="str">
        <f>CONCATENATE("hettich ",'Translate&amp;Prices&amp;Logo'!B665," 104717")</f>
        <v>hettich horní 104717</v>
      </c>
      <c r="CS6" t="str">
        <f>CONCATENATE("hettich ",'Translate&amp;Prices&amp;Logo'!B665," 300279")</f>
        <v>hettich horní 300279</v>
      </c>
      <c r="CT6" t="str">
        <f>CONCATENATE("hettich ",'Translate&amp;Prices&amp;Logo'!B665," 104717")</f>
        <v>hettich horní 104717</v>
      </c>
      <c r="CU6" t="str">
        <f>CONCATENATE("hettich ",'Translate&amp;Prices&amp;Logo'!B664," 300279")</f>
        <v>hettich tlumený 300279</v>
      </c>
      <c r="CV6" t="str">
        <f>CONCATENATE("hettich ",'Translate&amp;Prices&amp;Logo'!B664," 104717")</f>
        <v>hettich tlumený 104717</v>
      </c>
      <c r="CW6" t="s">
        <v>1078</v>
      </c>
      <c r="CX6" t="s">
        <v>1084</v>
      </c>
      <c r="CY6" t="str">
        <f>CONCATENATE("hettich ",'Translate&amp;Prices&amp;Logo'!B664," 300279")</f>
        <v>hettich tlumený 300279</v>
      </c>
      <c r="CZ6" t="str">
        <f>CONCATENATE("hettich ",'Translate&amp;Prices&amp;Logo'!B664," 104717")</f>
        <v>hettich tlumený 104717</v>
      </c>
      <c r="DA6" t="s">
        <v>1078</v>
      </c>
      <c r="DB6" t="s">
        <v>1084</v>
      </c>
      <c r="DC6" t="str">
        <f>CONCATENATE("blum ",'Translate&amp;Prices&amp;Logo'!B666," 12106")</f>
        <v>blum spodní 12106</v>
      </c>
      <c r="DD6" t="str">
        <f>CONCATENATE("hettich ",'Translate&amp;Prices&amp;Logo'!B666," 232346")</f>
        <v>hettich spodní 232346</v>
      </c>
      <c r="DE6" t="str">
        <f>CONCATENATE("blum ",'Translate&amp;Prices&amp;Logo'!B666," 12106")</f>
        <v>blum spodní 12106</v>
      </c>
      <c r="DF6" t="str">
        <f>CONCATENATE("hettich ",'Translate&amp;Prices&amp;Logo'!B666," 232346")</f>
        <v>hettich spodní 232346</v>
      </c>
      <c r="DG6" t="s">
        <v>1333</v>
      </c>
      <c r="DH6" t="str">
        <f>CONCATENATE("hettich ",'Translate&amp;Prices&amp;Logo'!B664," 104717")</f>
        <v>hettich tlumený 104717</v>
      </c>
      <c r="DI6" t="str">
        <f>CONCATENATE("hettich ",'Translate&amp;Prices&amp;Logo'!B664," 300279")</f>
        <v>hettich tlumený 300279</v>
      </c>
      <c r="DJ6" t="str">
        <f>CONCATENATE("hettich ",'Translate&amp;Prices&amp;Logo'!B664," 104717")</f>
        <v>hettich tlumený 104717</v>
      </c>
      <c r="DK6" t="str">
        <f>CONCATENATE("blum ",'Translate&amp;Prices&amp;Logo'!B666," 12106")</f>
        <v>blum spodní 12106</v>
      </c>
      <c r="DL6" t="str">
        <f>CONCATENATE("hettich ",'Translate&amp;Prices&amp;Logo'!B666," 232346")</f>
        <v>hettich spodní 232346</v>
      </c>
      <c r="DM6" t="s">
        <v>4269</v>
      </c>
      <c r="DN6" t="s">
        <v>4270</v>
      </c>
      <c r="DO6" t="s">
        <v>4269</v>
      </c>
      <c r="DP6" t="s">
        <v>4270</v>
      </c>
      <c r="DQ6" t="s">
        <v>2536</v>
      </c>
      <c r="DR6" t="s">
        <v>2538</v>
      </c>
      <c r="DS6" t="s">
        <v>2536</v>
      </c>
      <c r="DT6" t="s">
        <v>2538</v>
      </c>
      <c r="DU6" t="s">
        <v>3087</v>
      </c>
      <c r="DV6" t="s">
        <v>3088</v>
      </c>
      <c r="DW6" t="s">
        <v>3087</v>
      </c>
      <c r="DX6" t="s">
        <v>3088</v>
      </c>
      <c r="DY6" t="s">
        <v>2541</v>
      </c>
      <c r="DZ6" t="s">
        <v>2544</v>
      </c>
      <c r="EA6" t="s">
        <v>2541</v>
      </c>
      <c r="EB6" t="s">
        <v>2544</v>
      </c>
      <c r="EC6" t="s">
        <v>4096</v>
      </c>
      <c r="ED6" t="s">
        <v>4097</v>
      </c>
      <c r="EE6" t="s">
        <v>4096</v>
      </c>
      <c r="EF6" t="s">
        <v>4097</v>
      </c>
      <c r="EG6" t="s">
        <v>4098</v>
      </c>
      <c r="EH6" t="s">
        <v>4099</v>
      </c>
      <c r="EI6" t="s">
        <v>4098</v>
      </c>
      <c r="EJ6" t="s">
        <v>4099</v>
      </c>
      <c r="EK6" t="s">
        <v>2991</v>
      </c>
      <c r="EL6" t="s">
        <v>2992</v>
      </c>
      <c r="EM6" t="s">
        <v>2991</v>
      </c>
      <c r="EN6" t="s">
        <v>2992</v>
      </c>
      <c r="EO6" t="s">
        <v>2995</v>
      </c>
      <c r="EP6" t="s">
        <v>2990</v>
      </c>
      <c r="EQ6" t="s">
        <v>2995</v>
      </c>
      <c r="ER6" t="s">
        <v>2990</v>
      </c>
      <c r="ES6" t="s">
        <v>2981</v>
      </c>
      <c r="ET6" t="s">
        <v>2982</v>
      </c>
      <c r="EU6" t="s">
        <v>2981</v>
      </c>
      <c r="EV6" t="s">
        <v>2982</v>
      </c>
      <c r="EW6" t="s">
        <v>4134</v>
      </c>
      <c r="EX6" t="s">
        <v>4135</v>
      </c>
      <c r="EY6" t="s">
        <v>4134</v>
      </c>
      <c r="EZ6" t="s">
        <v>4135</v>
      </c>
    </row>
    <row r="7" spans="1:156">
      <c r="A7" s="24" t="s">
        <v>105</v>
      </c>
      <c r="B7" s="24" t="s">
        <v>964</v>
      </c>
      <c r="C7" s="24" t="str">
        <f t="shared" si="0"/>
        <v>_Úzký ALU rámeček_FREElight</v>
      </c>
      <c r="D7" t="s">
        <v>1056</v>
      </c>
      <c r="E7" t="s">
        <v>1333</v>
      </c>
      <c r="F7" t="s">
        <v>1058</v>
      </c>
      <c r="G7" t="s">
        <v>1334</v>
      </c>
      <c r="I7" t="s">
        <v>1061</v>
      </c>
      <c r="J7" t="s">
        <v>1337</v>
      </c>
      <c r="S7" s="23"/>
      <c r="V7" t="s">
        <v>1063</v>
      </c>
      <c r="W7" t="s">
        <v>1064</v>
      </c>
      <c r="X7" s="23"/>
      <c r="AF7" s="23"/>
      <c r="BQ7" s="7" t="s">
        <v>2442</v>
      </c>
      <c r="BR7" t="s">
        <v>984</v>
      </c>
      <c r="CG7" t="s">
        <v>2568</v>
      </c>
      <c r="CH7" t="s">
        <v>2569</v>
      </c>
      <c r="CI7" t="s">
        <v>2568</v>
      </c>
      <c r="CJ7" t="str">
        <f>CONCATENATE("blum ",'Translate&amp;Prices&amp;Logo'!B664," 12047")</f>
        <v>blum tlumený 12047</v>
      </c>
      <c r="CK7" t="s">
        <v>1058</v>
      </c>
      <c r="CL7" t="s">
        <v>1067</v>
      </c>
      <c r="CM7" t="s">
        <v>1058</v>
      </c>
      <c r="CN7" t="s">
        <v>1067</v>
      </c>
      <c r="CO7" t="s">
        <v>1058</v>
      </c>
      <c r="CP7" t="s">
        <v>1067</v>
      </c>
      <c r="CQ7" t="str">
        <f>CONCATENATE("blum ",'Translate&amp;Prices&amp;Logo'!B666," 12106")</f>
        <v>blum spodní 12106</v>
      </c>
      <c r="CR7" t="str">
        <f>CONCATENATE("blum ",'Translate&amp;Prices&amp;Logo'!B666," 12052")</f>
        <v>blum spodní 12052</v>
      </c>
      <c r="CS7" t="str">
        <f>CONCATENATE("blum ",'Translate&amp;Prices&amp;Logo'!B666," 12106")</f>
        <v>blum spodní 12106</v>
      </c>
      <c r="CT7" t="str">
        <f>CONCATENATE("blum ",'Translate&amp;Prices&amp;Logo'!B666," 12052")</f>
        <v>blum spodní 12052</v>
      </c>
      <c r="CU7" t="s">
        <v>1058</v>
      </c>
      <c r="CV7" t="s">
        <v>1067</v>
      </c>
      <c r="CW7" t="s">
        <v>4389</v>
      </c>
      <c r="CX7" t="s">
        <v>1086</v>
      </c>
      <c r="CY7" t="s">
        <v>1058</v>
      </c>
      <c r="CZ7" t="s">
        <v>1067</v>
      </c>
      <c r="DA7" t="s">
        <v>4389</v>
      </c>
      <c r="DB7" t="s">
        <v>1086</v>
      </c>
      <c r="DC7" t="str">
        <f>CONCATENATE("strong ",'Translate&amp;Prices&amp;Logo'!B666," 92584T")</f>
        <v>strong spodní 92584T</v>
      </c>
      <c r="DD7" t="str">
        <f>CONCATENATE("blum ",'Translate&amp;Prices&amp;Logo'!B666," 12052")</f>
        <v>blum spodní 12052</v>
      </c>
      <c r="DE7" t="str">
        <f>CONCATENATE("strong ",'Translate&amp;Prices&amp;Logo'!B666," 92584T")</f>
        <v>strong spodní 92584T</v>
      </c>
      <c r="DF7" t="str">
        <f>CONCATENATE("blum ",'Translate&amp;Prices&amp;Logo'!B666," 12052")</f>
        <v>blum spodní 12052</v>
      </c>
      <c r="DG7" t="s">
        <v>1058</v>
      </c>
      <c r="DH7" t="s">
        <v>1067</v>
      </c>
      <c r="DI7" t="s">
        <v>1058</v>
      </c>
      <c r="DJ7" t="s">
        <v>1067</v>
      </c>
      <c r="DK7" t="str">
        <f>CONCATENATE("strong ",'Translate&amp;Prices&amp;Logo'!B666," 92584T")</f>
        <v>strong spodní 92584T</v>
      </c>
      <c r="DL7" t="str">
        <f>CONCATENATE("blum ",'Translate&amp;Prices&amp;Logo'!B666," 12052")</f>
        <v>blum spodní 12052</v>
      </c>
      <c r="DM7" t="s">
        <v>1067</v>
      </c>
      <c r="DN7" t="s">
        <v>1058</v>
      </c>
      <c r="DO7" t="s">
        <v>1067</v>
      </c>
      <c r="DP7" t="s">
        <v>1058</v>
      </c>
      <c r="DQ7" t="s">
        <v>4390</v>
      </c>
      <c r="DR7" t="s">
        <v>2539</v>
      </c>
      <c r="DS7" t="s">
        <v>4390</v>
      </c>
      <c r="DT7" t="s">
        <v>2539</v>
      </c>
      <c r="DU7" t="s">
        <v>4391</v>
      </c>
      <c r="DV7" t="s">
        <v>3089</v>
      </c>
      <c r="DW7" t="s">
        <v>4391</v>
      </c>
      <c r="DX7" t="s">
        <v>3089</v>
      </c>
      <c r="DY7" t="s">
        <v>1058</v>
      </c>
      <c r="DZ7" t="s">
        <v>1067</v>
      </c>
      <c r="EA7" t="s">
        <v>1058</v>
      </c>
      <c r="EB7" t="s">
        <v>1067</v>
      </c>
      <c r="EC7" t="s">
        <v>1058</v>
      </c>
      <c r="ED7" t="s">
        <v>1067</v>
      </c>
      <c r="EE7" t="s">
        <v>1058</v>
      </c>
      <c r="EF7" t="s">
        <v>1067</v>
      </c>
      <c r="EG7" t="s">
        <v>4392</v>
      </c>
      <c r="EH7" t="s">
        <v>4101</v>
      </c>
      <c r="EI7" t="s">
        <v>4392</v>
      </c>
      <c r="EJ7" t="s">
        <v>4101</v>
      </c>
      <c r="EK7" t="s">
        <v>1058</v>
      </c>
      <c r="EL7" t="s">
        <v>1067</v>
      </c>
      <c r="EM7" t="s">
        <v>1058</v>
      </c>
      <c r="EN7" t="s">
        <v>1067</v>
      </c>
      <c r="EO7" t="s">
        <v>4393</v>
      </c>
      <c r="EP7" t="s">
        <v>2996</v>
      </c>
      <c r="EQ7" t="s">
        <v>4393</v>
      </c>
      <c r="ER7" t="s">
        <v>2996</v>
      </c>
      <c r="ES7" t="s">
        <v>1058</v>
      </c>
      <c r="ET7" t="s">
        <v>1067</v>
      </c>
      <c r="EU7" t="s">
        <v>1058</v>
      </c>
      <c r="EV7" t="s">
        <v>1067</v>
      </c>
      <c r="EW7" t="s">
        <v>4394</v>
      </c>
      <c r="EX7" t="s">
        <v>4136</v>
      </c>
      <c r="EY7" t="s">
        <v>4394</v>
      </c>
      <c r="EZ7" t="s">
        <v>4136</v>
      </c>
    </row>
    <row r="8" spans="1:156">
      <c r="A8" s="24" t="s">
        <v>106</v>
      </c>
      <c r="B8" s="24" t="s">
        <v>964</v>
      </c>
      <c r="C8" s="24" t="str">
        <f t="shared" si="0"/>
        <v>_Široký ALU rámeček_FREElight</v>
      </c>
      <c r="D8" t="s">
        <v>1065</v>
      </c>
      <c r="E8" t="s">
        <v>1338</v>
      </c>
      <c r="F8" t="s">
        <v>1067</v>
      </c>
      <c r="G8" t="s">
        <v>1339</v>
      </c>
      <c r="H8" t="s">
        <v>1069</v>
      </c>
      <c r="I8" t="s">
        <v>1340</v>
      </c>
      <c r="S8" s="23"/>
      <c r="V8" t="s">
        <v>1071</v>
      </c>
      <c r="W8" t="s">
        <v>1072</v>
      </c>
      <c r="X8" s="23"/>
      <c r="AF8" s="23"/>
      <c r="CG8" t="s">
        <v>2568</v>
      </c>
      <c r="CH8" t="s">
        <v>2569</v>
      </c>
      <c r="CI8" t="s">
        <v>2568</v>
      </c>
      <c r="CJ8" t="str">
        <f>CONCATENATE("blum ",'Translate&amp;Prices&amp;Logo'!B664," 12047")</f>
        <v>blum tlumený 12047</v>
      </c>
      <c r="CK8" t="s">
        <v>1061</v>
      </c>
      <c r="CL8" t="str">
        <f>CONCATENATE("blum ",'Translate&amp;Prices&amp;Logo'!B664," 12047")</f>
        <v>blum tlumený 12047</v>
      </c>
      <c r="CM8" t="s">
        <v>1061</v>
      </c>
      <c r="CN8" t="str">
        <f>CONCATENATE("blum ",'Translate&amp;Prices&amp;Logo'!B664," 12047")</f>
        <v>blum tlumený 12047</v>
      </c>
      <c r="CO8" t="s">
        <v>1061</v>
      </c>
      <c r="CP8" t="str">
        <f>CONCATENATE("blum ",'Translate&amp;Prices&amp;Logo'!B664," 12047")</f>
        <v>blum tlumený 12047</v>
      </c>
      <c r="CQ8" t="str">
        <f>CONCATENATE("strong ",'Translate&amp;Prices&amp;Logo'!B666," 92584T")</f>
        <v>strong spodní 92584T</v>
      </c>
      <c r="CR8" t="str">
        <f>CONCATENATE("blum ",'Translate&amp;Prices&amp;Logo'!B665," 12047")</f>
        <v>blum horní 12047</v>
      </c>
      <c r="CS8" t="str">
        <f>CONCATENATE("strong ",'Translate&amp;Prices&amp;Logo'!B666," 92584T")</f>
        <v>strong spodní 92584T</v>
      </c>
      <c r="CT8" t="str">
        <f>CONCATENATE("blum ",'Translate&amp;Prices&amp;Logo'!B665," 12047")</f>
        <v>blum horní 12047</v>
      </c>
      <c r="CU8" t="s">
        <v>1061</v>
      </c>
      <c r="CV8" t="str">
        <f>CONCATENATE("blum ",'Translate&amp;Prices&amp;Logo'!B664," 12047")</f>
        <v>blum tlumený 12047</v>
      </c>
      <c r="CW8" t="s">
        <v>4389</v>
      </c>
      <c r="CX8" t="s">
        <v>1088</v>
      </c>
      <c r="CY8" t="s">
        <v>1061</v>
      </c>
      <c r="CZ8" t="str">
        <f>CONCATENATE("blum ",'Translate&amp;Prices&amp;Logo'!B664," 12047")</f>
        <v>blum tlumený 12047</v>
      </c>
      <c r="DA8" t="s">
        <v>4389</v>
      </c>
      <c r="DB8" t="s">
        <v>1088</v>
      </c>
      <c r="DC8" t="str">
        <f>CONCATENATE("strong ",'Translate&amp;Prices&amp;Logo'!B666," 92584T")</f>
        <v>strong spodní 92584T</v>
      </c>
      <c r="DD8" t="str">
        <f>CONCATENATE("strong ",'Translate&amp;Prices&amp;Logo'!B666," 350834")</f>
        <v>strong spodní 350834</v>
      </c>
      <c r="DE8" t="str">
        <f>CONCATENATE("strong ",'Translate&amp;Prices&amp;Logo'!B666," 92584T")</f>
        <v>strong spodní 92584T</v>
      </c>
      <c r="DF8" t="str">
        <f>CONCATENATE("strong ",'Translate&amp;Prices&amp;Logo'!B666," 350834")</f>
        <v>strong spodní 350834</v>
      </c>
      <c r="DG8" t="s">
        <v>1061</v>
      </c>
      <c r="DH8" t="str">
        <f>CONCATENATE("blum ",'Translate&amp;Prices&amp;Logo'!B664," 12047")</f>
        <v>blum tlumený 12047</v>
      </c>
      <c r="DI8" t="s">
        <v>1061</v>
      </c>
      <c r="DJ8" t="str">
        <f>CONCATENATE("blum ",'Translate&amp;Prices&amp;Logo'!B664," 12047")</f>
        <v>blum tlumený 12047</v>
      </c>
      <c r="DK8" t="str">
        <f>CONCATENATE("strong ",'Translate&amp;Prices&amp;Logo'!B666," 92584T")</f>
        <v>strong spodní 92584T</v>
      </c>
      <c r="DL8" t="str">
        <f>CONCATENATE("strong ",'Translate&amp;Prices&amp;Logo'!B666," 350834")</f>
        <v>strong spodní 350834</v>
      </c>
      <c r="DM8" t="s">
        <v>4271</v>
      </c>
      <c r="DN8" t="s">
        <v>1061</v>
      </c>
      <c r="DO8" t="s">
        <v>4271</v>
      </c>
      <c r="DP8" t="s">
        <v>1061</v>
      </c>
      <c r="DR8" t="s">
        <v>2540</v>
      </c>
      <c r="DS8" t="s">
        <v>4390</v>
      </c>
      <c r="DT8" t="s">
        <v>2540</v>
      </c>
      <c r="DU8" t="s">
        <v>4391</v>
      </c>
      <c r="DV8" t="s">
        <v>3090</v>
      </c>
      <c r="DW8" t="s">
        <v>4391</v>
      </c>
      <c r="DX8" t="s">
        <v>3090</v>
      </c>
      <c r="DY8" t="s">
        <v>1061</v>
      </c>
      <c r="DZ8" t="s">
        <v>2545</v>
      </c>
      <c r="EA8" t="s">
        <v>1061</v>
      </c>
      <c r="EB8" t="s">
        <v>2545</v>
      </c>
      <c r="EC8" t="s">
        <v>1061</v>
      </c>
      <c r="ED8" t="s">
        <v>4102</v>
      </c>
      <c r="EE8" t="s">
        <v>1061</v>
      </c>
      <c r="EF8" t="s">
        <v>4102</v>
      </c>
      <c r="EG8" t="s">
        <v>4392</v>
      </c>
      <c r="EH8" t="s">
        <v>4103</v>
      </c>
      <c r="EI8" t="s">
        <v>4392</v>
      </c>
      <c r="EJ8" t="s">
        <v>4103</v>
      </c>
      <c r="EK8" t="s">
        <v>1061</v>
      </c>
      <c r="EL8" t="s">
        <v>2988</v>
      </c>
      <c r="EM8" t="s">
        <v>1061</v>
      </c>
      <c r="EN8" t="s">
        <v>2988</v>
      </c>
      <c r="EO8" t="s">
        <v>4393</v>
      </c>
      <c r="EP8" t="s">
        <v>2999</v>
      </c>
      <c r="EQ8" t="s">
        <v>4393</v>
      </c>
      <c r="ER8" t="s">
        <v>2999</v>
      </c>
      <c r="ES8" t="s">
        <v>1061</v>
      </c>
      <c r="ET8" t="s">
        <v>2980</v>
      </c>
      <c r="EU8" t="s">
        <v>1061</v>
      </c>
      <c r="EV8" t="s">
        <v>2980</v>
      </c>
      <c r="EW8" t="s">
        <v>4394</v>
      </c>
      <c r="EX8" t="s">
        <v>4137</v>
      </c>
      <c r="EY8" t="s">
        <v>4394</v>
      </c>
      <c r="EZ8" t="s">
        <v>4137</v>
      </c>
    </row>
    <row r="9" spans="1:156">
      <c r="A9" s="27" t="s">
        <v>105</v>
      </c>
      <c r="B9" s="27" t="s">
        <v>967</v>
      </c>
      <c r="C9" s="27" t="str">
        <f t="shared" si="0"/>
        <v>_Úzký ALU rámeček_FREEfold</v>
      </c>
      <c r="D9" t="s">
        <v>1056</v>
      </c>
      <c r="E9" t="s">
        <v>1333</v>
      </c>
      <c r="F9" t="s">
        <v>1058</v>
      </c>
      <c r="G9" t="s">
        <v>1334</v>
      </c>
      <c r="I9" t="s">
        <v>1061</v>
      </c>
      <c r="J9" t="s">
        <v>1337</v>
      </c>
      <c r="S9" s="23"/>
      <c r="V9" t="s">
        <v>1073</v>
      </c>
      <c r="W9" t="s">
        <v>1052</v>
      </c>
      <c r="X9" s="23"/>
      <c r="AF9" s="23"/>
      <c r="CG9" t="s">
        <v>2568</v>
      </c>
      <c r="CH9" t="s">
        <v>2569</v>
      </c>
      <c r="CI9" t="s">
        <v>2568</v>
      </c>
      <c r="CJ9" t="str">
        <f>CONCATENATE("blum ",'Translate&amp;Prices&amp;Logo'!B664," 12047")</f>
        <v>blum tlumený 12047</v>
      </c>
      <c r="CK9" t="str">
        <f>CONCATENATE("strong ",'Translate&amp;Prices&amp;Logo'!B664," 92584T")</f>
        <v>strong tlumený 92584T</v>
      </c>
      <c r="CL9" t="s">
        <v>1069</v>
      </c>
      <c r="CM9" t="str">
        <f>CONCATENATE("strong ",'Translate&amp;Prices&amp;Logo'!B664," 92584T")</f>
        <v>strong tlumený 92584T</v>
      </c>
      <c r="CN9" t="s">
        <v>1069</v>
      </c>
      <c r="CO9" t="str">
        <f>CONCATENATE("strong ",'Translate&amp;Prices&amp;Logo'!B664," 92584T")</f>
        <v>strong tlumený 92584T</v>
      </c>
      <c r="CP9" t="s">
        <v>1069</v>
      </c>
      <c r="CQ9" t="str">
        <f>CONCATENATE("strong ",'Translate&amp;Prices&amp;Logo'!B665," 92584T")</f>
        <v>strong horní 92584T</v>
      </c>
      <c r="CR9" t="str">
        <f>CONCATENATE("strong ",'Translate&amp;Prices&amp;Logo'!B666," 350834")</f>
        <v>strong spodní 350834</v>
      </c>
      <c r="CS9" t="str">
        <f>CONCATENATE("strong ",'Translate&amp;Prices&amp;Logo'!B665," 92584T")</f>
        <v>strong horní 92584T</v>
      </c>
      <c r="CT9" t="str">
        <f>CONCATENATE("strong ",'Translate&amp;Prices&amp;Logo'!B666," 350834")</f>
        <v>strong spodní 350834</v>
      </c>
      <c r="CU9" t="str">
        <f>CONCATENATE("strong ",'Translate&amp;Prices&amp;Logo'!B664," 92584T")</f>
        <v>strong tlumený 92584T</v>
      </c>
      <c r="CV9" t="s">
        <v>1069</v>
      </c>
      <c r="CW9" t="s">
        <v>4389</v>
      </c>
      <c r="CX9" t="s">
        <v>1088</v>
      </c>
      <c r="CY9" t="str">
        <f>CONCATENATE("strong ",'Translate&amp;Prices&amp;Logo'!B664," 92584T")</f>
        <v>strong tlumený 92584T</v>
      </c>
      <c r="CZ9" t="s">
        <v>1069</v>
      </c>
      <c r="DA9" t="s">
        <v>4389</v>
      </c>
      <c r="DB9" t="s">
        <v>1088</v>
      </c>
      <c r="DC9" t="str">
        <f>CONCATENATE("strong ",'Translate&amp;Prices&amp;Logo'!B666," 92584T")</f>
        <v>strong spodní 92584T</v>
      </c>
      <c r="DD9" t="str">
        <f>CONCATENATE("strong ",'Translate&amp;Prices&amp;Logo'!B666," 350834")</f>
        <v>strong spodní 350834</v>
      </c>
      <c r="DE9" t="str">
        <f>CONCATENATE("strong ",'Translate&amp;Prices&amp;Logo'!B666," 92584T")</f>
        <v>strong spodní 92584T</v>
      </c>
      <c r="DF9" t="str">
        <f>CONCATENATE("strong ",'Translate&amp;Prices&amp;Logo'!B666," 350834")</f>
        <v>strong spodní 350834</v>
      </c>
      <c r="DG9" t="s">
        <v>1337</v>
      </c>
      <c r="DH9" t="s">
        <v>1069</v>
      </c>
      <c r="DI9" t="str">
        <f>CONCATENATE("strong ",'Translate&amp;Prices&amp;Logo'!B664," 92584T")</f>
        <v>strong tlumený 92584T</v>
      </c>
      <c r="DJ9" t="s">
        <v>1069</v>
      </c>
      <c r="DK9" t="str">
        <f>CONCATENATE("strong ",'Translate&amp;Prices&amp;Logo'!B666," 92584T")</f>
        <v>strong spodní 92584T</v>
      </c>
      <c r="DL9" t="str">
        <f>CONCATENATE("strong ",'Translate&amp;Prices&amp;Logo'!B666," 350834")</f>
        <v>strong spodní 350834</v>
      </c>
      <c r="DM9" t="s">
        <v>1069</v>
      </c>
      <c r="DN9" t="s">
        <v>4273</v>
      </c>
      <c r="DO9" t="s">
        <v>1069</v>
      </c>
      <c r="DP9" t="s">
        <v>4273</v>
      </c>
      <c r="DR9" t="s">
        <v>2540</v>
      </c>
      <c r="DS9" t="s">
        <v>4390</v>
      </c>
      <c r="DT9" t="s">
        <v>2540</v>
      </c>
      <c r="DU9" t="s">
        <v>4391</v>
      </c>
      <c r="DV9" t="s">
        <v>3090</v>
      </c>
      <c r="DW9" t="s">
        <v>4391</v>
      </c>
      <c r="DX9" t="s">
        <v>3090</v>
      </c>
      <c r="DY9" t="s">
        <v>2543</v>
      </c>
      <c r="DZ9" t="s">
        <v>1069</v>
      </c>
      <c r="EA9" t="s">
        <v>2543</v>
      </c>
      <c r="EB9" t="s">
        <v>1069</v>
      </c>
      <c r="EC9" t="s">
        <v>4105</v>
      </c>
      <c r="ED9" t="s">
        <v>1069</v>
      </c>
      <c r="EE9" t="s">
        <v>4105</v>
      </c>
      <c r="EF9" t="s">
        <v>1069</v>
      </c>
      <c r="EG9" t="s">
        <v>4392</v>
      </c>
      <c r="EH9" t="s">
        <v>4103</v>
      </c>
      <c r="EI9" t="s">
        <v>4392</v>
      </c>
      <c r="EJ9" t="s">
        <v>4103</v>
      </c>
      <c r="EK9" t="s">
        <v>3002</v>
      </c>
      <c r="EL9" t="s">
        <v>1069</v>
      </c>
      <c r="EM9" t="s">
        <v>3002</v>
      </c>
      <c r="EN9" t="s">
        <v>1069</v>
      </c>
      <c r="EO9" t="s">
        <v>4393</v>
      </c>
      <c r="EP9" t="s">
        <v>2999</v>
      </c>
      <c r="EQ9" t="s">
        <v>4393</v>
      </c>
      <c r="ER9" t="s">
        <v>2999</v>
      </c>
      <c r="ES9" t="s">
        <v>2984</v>
      </c>
      <c r="ET9" t="s">
        <v>1069</v>
      </c>
      <c r="EU9" t="s">
        <v>2984</v>
      </c>
      <c r="EV9" t="s">
        <v>1069</v>
      </c>
      <c r="EW9" t="s">
        <v>4394</v>
      </c>
      <c r="EX9" t="s">
        <v>4137</v>
      </c>
      <c r="EY9" t="s">
        <v>4394</v>
      </c>
      <c r="EZ9" t="s">
        <v>4137</v>
      </c>
    </row>
    <row r="10" spans="1:156">
      <c r="A10" s="27" t="s">
        <v>106</v>
      </c>
      <c r="B10" s="27" t="s">
        <v>967</v>
      </c>
      <c r="C10" s="27" t="str">
        <f t="shared" si="0"/>
        <v>_Široký ALU rámeček_FREEfold</v>
      </c>
      <c r="D10" t="s">
        <v>1065</v>
      </c>
      <c r="E10" t="s">
        <v>1338</v>
      </c>
      <c r="F10" t="s">
        <v>1067</v>
      </c>
      <c r="G10" t="s">
        <v>1339</v>
      </c>
      <c r="H10" t="s">
        <v>1069</v>
      </c>
      <c r="I10" t="s">
        <v>1340</v>
      </c>
      <c r="S10" s="23"/>
      <c r="W10" t="s">
        <v>1074</v>
      </c>
      <c r="X10" s="23"/>
      <c r="AF10" s="23"/>
      <c r="CG10" t="s">
        <v>2568</v>
      </c>
      <c r="CH10" t="s">
        <v>2569</v>
      </c>
      <c r="CI10" t="s">
        <v>2568</v>
      </c>
      <c r="CJ10" t="str">
        <f>CONCATENATE("blum ",'Translate&amp;Prices&amp;Logo'!B664," 12047")</f>
        <v>blum tlumený 12047</v>
      </c>
      <c r="CK10" t="str">
        <f>CONCATENATE("strong ",'Translate&amp;Prices&amp;Logo'!B664," 92584T")</f>
        <v>strong tlumený 92584T</v>
      </c>
      <c r="CL10" t="str">
        <f>CONCATENATE("strong ",'Translate&amp;Prices&amp;Logo'!B664," 350827")</f>
        <v>strong tlumený 350827</v>
      </c>
      <c r="CM10" t="str">
        <f>CONCATENATE("strong ",'Translate&amp;Prices&amp;Logo'!B664," 92584T")</f>
        <v>strong tlumený 92584T</v>
      </c>
      <c r="CN10" t="str">
        <f>CONCATENATE("strong ",'Translate&amp;Prices&amp;Logo'!B664," 350827")</f>
        <v>strong tlumený 350827</v>
      </c>
      <c r="CO10" t="str">
        <f>CONCATENATE("strong ",'Translate&amp;Prices&amp;Logo'!B664," 92584T")</f>
        <v>strong tlumený 92584T</v>
      </c>
      <c r="CP10" t="str">
        <f>CONCATENATE("strong ",'Translate&amp;Prices&amp;Logo'!B664," 350827")</f>
        <v>strong tlumený 350827</v>
      </c>
      <c r="CQ10" t="str">
        <f>CONCATENATE("strong ",'Translate&amp;Prices&amp;Logo'!B665," 92584T")</f>
        <v>strong horní 92584T</v>
      </c>
      <c r="CR10" t="str">
        <f>CONCATENATE("strong ",'Translate&amp;Prices&amp;Logo'!B665," 350827")</f>
        <v>strong horní 350827</v>
      </c>
      <c r="CS10" t="str">
        <f>CONCATENATE("strong ",'Translate&amp;Prices&amp;Logo'!B665," 92584T")</f>
        <v>strong horní 92584T</v>
      </c>
      <c r="CT10" t="str">
        <f>CONCATENATE("strong ",'Translate&amp;Prices&amp;Logo'!B665," 350827")</f>
        <v>strong horní 350827</v>
      </c>
      <c r="CU10" t="str">
        <f>CONCATENATE("strong ",'Translate&amp;Prices&amp;Logo'!B664," 92584T")</f>
        <v>strong tlumený 92584T</v>
      </c>
      <c r="CV10" t="str">
        <f>CONCATENATE("strong ",'Translate&amp;Prices&amp;Logo'!B664," 350827")</f>
        <v>strong tlumený 350827</v>
      </c>
      <c r="CW10" t="s">
        <v>4389</v>
      </c>
      <c r="CX10" t="s">
        <v>1088</v>
      </c>
      <c r="CY10" t="str">
        <f>CONCATENATE("strong ",'Translate&amp;Prices&amp;Logo'!B664," 92584T")</f>
        <v>strong tlumený 92584T</v>
      </c>
      <c r="CZ10" t="str">
        <f>CONCATENATE("strong ",'Translate&amp;Prices&amp;Logo'!B664," 350827")</f>
        <v>strong tlumený 350827</v>
      </c>
      <c r="DA10" t="s">
        <v>4389</v>
      </c>
      <c r="DB10" t="s">
        <v>1088</v>
      </c>
      <c r="DC10" t="str">
        <f>CONCATENATE("strong ",'Translate&amp;Prices&amp;Logo'!B666," 92584T")</f>
        <v>strong spodní 92584T</v>
      </c>
      <c r="DD10" t="str">
        <f>CONCATENATE("strong ",'Translate&amp;Prices&amp;Logo'!B666," 350834")</f>
        <v>strong spodní 350834</v>
      </c>
      <c r="DE10" t="str">
        <f>CONCATENATE("strong ",'Translate&amp;Prices&amp;Logo'!B666," 92584T")</f>
        <v>strong spodní 92584T</v>
      </c>
      <c r="DF10" t="str">
        <f>CONCATENATE("strong ",'Translate&amp;Prices&amp;Logo'!B666," 350834")</f>
        <v>strong spodní 350834</v>
      </c>
      <c r="DG10" t="s">
        <v>1337</v>
      </c>
      <c r="DH10" t="str">
        <f>CONCATENATE("strong ",'Translate&amp;Prices&amp;Logo'!B664," 350827")</f>
        <v>strong tlumený 350827</v>
      </c>
      <c r="DI10" t="str">
        <f>CONCATENATE("strong ",'Translate&amp;Prices&amp;Logo'!B664," 92584T")</f>
        <v>strong tlumený 92584T</v>
      </c>
      <c r="DJ10" t="str">
        <f>CONCATENATE("strong ",'Translate&amp;Prices&amp;Logo'!B664," 350827")</f>
        <v>strong tlumený 350827</v>
      </c>
      <c r="DK10" t="str">
        <f>CONCATENATE("strong ",'Translate&amp;Prices&amp;Logo'!B666," 92584T")</f>
        <v>strong spodní 92584T</v>
      </c>
      <c r="DL10" t="str">
        <f>CONCATENATE("strong ",'Translate&amp;Prices&amp;Logo'!B666," 350834")</f>
        <v>strong spodní 350834</v>
      </c>
      <c r="DM10" t="s">
        <v>4272</v>
      </c>
      <c r="DN10" t="s">
        <v>4273</v>
      </c>
      <c r="DO10" t="s">
        <v>4272</v>
      </c>
      <c r="DP10" t="s">
        <v>4273</v>
      </c>
      <c r="DR10" t="s">
        <v>2540</v>
      </c>
      <c r="DS10" t="s">
        <v>4390</v>
      </c>
      <c r="DT10" t="s">
        <v>2540</v>
      </c>
      <c r="DU10" t="s">
        <v>4391</v>
      </c>
      <c r="DV10" t="s">
        <v>3090</v>
      </c>
      <c r="DW10" t="s">
        <v>4391</v>
      </c>
      <c r="DX10" t="s">
        <v>3090</v>
      </c>
      <c r="DY10" t="s">
        <v>2543</v>
      </c>
      <c r="DZ10" t="s">
        <v>2546</v>
      </c>
      <c r="EA10" t="s">
        <v>2543</v>
      </c>
      <c r="EB10" t="s">
        <v>2546</v>
      </c>
      <c r="EC10" t="s">
        <v>4105</v>
      </c>
      <c r="ED10" t="s">
        <v>4106</v>
      </c>
      <c r="EE10" t="s">
        <v>4105</v>
      </c>
      <c r="EF10" t="s">
        <v>4106</v>
      </c>
      <c r="EG10" t="s">
        <v>4392</v>
      </c>
      <c r="EH10" t="s">
        <v>4103</v>
      </c>
      <c r="EI10" t="s">
        <v>4392</v>
      </c>
      <c r="EJ10" t="s">
        <v>4103</v>
      </c>
      <c r="EK10" t="s">
        <v>3002</v>
      </c>
      <c r="EL10" t="s">
        <v>3003</v>
      </c>
      <c r="EM10" t="s">
        <v>3002</v>
      </c>
      <c r="EN10" t="s">
        <v>3003</v>
      </c>
      <c r="EO10" t="s">
        <v>4393</v>
      </c>
      <c r="EP10" t="s">
        <v>2999</v>
      </c>
      <c r="EQ10" t="s">
        <v>4393</v>
      </c>
      <c r="ER10" t="s">
        <v>2999</v>
      </c>
      <c r="ES10" t="s">
        <v>2984</v>
      </c>
      <c r="ET10" t="s">
        <v>2985</v>
      </c>
      <c r="EU10" t="s">
        <v>2984</v>
      </c>
      <c r="EV10" t="s">
        <v>2985</v>
      </c>
      <c r="EW10" t="s">
        <v>4394</v>
      </c>
      <c r="EX10" t="s">
        <v>4137</v>
      </c>
      <c r="EY10" t="s">
        <v>4394</v>
      </c>
      <c r="EZ10" t="s">
        <v>4137</v>
      </c>
    </row>
    <row r="11" spans="1:156">
      <c r="A11" s="24" t="s">
        <v>105</v>
      </c>
      <c r="B11" s="24" t="s">
        <v>974</v>
      </c>
      <c r="C11" s="24" t="str">
        <f t="shared" si="0"/>
        <v>_Úzký ALU rámeček_Maxi</v>
      </c>
      <c r="D11" t="s">
        <v>1056</v>
      </c>
      <c r="E11" t="s">
        <v>1333</v>
      </c>
      <c r="F11" t="s">
        <v>1058</v>
      </c>
      <c r="G11" t="s">
        <v>1334</v>
      </c>
      <c r="I11" t="s">
        <v>1061</v>
      </c>
      <c r="J11" t="s">
        <v>1337</v>
      </c>
      <c r="S11" s="23"/>
      <c r="W11" t="s">
        <v>1075</v>
      </c>
      <c r="X11" s="23"/>
      <c r="AF11" s="23"/>
    </row>
    <row r="12" spans="1:156">
      <c r="A12" s="24" t="s">
        <v>106</v>
      </c>
      <c r="B12" s="24" t="s">
        <v>974</v>
      </c>
      <c r="C12" s="24" t="str">
        <f t="shared" si="0"/>
        <v>_Široký ALU rámeček_Maxi</v>
      </c>
      <c r="D12" t="s">
        <v>1065</v>
      </c>
      <c r="E12" t="s">
        <v>1338</v>
      </c>
      <c r="F12" t="s">
        <v>1067</v>
      </c>
      <c r="G12" t="s">
        <v>1339</v>
      </c>
      <c r="H12" t="s">
        <v>1069</v>
      </c>
      <c r="I12" t="s">
        <v>1340</v>
      </c>
      <c r="S12" s="23"/>
      <c r="T12">
        <v>2</v>
      </c>
      <c r="U12" t="s">
        <v>2</v>
      </c>
      <c r="V12" t="s">
        <v>1039</v>
      </c>
      <c r="W12" t="s">
        <v>1040</v>
      </c>
      <c r="X12" s="23"/>
      <c r="AF12" s="23"/>
    </row>
    <row r="13" spans="1:156">
      <c r="A13" s="27" t="s">
        <v>105</v>
      </c>
      <c r="B13" s="27" t="s">
        <v>972</v>
      </c>
      <c r="C13" s="27" t="str">
        <f t="shared" si="0"/>
        <v>_Úzký ALU rámeček_Duo Forte</v>
      </c>
      <c r="D13" t="s">
        <v>1076</v>
      </c>
      <c r="E13" t="s">
        <v>1077</v>
      </c>
      <c r="F13" t="s">
        <v>1078</v>
      </c>
      <c r="G13" t="s">
        <v>1079</v>
      </c>
      <c r="I13" t="s">
        <v>4389</v>
      </c>
      <c r="J13" t="s">
        <v>1083</v>
      </c>
      <c r="S13" s="23"/>
      <c r="V13" t="s">
        <v>1046</v>
      </c>
      <c r="W13" t="s">
        <v>1047</v>
      </c>
      <c r="X13" s="23"/>
      <c r="AF13" s="23"/>
    </row>
    <row r="14" spans="1:156">
      <c r="A14" s="27" t="s">
        <v>106</v>
      </c>
      <c r="B14" s="27" t="s">
        <v>972</v>
      </c>
      <c r="C14" s="27" t="str">
        <f t="shared" si="0"/>
        <v>_Široký ALU rámeček_Duo Forte</v>
      </c>
      <c r="D14" t="s">
        <v>1084</v>
      </c>
      <c r="E14" t="s">
        <v>1085</v>
      </c>
      <c r="F14" t="s">
        <v>1086</v>
      </c>
      <c r="G14" t="s">
        <v>1087</v>
      </c>
      <c r="H14" t="s">
        <v>1088</v>
      </c>
      <c r="I14" t="s">
        <v>1089</v>
      </c>
      <c r="S14" s="23"/>
      <c r="V14" t="s">
        <v>1051</v>
      </c>
      <c r="W14" t="s">
        <v>1052</v>
      </c>
      <c r="X14" s="23"/>
      <c r="AF14" s="23"/>
    </row>
    <row r="15" spans="1:156">
      <c r="A15" s="24" t="s">
        <v>105</v>
      </c>
      <c r="B15" s="24" t="s">
        <v>969</v>
      </c>
      <c r="C15" s="24" t="str">
        <f t="shared" si="0"/>
        <v>_Úzký ALU rámeček_Duo</v>
      </c>
      <c r="D15" t="s">
        <v>1076</v>
      </c>
      <c r="E15" t="s">
        <v>1077</v>
      </c>
      <c r="F15" t="s">
        <v>1078</v>
      </c>
      <c r="G15" t="s">
        <v>1079</v>
      </c>
      <c r="I15" t="s">
        <v>4389</v>
      </c>
      <c r="J15" t="s">
        <v>1083</v>
      </c>
      <c r="S15" s="23"/>
      <c r="V15" t="s">
        <v>1052</v>
      </c>
      <c r="W15" t="s">
        <v>1055</v>
      </c>
      <c r="X15" s="23"/>
      <c r="AF15" s="23"/>
    </row>
    <row r="16" spans="1:156">
      <c r="A16" s="24" t="s">
        <v>106</v>
      </c>
      <c r="B16" s="24" t="s">
        <v>969</v>
      </c>
      <c r="C16" s="24" t="str">
        <f t="shared" si="0"/>
        <v>_Široký ALU rámeček_Duo</v>
      </c>
      <c r="D16" t="s">
        <v>1084</v>
      </c>
      <c r="E16" t="s">
        <v>1085</v>
      </c>
      <c r="F16" t="s">
        <v>1086</v>
      </c>
      <c r="G16" t="s">
        <v>1087</v>
      </c>
      <c r="H16" t="s">
        <v>1088</v>
      </c>
      <c r="I16" t="s">
        <v>1089</v>
      </c>
      <c r="S16" s="23"/>
      <c r="V16" t="s">
        <v>1063</v>
      </c>
      <c r="W16" t="s">
        <v>1064</v>
      </c>
      <c r="X16" s="23"/>
      <c r="AF16" s="23"/>
    </row>
    <row r="17" spans="1:32">
      <c r="A17" s="27" t="s">
        <v>105</v>
      </c>
      <c r="B17" s="27" t="s">
        <v>975</v>
      </c>
      <c r="C17" s="27" t="str">
        <f t="shared" si="0"/>
        <v>_Úzký ALU rámeček_K12</v>
      </c>
      <c r="D17" t="s">
        <v>1056</v>
      </c>
      <c r="E17" t="s">
        <v>1333</v>
      </c>
      <c r="F17" t="s">
        <v>1058</v>
      </c>
      <c r="G17" t="s">
        <v>1334</v>
      </c>
      <c r="I17" t="s">
        <v>1061</v>
      </c>
      <c r="J17" t="s">
        <v>1337</v>
      </c>
      <c r="S17" s="23"/>
      <c r="V17" t="s">
        <v>1071</v>
      </c>
      <c r="W17" t="s">
        <v>1072</v>
      </c>
      <c r="X17" s="23"/>
      <c r="AF17" s="23"/>
    </row>
    <row r="18" spans="1:32">
      <c r="A18" s="27" t="s">
        <v>106</v>
      </c>
      <c r="B18" s="27" t="s">
        <v>975</v>
      </c>
      <c r="C18" s="27" t="str">
        <f t="shared" si="0"/>
        <v>_Široký ALU rámeček_K12</v>
      </c>
      <c r="D18" t="s">
        <v>1065</v>
      </c>
      <c r="E18" t="s">
        <v>1338</v>
      </c>
      <c r="F18" t="s">
        <v>1067</v>
      </c>
      <c r="G18" t="s">
        <v>1339</v>
      </c>
      <c r="H18" t="s">
        <v>1069</v>
      </c>
      <c r="I18" t="s">
        <v>1340</v>
      </c>
      <c r="S18" s="23"/>
      <c r="V18" t="s">
        <v>1073</v>
      </c>
      <c r="W18" t="s">
        <v>1052</v>
      </c>
      <c r="X18" s="23"/>
      <c r="AF18" s="23"/>
    </row>
    <row r="19" spans="1:32">
      <c r="A19" s="24" t="s">
        <v>105</v>
      </c>
      <c r="B19" s="24" t="s">
        <v>977</v>
      </c>
      <c r="C19" s="24" t="str">
        <f t="shared" si="0"/>
        <v>_Úzký ALU rámeček_Spodní K12</v>
      </c>
      <c r="D19" t="s">
        <v>1076</v>
      </c>
      <c r="E19" t="s">
        <v>1078</v>
      </c>
      <c r="F19" t="s">
        <v>4389</v>
      </c>
      <c r="S19" s="23"/>
      <c r="W19" t="s">
        <v>1074</v>
      </c>
      <c r="X19" s="23"/>
      <c r="AF19" s="23"/>
    </row>
    <row r="20" spans="1:32">
      <c r="A20" s="24" t="s">
        <v>106</v>
      </c>
      <c r="B20" s="24" t="s">
        <v>977</v>
      </c>
      <c r="C20" s="24" t="str">
        <f t="shared" si="0"/>
        <v>_Široký ALU rámeček_Spodní K12</v>
      </c>
      <c r="D20" t="s">
        <v>1090</v>
      </c>
      <c r="E20" t="s">
        <v>1084</v>
      </c>
      <c r="F20" t="s">
        <v>1086</v>
      </c>
      <c r="G20" t="s">
        <v>1088</v>
      </c>
      <c r="S20" s="23"/>
      <c r="W20" t="s">
        <v>1075</v>
      </c>
      <c r="X20" s="23"/>
      <c r="AF20" s="23"/>
    </row>
    <row r="21" spans="1:32">
      <c r="A21" s="27" t="s">
        <v>105</v>
      </c>
      <c r="B21" s="27" t="s">
        <v>978</v>
      </c>
      <c r="C21" s="27" t="str">
        <f t="shared" si="0"/>
        <v>_Úzký ALU rámeček_Kraby</v>
      </c>
      <c r="D21" t="s">
        <v>1056</v>
      </c>
      <c r="E21" t="s">
        <v>1333</v>
      </c>
      <c r="F21" t="s">
        <v>1058</v>
      </c>
      <c r="G21" t="s">
        <v>1334</v>
      </c>
      <c r="I21" t="s">
        <v>1061</v>
      </c>
      <c r="J21" t="s">
        <v>1337</v>
      </c>
      <c r="S21" s="23"/>
      <c r="T21">
        <v>1</v>
      </c>
      <c r="U21" t="s">
        <v>567</v>
      </c>
      <c r="V21" t="s">
        <v>1039</v>
      </c>
      <c r="W21" t="s">
        <v>1040</v>
      </c>
      <c r="X21" s="23"/>
      <c r="AF21" s="23"/>
    </row>
    <row r="22" spans="1:32">
      <c r="A22" s="27" t="s">
        <v>106</v>
      </c>
      <c r="B22" s="27" t="s">
        <v>978</v>
      </c>
      <c r="C22" s="27" t="str">
        <f t="shared" si="0"/>
        <v>_Široký ALU rámeček_Kraby</v>
      </c>
      <c r="D22" t="s">
        <v>1065</v>
      </c>
      <c r="E22" t="s">
        <v>1338</v>
      </c>
      <c r="F22" t="s">
        <v>1067</v>
      </c>
      <c r="G22" t="s">
        <v>1339</v>
      </c>
      <c r="H22" t="s">
        <v>1069</v>
      </c>
      <c r="I22" t="s">
        <v>1340</v>
      </c>
      <c r="S22" s="23"/>
      <c r="V22" t="s">
        <v>1046</v>
      </c>
      <c r="W22" t="s">
        <v>1047</v>
      </c>
      <c r="X22" s="23"/>
      <c r="AF22" s="23"/>
    </row>
    <row r="23" spans="1:32">
      <c r="A23" s="24" t="s">
        <v>105</v>
      </c>
      <c r="B23" s="24" t="s">
        <v>979</v>
      </c>
      <c r="C23" s="24" t="str">
        <f t="shared" si="0"/>
        <v>_Úzký ALU rámeček_Spodní Kraby</v>
      </c>
      <c r="D23" t="s">
        <v>1076</v>
      </c>
      <c r="E23" t="s">
        <v>1078</v>
      </c>
      <c r="F23" t="s">
        <v>4389</v>
      </c>
      <c r="S23" s="23"/>
      <c r="V23" t="s">
        <v>1051</v>
      </c>
      <c r="W23" t="s">
        <v>1052</v>
      </c>
      <c r="X23" s="23"/>
      <c r="AF23" s="23"/>
    </row>
    <row r="24" spans="1:32">
      <c r="A24" s="24" t="s">
        <v>106</v>
      </c>
      <c r="B24" s="24" t="s">
        <v>979</v>
      </c>
      <c r="C24" s="24" t="str">
        <f t="shared" si="0"/>
        <v>_Široký ALU rámeček_Spodní Kraby</v>
      </c>
      <c r="D24" t="s">
        <v>1090</v>
      </c>
      <c r="E24" t="s">
        <v>1084</v>
      </c>
      <c r="F24" t="s">
        <v>1086</v>
      </c>
      <c r="G24" t="s">
        <v>1088</v>
      </c>
      <c r="S24" s="23"/>
      <c r="V24" t="s">
        <v>1052</v>
      </c>
      <c r="W24" t="s">
        <v>1055</v>
      </c>
      <c r="X24" s="23"/>
      <c r="AF24" s="23"/>
    </row>
    <row r="25" spans="1:32">
      <c r="A25" s="27" t="s">
        <v>105</v>
      </c>
      <c r="B25" s="27" t="s">
        <v>980</v>
      </c>
      <c r="C25" s="27" t="str">
        <f t="shared" si="0"/>
        <v>_Úzký ALU rámeček_Kiaro</v>
      </c>
      <c r="D25" t="s">
        <v>1076</v>
      </c>
      <c r="E25" t="s">
        <v>1078</v>
      </c>
      <c r="F25" t="s">
        <v>4389</v>
      </c>
      <c r="S25" s="23"/>
      <c r="V25" t="s">
        <v>1063</v>
      </c>
      <c r="W25" t="s">
        <v>1064</v>
      </c>
      <c r="X25" s="23"/>
      <c r="AF25" s="23"/>
    </row>
    <row r="26" spans="1:32">
      <c r="A26" s="27" t="s">
        <v>106</v>
      </c>
      <c r="B26" s="27" t="s">
        <v>980</v>
      </c>
      <c r="C26" s="27" t="str">
        <f t="shared" si="0"/>
        <v>_Široký ALU rámeček_Kiaro</v>
      </c>
      <c r="D26" t="s">
        <v>1090</v>
      </c>
      <c r="E26" t="s">
        <v>1084</v>
      </c>
      <c r="F26" t="s">
        <v>1086</v>
      </c>
      <c r="G26" t="s">
        <v>1088</v>
      </c>
      <c r="S26" s="23"/>
      <c r="V26" t="s">
        <v>1071</v>
      </c>
      <c r="W26" t="s">
        <v>1072</v>
      </c>
      <c r="X26" s="23"/>
      <c r="AF26" s="23"/>
    </row>
    <row r="27" spans="1:32">
      <c r="A27" s="24" t="s">
        <v>105</v>
      </c>
      <c r="B27" s="24" t="s">
        <v>981</v>
      </c>
      <c r="C27" s="24" t="str">
        <f t="shared" si="0"/>
        <v>_Úzký ALU rámeček_Link</v>
      </c>
      <c r="D27" t="s">
        <v>1076</v>
      </c>
      <c r="E27" t="s">
        <v>1078</v>
      </c>
      <c r="F27" t="s">
        <v>4389</v>
      </c>
      <c r="S27" s="23"/>
      <c r="V27" t="s">
        <v>1073</v>
      </c>
      <c r="W27" t="s">
        <v>1052</v>
      </c>
      <c r="X27" s="23"/>
      <c r="AF27" s="23"/>
    </row>
    <row r="28" spans="1:32">
      <c r="A28" s="24" t="s">
        <v>106</v>
      </c>
      <c r="B28" s="24" t="s">
        <v>981</v>
      </c>
      <c r="C28" s="24" t="str">
        <f t="shared" si="0"/>
        <v>_Široký ALU rámeček_Link</v>
      </c>
      <c r="D28" t="s">
        <v>1090</v>
      </c>
      <c r="E28" t="s">
        <v>1084</v>
      </c>
      <c r="F28" t="s">
        <v>1086</v>
      </c>
      <c r="G28" t="s">
        <v>1088</v>
      </c>
      <c r="S28" s="23"/>
      <c r="W28" t="s">
        <v>1074</v>
      </c>
      <c r="X28" s="23"/>
      <c r="AF28" s="23"/>
    </row>
    <row r="29" spans="1:32">
      <c r="A29" s="27" t="s">
        <v>105</v>
      </c>
      <c r="B29" s="27" t="s">
        <v>982</v>
      </c>
      <c r="C29" s="27" t="str">
        <f t="shared" si="0"/>
        <v>_Úzký ALU rámeček_Automatická vzpěra</v>
      </c>
      <c r="D29" t="s">
        <v>1056</v>
      </c>
      <c r="E29" t="s">
        <v>1333</v>
      </c>
      <c r="F29" t="s">
        <v>1058</v>
      </c>
      <c r="G29" t="s">
        <v>1334</v>
      </c>
      <c r="I29" t="s">
        <v>1061</v>
      </c>
      <c r="J29" t="s">
        <v>1337</v>
      </c>
      <c r="S29" s="23"/>
      <c r="W29" t="s">
        <v>1075</v>
      </c>
      <c r="X29" s="23"/>
      <c r="AF29" s="23"/>
    </row>
    <row r="30" spans="1:32">
      <c r="A30" s="27" t="s">
        <v>106</v>
      </c>
      <c r="B30" s="27" t="s">
        <v>982</v>
      </c>
      <c r="C30" s="27" t="str">
        <f t="shared" si="0"/>
        <v>_Široký ALU rámeček_Automatická vzpěra</v>
      </c>
      <c r="D30" t="s">
        <v>1065</v>
      </c>
      <c r="E30" t="s">
        <v>1338</v>
      </c>
      <c r="F30" t="s">
        <v>1067</v>
      </c>
      <c r="G30" t="s">
        <v>1339</v>
      </c>
      <c r="H30" t="s">
        <v>1069</v>
      </c>
      <c r="I30" t="s">
        <v>1340</v>
      </c>
      <c r="S30" s="23"/>
      <c r="T30">
        <v>2</v>
      </c>
      <c r="U30" t="s">
        <v>567</v>
      </c>
      <c r="V30" t="s">
        <v>1039</v>
      </c>
      <c r="W30" t="s">
        <v>1040</v>
      </c>
      <c r="X30" s="23"/>
      <c r="AF30" s="23"/>
    </row>
    <row r="31" spans="1:32">
      <c r="A31" s="24" t="s">
        <v>105</v>
      </c>
      <c r="B31" s="24" t="s">
        <v>983</v>
      </c>
      <c r="C31" s="24" t="str">
        <f t="shared" si="0"/>
        <v>_Úzký ALU rámeček_Polohovací vzpěra</v>
      </c>
      <c r="D31" t="s">
        <v>1056</v>
      </c>
      <c r="E31" t="s">
        <v>1333</v>
      </c>
      <c r="F31" t="s">
        <v>1058</v>
      </c>
      <c r="G31" t="s">
        <v>1334</v>
      </c>
      <c r="I31" t="s">
        <v>1061</v>
      </c>
      <c r="J31" t="s">
        <v>1337</v>
      </c>
      <c r="S31" s="23"/>
      <c r="V31" t="s">
        <v>1046</v>
      </c>
      <c r="W31" t="s">
        <v>1047</v>
      </c>
      <c r="X31" s="23"/>
      <c r="AF31" s="23"/>
    </row>
    <row r="32" spans="1:32">
      <c r="A32" s="24" t="s">
        <v>106</v>
      </c>
      <c r="B32" s="24" t="s">
        <v>983</v>
      </c>
      <c r="C32" s="24" t="str">
        <f t="shared" si="0"/>
        <v>_Široký ALU rámeček_Polohovací vzpěra</v>
      </c>
      <c r="D32" t="s">
        <v>1065</v>
      </c>
      <c r="E32" t="s">
        <v>1338</v>
      </c>
      <c r="F32" t="s">
        <v>1067</v>
      </c>
      <c r="G32" t="s">
        <v>1339</v>
      </c>
      <c r="H32" t="s">
        <v>1069</v>
      </c>
      <c r="I32" t="s">
        <v>1340</v>
      </c>
      <c r="S32" s="23"/>
      <c r="V32" t="s">
        <v>1051</v>
      </c>
      <c r="W32" t="s">
        <v>1052</v>
      </c>
      <c r="X32" s="23"/>
      <c r="AF32" s="23"/>
    </row>
    <row r="33" spans="1:32">
      <c r="A33" s="27" t="s">
        <v>105</v>
      </c>
      <c r="B33" s="27" t="s">
        <v>985</v>
      </c>
      <c r="C33" s="27" t="str">
        <f t="shared" si="0"/>
        <v>_Úzký ALU rámeček_LiftMini</v>
      </c>
      <c r="D33" t="s">
        <v>1076</v>
      </c>
      <c r="E33" t="s">
        <v>1078</v>
      </c>
      <c r="F33" t="s">
        <v>4389</v>
      </c>
      <c r="S33" s="23"/>
      <c r="V33" t="s">
        <v>1052</v>
      </c>
      <c r="W33" t="s">
        <v>1055</v>
      </c>
      <c r="X33" s="23"/>
      <c r="AF33" s="23"/>
    </row>
    <row r="34" spans="1:32">
      <c r="A34" s="27" t="s">
        <v>106</v>
      </c>
      <c r="B34" s="27" t="s">
        <v>985</v>
      </c>
      <c r="C34" s="27" t="str">
        <f t="shared" si="0"/>
        <v>_Široký ALU rámeček_LiftMini</v>
      </c>
      <c r="D34" t="s">
        <v>1090</v>
      </c>
      <c r="E34" t="s">
        <v>1084</v>
      </c>
      <c r="F34" t="s">
        <v>1086</v>
      </c>
      <c r="G34" t="s">
        <v>1088</v>
      </c>
      <c r="S34" s="23"/>
      <c r="V34" t="s">
        <v>1063</v>
      </c>
      <c r="W34" t="s">
        <v>1064</v>
      </c>
      <c r="X34" s="23"/>
      <c r="AF34" s="23"/>
    </row>
    <row r="35" spans="1:32">
      <c r="V35" t="s">
        <v>1071</v>
      </c>
      <c r="W35" t="s">
        <v>1072</v>
      </c>
    </row>
    <row r="36" spans="1:32">
      <c r="A36" t="s">
        <v>1091</v>
      </c>
      <c r="V36" t="s">
        <v>1073</v>
      </c>
      <c r="W36" t="s">
        <v>1052</v>
      </c>
    </row>
    <row r="37" spans="1:32">
      <c r="A37" t="s">
        <v>1092</v>
      </c>
      <c r="W37" t="s">
        <v>1074</v>
      </c>
    </row>
    <row r="38" spans="1:32">
      <c r="W38" t="s">
        <v>1075</v>
      </c>
    </row>
    <row r="39" spans="1:32">
      <c r="T39">
        <v>1</v>
      </c>
      <c r="U39" t="s">
        <v>1093</v>
      </c>
      <c r="V39" t="s">
        <v>1039</v>
      </c>
      <c r="W39" t="s">
        <v>1040</v>
      </c>
    </row>
    <row r="40" spans="1:32">
      <c r="V40" t="s">
        <v>1046</v>
      </c>
      <c r="W40" t="s">
        <v>1047</v>
      </c>
    </row>
    <row r="41" spans="1:32">
      <c r="V41" t="s">
        <v>1051</v>
      </c>
      <c r="W41" t="s">
        <v>1052</v>
      </c>
    </row>
    <row r="42" spans="1:32">
      <c r="V42" t="s">
        <v>1052</v>
      </c>
      <c r="W42" t="s">
        <v>1055</v>
      </c>
    </row>
    <row r="43" spans="1:32">
      <c r="V43" t="s">
        <v>1063</v>
      </c>
      <c r="W43" t="s">
        <v>1064</v>
      </c>
    </row>
    <row r="44" spans="1:32">
      <c r="V44" t="s">
        <v>1071</v>
      </c>
      <c r="W44" t="s">
        <v>1072</v>
      </c>
    </row>
    <row r="45" spans="1:32">
      <c r="V45" t="s">
        <v>1073</v>
      </c>
      <c r="W45" t="s">
        <v>1052</v>
      </c>
    </row>
    <row r="46" spans="1:32">
      <c r="W46" t="s">
        <v>1074</v>
      </c>
    </row>
    <row r="47" spans="1:32">
      <c r="W47" t="s">
        <v>1075</v>
      </c>
    </row>
    <row r="48" spans="1:32">
      <c r="T48">
        <v>2</v>
      </c>
      <c r="U48" t="s">
        <v>1093</v>
      </c>
      <c r="V48" t="s">
        <v>1039</v>
      </c>
      <c r="W48" t="s">
        <v>1040</v>
      </c>
    </row>
    <row r="49" spans="1:32">
      <c r="V49" t="s">
        <v>1046</v>
      </c>
      <c r="W49" t="s">
        <v>1047</v>
      </c>
    </row>
    <row r="50" spans="1:32">
      <c r="V50" t="s">
        <v>1051</v>
      </c>
      <c r="W50" t="s">
        <v>1052</v>
      </c>
    </row>
    <row r="51" spans="1:32">
      <c r="V51" t="s">
        <v>1052</v>
      </c>
      <c r="W51" t="s">
        <v>1055</v>
      </c>
    </row>
    <row r="52" spans="1:32">
      <c r="V52" t="s">
        <v>1063</v>
      </c>
      <c r="W52" t="s">
        <v>1064</v>
      </c>
    </row>
    <row r="53" spans="1:32">
      <c r="V53" t="s">
        <v>1071</v>
      </c>
      <c r="W53" t="s">
        <v>1072</v>
      </c>
    </row>
    <row r="54" spans="1:32">
      <c r="V54" t="s">
        <v>1073</v>
      </c>
      <c r="W54" t="s">
        <v>1052</v>
      </c>
    </row>
    <row r="55" spans="1:32">
      <c r="W55" t="s">
        <v>1074</v>
      </c>
    </row>
    <row r="56" spans="1:32">
      <c r="W56" t="s">
        <v>1075</v>
      </c>
    </row>
    <row r="57" spans="1:32">
      <c r="A57" s="24" t="s">
        <v>456</v>
      </c>
      <c r="B57" s="24" t="s">
        <v>1105</v>
      </c>
      <c r="C57" s="27" t="s">
        <v>456</v>
      </c>
      <c r="D57" s="27" t="s">
        <v>1105</v>
      </c>
      <c r="E57" s="24" t="s">
        <v>456</v>
      </c>
      <c r="F57" s="24" t="s">
        <v>1105</v>
      </c>
      <c r="G57" s="27" t="s">
        <v>456</v>
      </c>
      <c r="H57" s="27" t="s">
        <v>1105</v>
      </c>
      <c r="I57" s="24" t="s">
        <v>456</v>
      </c>
      <c r="J57" s="24" t="s">
        <v>1105</v>
      </c>
      <c r="K57" s="27" t="s">
        <v>456</v>
      </c>
      <c r="L57" s="27" t="s">
        <v>1105</v>
      </c>
      <c r="M57" s="24" t="s">
        <v>456</v>
      </c>
      <c r="N57" s="24" t="s">
        <v>1105</v>
      </c>
      <c r="O57" s="27" t="s">
        <v>456</v>
      </c>
      <c r="P57" s="27" t="s">
        <v>1105</v>
      </c>
      <c r="Q57" s="24" t="s">
        <v>456</v>
      </c>
      <c r="R57" s="24" t="s">
        <v>1105</v>
      </c>
      <c r="S57" s="27" t="s">
        <v>456</v>
      </c>
      <c r="T57" s="27" t="s">
        <v>1105</v>
      </c>
      <c r="U57" s="24" t="s">
        <v>456</v>
      </c>
      <c r="V57" s="24" t="s">
        <v>1105</v>
      </c>
      <c r="W57" s="27" t="s">
        <v>456</v>
      </c>
      <c r="X57" s="27" t="s">
        <v>1105</v>
      </c>
      <c r="Y57" s="24" t="s">
        <v>456</v>
      </c>
      <c r="Z57" s="24" t="s">
        <v>1105</v>
      </c>
      <c r="AA57" s="27" t="s">
        <v>456</v>
      </c>
      <c r="AB57" s="27" t="s">
        <v>1105</v>
      </c>
      <c r="AC57" s="24" t="s">
        <v>456</v>
      </c>
      <c r="AD57" s="24" t="s">
        <v>1105</v>
      </c>
      <c r="AE57" s="27" t="s">
        <v>456</v>
      </c>
      <c r="AF57" s="27" t="s">
        <v>1105</v>
      </c>
    </row>
    <row r="58" spans="1:32">
      <c r="A58" s="24" t="s">
        <v>566</v>
      </c>
      <c r="B58" s="24" t="s">
        <v>566</v>
      </c>
      <c r="C58" s="27" t="s">
        <v>960</v>
      </c>
      <c r="D58" s="27" t="s">
        <v>960</v>
      </c>
      <c r="E58" s="24" t="s">
        <v>964</v>
      </c>
      <c r="F58" s="24" t="s">
        <v>964</v>
      </c>
      <c r="G58" s="27" t="s">
        <v>967</v>
      </c>
      <c r="H58" s="27" t="s">
        <v>967</v>
      </c>
      <c r="I58" s="24" t="s">
        <v>974</v>
      </c>
      <c r="J58" s="24" t="s">
        <v>974</v>
      </c>
      <c r="K58" s="27" t="s">
        <v>972</v>
      </c>
      <c r="L58" s="27" t="s">
        <v>972</v>
      </c>
      <c r="M58" s="24" t="s">
        <v>969</v>
      </c>
      <c r="N58" s="24" t="s">
        <v>969</v>
      </c>
      <c r="O58" s="27" t="s">
        <v>975</v>
      </c>
      <c r="P58" s="27" t="s">
        <v>975</v>
      </c>
      <c r="Q58" s="24" t="s">
        <v>977</v>
      </c>
      <c r="R58" s="24" t="s">
        <v>977</v>
      </c>
      <c r="S58" s="27" t="s">
        <v>978</v>
      </c>
      <c r="T58" s="27" t="s">
        <v>978</v>
      </c>
      <c r="U58" s="24" t="s">
        <v>979</v>
      </c>
      <c r="V58" s="24" t="s">
        <v>979</v>
      </c>
      <c r="W58" s="27" t="s">
        <v>980</v>
      </c>
      <c r="X58" s="27" t="s">
        <v>980</v>
      </c>
      <c r="Y58" s="24" t="s">
        <v>981</v>
      </c>
      <c r="Z58" s="24" t="s">
        <v>981</v>
      </c>
      <c r="AA58" s="27" t="s">
        <v>982</v>
      </c>
      <c r="AB58" s="27" t="s">
        <v>982</v>
      </c>
      <c r="AC58" s="24" t="s">
        <v>983</v>
      </c>
      <c r="AD58" s="24" t="s">
        <v>983</v>
      </c>
      <c r="AE58" s="27" t="s">
        <v>985</v>
      </c>
      <c r="AF58" s="27" t="s">
        <v>985</v>
      </c>
    </row>
    <row r="59" spans="1:32">
      <c r="A59" s="28" t="s">
        <v>1033</v>
      </c>
      <c r="B59" s="28" t="s">
        <v>1041</v>
      </c>
      <c r="C59" s="28" t="s">
        <v>1048</v>
      </c>
      <c r="D59" s="28" t="s">
        <v>1053</v>
      </c>
      <c r="E59" s="28" t="s">
        <v>1056</v>
      </c>
      <c r="F59" s="28" t="s">
        <v>1065</v>
      </c>
      <c r="G59" s="28" t="s">
        <v>1056</v>
      </c>
      <c r="H59" s="28" t="s">
        <v>1065</v>
      </c>
      <c r="I59" s="28" t="s">
        <v>1056</v>
      </c>
      <c r="J59" s="28" t="s">
        <v>1065</v>
      </c>
      <c r="K59" s="28" t="s">
        <v>1076</v>
      </c>
      <c r="L59" s="28" t="s">
        <v>1084</v>
      </c>
      <c r="M59" s="28" t="s">
        <v>1076</v>
      </c>
      <c r="N59" s="28" t="s">
        <v>1084</v>
      </c>
      <c r="O59" s="28" t="s">
        <v>1056</v>
      </c>
      <c r="P59" s="28" t="s">
        <v>1065</v>
      </c>
      <c r="Q59" t="s">
        <v>1076</v>
      </c>
      <c r="R59" t="s">
        <v>1090</v>
      </c>
      <c r="S59" t="s">
        <v>1056</v>
      </c>
      <c r="T59" t="s">
        <v>1065</v>
      </c>
      <c r="U59" t="s">
        <v>1076</v>
      </c>
      <c r="V59" t="s">
        <v>1090</v>
      </c>
      <c r="W59" t="s">
        <v>1076</v>
      </c>
      <c r="X59" t="s">
        <v>1090</v>
      </c>
      <c r="Y59" t="s">
        <v>1076</v>
      </c>
      <c r="Z59" t="s">
        <v>1090</v>
      </c>
      <c r="AA59" t="s">
        <v>1056</v>
      </c>
      <c r="AB59" t="s">
        <v>1065</v>
      </c>
      <c r="AC59" t="s">
        <v>1056</v>
      </c>
      <c r="AD59" t="s">
        <v>1065</v>
      </c>
      <c r="AE59" t="s">
        <v>1076</v>
      </c>
      <c r="AF59" t="s">
        <v>1090</v>
      </c>
    </row>
    <row r="60" spans="1:32">
      <c r="A60" t="s">
        <v>1034</v>
      </c>
      <c r="B60" t="s">
        <v>1034</v>
      </c>
      <c r="C60" t="s">
        <v>1034</v>
      </c>
      <c r="D60" t="s">
        <v>1034</v>
      </c>
      <c r="E60" s="28" t="s">
        <v>1333</v>
      </c>
      <c r="F60" s="28" t="s">
        <v>1338</v>
      </c>
      <c r="G60" s="28" t="s">
        <v>1333</v>
      </c>
      <c r="H60" s="28" t="s">
        <v>1338</v>
      </c>
      <c r="I60" s="28" t="s">
        <v>1333</v>
      </c>
      <c r="J60" s="28" t="s">
        <v>1338</v>
      </c>
      <c r="K60" s="28" t="s">
        <v>1077</v>
      </c>
      <c r="L60" s="28" t="s">
        <v>1085</v>
      </c>
      <c r="M60" s="28" t="s">
        <v>1077</v>
      </c>
      <c r="N60" s="28" t="s">
        <v>1085</v>
      </c>
      <c r="O60" s="28" t="s">
        <v>1057</v>
      </c>
      <c r="P60" s="28" t="s">
        <v>1066</v>
      </c>
      <c r="Q60" t="s">
        <v>1078</v>
      </c>
      <c r="R60" t="s">
        <v>1084</v>
      </c>
      <c r="S60" t="s">
        <v>1057</v>
      </c>
      <c r="T60" t="s">
        <v>1066</v>
      </c>
      <c r="U60" t="s">
        <v>1078</v>
      </c>
      <c r="V60" t="s">
        <v>1084</v>
      </c>
      <c r="W60" t="s">
        <v>1078</v>
      </c>
      <c r="X60" t="s">
        <v>1084</v>
      </c>
      <c r="Y60" t="s">
        <v>1078</v>
      </c>
      <c r="Z60" t="s">
        <v>1084</v>
      </c>
      <c r="AA60" t="s">
        <v>1057</v>
      </c>
      <c r="AB60" t="s">
        <v>1066</v>
      </c>
      <c r="AC60" t="s">
        <v>1057</v>
      </c>
      <c r="AD60" t="s">
        <v>1066</v>
      </c>
      <c r="AE60" t="s">
        <v>1078</v>
      </c>
      <c r="AF60" t="s">
        <v>1084</v>
      </c>
    </row>
    <row r="61" spans="1:32">
      <c r="A61" t="s">
        <v>1035</v>
      </c>
      <c r="B61" t="s">
        <v>1042</v>
      </c>
      <c r="C61" t="s">
        <v>1049</v>
      </c>
      <c r="D61" t="s">
        <v>1054</v>
      </c>
      <c r="E61" s="28" t="s">
        <v>1058</v>
      </c>
      <c r="F61" s="28" t="s">
        <v>1067</v>
      </c>
      <c r="G61" s="28" t="s">
        <v>1058</v>
      </c>
      <c r="H61" s="28" t="s">
        <v>1067</v>
      </c>
      <c r="I61" s="28" t="s">
        <v>1058</v>
      </c>
      <c r="J61" s="28" t="s">
        <v>1067</v>
      </c>
      <c r="K61" s="28" t="s">
        <v>1078</v>
      </c>
      <c r="L61" s="28" t="s">
        <v>1086</v>
      </c>
      <c r="M61" s="28" t="s">
        <v>1078</v>
      </c>
      <c r="N61" s="28" t="s">
        <v>1086</v>
      </c>
      <c r="O61" s="28" t="s">
        <v>1058</v>
      </c>
      <c r="P61" s="28" t="s">
        <v>1067</v>
      </c>
      <c r="Q61" t="s">
        <v>4388</v>
      </c>
      <c r="R61" t="s">
        <v>1086</v>
      </c>
      <c r="S61" t="s">
        <v>1058</v>
      </c>
      <c r="T61" t="s">
        <v>1067</v>
      </c>
      <c r="U61" t="s">
        <v>4389</v>
      </c>
      <c r="V61" t="s">
        <v>1086</v>
      </c>
      <c r="W61" t="s">
        <v>4389</v>
      </c>
      <c r="X61" t="s">
        <v>1086</v>
      </c>
      <c r="Y61" t="s">
        <v>4389</v>
      </c>
      <c r="Z61" t="s">
        <v>1086</v>
      </c>
      <c r="AA61" t="s">
        <v>1058</v>
      </c>
      <c r="AB61" t="s">
        <v>1067</v>
      </c>
      <c r="AC61" t="s">
        <v>1058</v>
      </c>
      <c r="AD61" t="s">
        <v>1067</v>
      </c>
      <c r="AE61" t="s">
        <v>4389</v>
      </c>
      <c r="AF61" t="s">
        <v>1086</v>
      </c>
    </row>
    <row r="62" spans="1:32">
      <c r="A62" t="s">
        <v>1036</v>
      </c>
      <c r="B62" t="s">
        <v>1043</v>
      </c>
      <c r="C62" t="s">
        <v>1050</v>
      </c>
      <c r="D62" t="s">
        <v>1045</v>
      </c>
      <c r="E62" s="28" t="s">
        <v>1334</v>
      </c>
      <c r="F62" s="28" t="s">
        <v>1339</v>
      </c>
      <c r="G62" s="28" t="s">
        <v>1334</v>
      </c>
      <c r="H62" s="28" t="s">
        <v>1339</v>
      </c>
      <c r="I62" s="28" t="s">
        <v>1334</v>
      </c>
      <c r="J62" s="28" t="s">
        <v>1339</v>
      </c>
      <c r="K62" s="28" t="s">
        <v>1079</v>
      </c>
      <c r="L62" s="28" t="s">
        <v>1087</v>
      </c>
      <c r="M62" s="28" t="s">
        <v>1079</v>
      </c>
      <c r="N62" s="28" t="s">
        <v>1087</v>
      </c>
      <c r="O62" s="28" t="s">
        <v>1059</v>
      </c>
      <c r="P62" s="28" t="s">
        <v>1068</v>
      </c>
      <c r="R62" t="s">
        <v>1088</v>
      </c>
      <c r="S62" t="s">
        <v>1059</v>
      </c>
      <c r="T62" t="s">
        <v>1068</v>
      </c>
      <c r="V62" t="s">
        <v>1088</v>
      </c>
      <c r="X62" t="s">
        <v>1088</v>
      </c>
      <c r="Z62" t="s">
        <v>1088</v>
      </c>
      <c r="AA62" t="s">
        <v>1059</v>
      </c>
      <c r="AB62" t="s">
        <v>1068</v>
      </c>
      <c r="AC62" t="s">
        <v>1059</v>
      </c>
      <c r="AD62" t="s">
        <v>1068</v>
      </c>
      <c r="AF62" t="s">
        <v>1088</v>
      </c>
    </row>
    <row r="63" spans="1:32">
      <c r="A63" t="s">
        <v>1037</v>
      </c>
      <c r="B63" t="s">
        <v>1044</v>
      </c>
      <c r="D63" t="s">
        <v>1050</v>
      </c>
      <c r="E63" s="28" t="s">
        <v>1335</v>
      </c>
      <c r="F63" s="28" t="s">
        <v>1069</v>
      </c>
      <c r="G63" s="28" t="s">
        <v>1335</v>
      </c>
      <c r="H63" s="28" t="s">
        <v>1069</v>
      </c>
      <c r="I63" s="28" t="s">
        <v>1335</v>
      </c>
      <c r="J63" s="28" t="s">
        <v>1069</v>
      </c>
      <c r="K63" s="28" t="s">
        <v>1080</v>
      </c>
      <c r="L63" s="28" t="s">
        <v>4389</v>
      </c>
      <c r="M63" s="28" t="s">
        <v>1080</v>
      </c>
      <c r="N63" s="28" t="s">
        <v>1088</v>
      </c>
      <c r="O63" s="28" t="s">
        <v>1060</v>
      </c>
      <c r="P63" s="28" t="s">
        <v>1069</v>
      </c>
      <c r="S63" t="s">
        <v>1060</v>
      </c>
      <c r="T63" t="s">
        <v>1069</v>
      </c>
      <c r="AA63" t="s">
        <v>1060</v>
      </c>
      <c r="AB63" t="s">
        <v>1069</v>
      </c>
      <c r="AC63" t="s">
        <v>1060</v>
      </c>
      <c r="AD63" t="s">
        <v>1069</v>
      </c>
    </row>
    <row r="64" spans="1:32">
      <c r="A64" t="s">
        <v>1038</v>
      </c>
      <c r="B64" t="s">
        <v>1045</v>
      </c>
      <c r="E64" s="28" t="s">
        <v>1061</v>
      </c>
      <c r="F64" s="28" t="s">
        <v>1340</v>
      </c>
      <c r="G64" s="28" t="s">
        <v>1061</v>
      </c>
      <c r="H64" s="28" t="s">
        <v>1340</v>
      </c>
      <c r="I64" s="28" t="s">
        <v>1061</v>
      </c>
      <c r="J64" s="28" t="s">
        <v>1340</v>
      </c>
      <c r="K64" s="28" t="s">
        <v>4389</v>
      </c>
      <c r="L64" s="28" t="s">
        <v>1089</v>
      </c>
      <c r="M64" s="28" t="s">
        <v>4389</v>
      </c>
      <c r="N64" s="28" t="s">
        <v>1089</v>
      </c>
      <c r="O64" s="28" t="s">
        <v>1061</v>
      </c>
      <c r="P64" s="28" t="s">
        <v>1070</v>
      </c>
      <c r="S64" t="s">
        <v>1061</v>
      </c>
      <c r="T64" t="s">
        <v>1070</v>
      </c>
      <c r="AA64" t="s">
        <v>1061</v>
      </c>
      <c r="AB64" t="s">
        <v>1070</v>
      </c>
      <c r="AC64" t="s">
        <v>1061</v>
      </c>
      <c r="AD64" t="s">
        <v>1070</v>
      </c>
    </row>
    <row r="65" spans="1:29">
      <c r="E65" s="28" t="s">
        <v>1337</v>
      </c>
      <c r="G65" s="28" t="s">
        <v>1337</v>
      </c>
      <c r="I65" s="28" t="s">
        <v>1337</v>
      </c>
      <c r="K65" s="28" t="s">
        <v>1083</v>
      </c>
      <c r="M65" s="28" t="s">
        <v>1083</v>
      </c>
      <c r="O65" s="28" t="s">
        <v>1062</v>
      </c>
      <c r="S65" t="s">
        <v>1062</v>
      </c>
      <c r="AA65" t="s">
        <v>1062</v>
      </c>
      <c r="AC65" t="s">
        <v>1062</v>
      </c>
    </row>
    <row r="66" spans="1:29">
      <c r="K66" s="28"/>
      <c r="S66" t="s">
        <v>1062</v>
      </c>
      <c r="AA66" t="s">
        <v>1062</v>
      </c>
      <c r="AC66" t="s">
        <v>1062</v>
      </c>
    </row>
    <row r="74" spans="1:29">
      <c r="A74" s="244" t="s">
        <v>3655</v>
      </c>
      <c r="B74" s="244" t="s">
        <v>3656</v>
      </c>
      <c r="C74" s="244" t="s">
        <v>3657</v>
      </c>
      <c r="E74" s="244"/>
      <c r="F74" s="244"/>
      <c r="G74" s="244"/>
      <c r="H74" s="244"/>
      <c r="J74" s="244"/>
    </row>
    <row r="75" spans="1:29">
      <c r="A75" s="244" t="str">
        <f>'Translate&amp;Prices&amp;Logo'!B166</f>
        <v>síťka alu zlatá - rozměr oka 10x6x1 mm</v>
      </c>
      <c r="B75" s="244" t="str">
        <f>'Translate&amp;Prices&amp;Logo'!B166</f>
        <v>síťka alu zlatá - rozměr oka 10x6x1 mm</v>
      </c>
      <c r="C75" s="244" t="str">
        <f>'Translate&amp;Prices&amp;Logo'!B168</f>
        <v>síťka ocel bílá - rozměr oka 8x4x1 mm</v>
      </c>
      <c r="E75" s="244"/>
      <c r="F75" s="244"/>
      <c r="G75" s="244"/>
      <c r="H75" s="244"/>
      <c r="J75" s="244"/>
    </row>
    <row r="76" spans="1:29">
      <c r="A76" s="244" t="str">
        <f>'Translate&amp;Prices&amp;Logo'!B169</f>
        <v>síťka elox - rozměr oka 10x6x1 mm</v>
      </c>
      <c r="B76" s="244" t="str">
        <f>'Translate&amp;Prices&amp;Logo'!B169</f>
        <v>síťka elox - rozměr oka 10x6x1 mm</v>
      </c>
      <c r="D76" s="244"/>
      <c r="F76" s="244"/>
      <c r="G76" s="244"/>
    </row>
    <row r="77" spans="1:29">
      <c r="B77" s="244" t="str">
        <f>'Translate&amp;Prices&amp;Logo'!B167</f>
        <v>síťka ocel černá mat RAL 9005 – rozměr oka 8x4x1 mm</v>
      </c>
      <c r="D77" s="244"/>
      <c r="F77" s="244"/>
      <c r="G77" s="244"/>
    </row>
    <row r="80" spans="1:29">
      <c r="A80" t="s">
        <v>2292</v>
      </c>
      <c r="H80" s="244"/>
    </row>
    <row r="81" spans="1:9">
      <c r="A81" s="244" t="str">
        <f>'Translate&amp;Prices&amp;Logo'!$B$13</f>
        <v>BRW zlatá - maximální doporučená délka profilu 2500 mm</v>
      </c>
      <c r="B81" t="s">
        <v>3655</v>
      </c>
      <c r="C81" s="430"/>
      <c r="D81" s="430"/>
      <c r="E81" s="430"/>
      <c r="F81" s="430"/>
      <c r="G81" s="430"/>
      <c r="H81" s="430"/>
      <c r="I81" s="430"/>
    </row>
    <row r="82" spans="1:9">
      <c r="A82" s="244" t="str">
        <f>'Translate&amp;Prices&amp;Logo'!$B$6</f>
        <v>BRW (elox.) - maximální doporučená délka profilu 2500 mm</v>
      </c>
      <c r="B82" t="s">
        <v>3656</v>
      </c>
      <c r="C82" s="430"/>
      <c r="D82" s="431"/>
      <c r="E82" s="431"/>
      <c r="F82" s="431"/>
      <c r="G82" s="431"/>
      <c r="H82" s="431"/>
      <c r="I82" s="431"/>
    </row>
    <row r="83" spans="1:9">
      <c r="A83" s="244" t="str">
        <f>'Translate&amp;Prices&amp;Logo'!$B$12</f>
        <v>BRW černá mat - maximální doporučená délka profilu 2500 mm</v>
      </c>
      <c r="B83" t="s">
        <v>3656</v>
      </c>
      <c r="C83" s="430"/>
      <c r="D83" s="431"/>
      <c r="E83" s="431"/>
      <c r="F83" s="431"/>
      <c r="G83" s="431"/>
      <c r="H83" s="431"/>
      <c r="I83" s="431"/>
    </row>
    <row r="84" spans="1:9">
      <c r="A84" t="str">
        <f>'Translate&amp;Prices&amp;Logo'!$B$9</f>
        <v>BRW bílá lesk RAL 9003 - maximální doporučená délka profilu 2500 mm</v>
      </c>
      <c r="B84" s="244" t="s">
        <v>3657</v>
      </c>
      <c r="C84" s="430"/>
      <c r="D84" s="431"/>
      <c r="E84" s="431"/>
      <c r="F84" s="431"/>
      <c r="G84" s="431"/>
      <c r="H84" s="431"/>
      <c r="I84" s="431"/>
    </row>
    <row r="85" spans="1:9">
      <c r="A85" s="244" t="str">
        <f>'Translate&amp;Prices&amp;Logo'!$B$8</f>
        <v>BRW bílá mat RAL 9003 - maximální doporučená délka profilu 2500 mm</v>
      </c>
      <c r="B85" s="244" t="s">
        <v>3657</v>
      </c>
      <c r="C85" s="430"/>
      <c r="D85" s="431"/>
      <c r="E85" s="431"/>
      <c r="F85" s="431"/>
      <c r="G85" s="431"/>
      <c r="H85" s="431"/>
      <c r="I85" s="431"/>
    </row>
    <row r="86" spans="1:9">
      <c r="A86" s="245" t="str">
        <f>'Translate&amp;Prices&amp;Logo'!$B$31</f>
        <v>Vivaro zlatá - maximální doporučená délka profilu 2150 mm</v>
      </c>
      <c r="B86" t="s">
        <v>3655</v>
      </c>
      <c r="H86" s="244"/>
    </row>
    <row r="87" spans="1:9">
      <c r="A87" s="244" t="str">
        <f>'Translate&amp;Prices&amp;Logo'!$B$43</f>
        <v>Vivaro (elox.) - maximální doporučená délka profilu 2500 mm</v>
      </c>
      <c r="B87" t="s">
        <v>3656</v>
      </c>
      <c r="H87" s="244"/>
    </row>
    <row r="88" spans="1:9">
      <c r="A88" s="244" t="str">
        <f>'Translate&amp;Prices&amp;Logo'!$B$44</f>
        <v>Vivaro černá mat - maximální doporučená délka profilu 2500 mm</v>
      </c>
      <c r="B88" t="s">
        <v>3656</v>
      </c>
      <c r="H88" s="244"/>
    </row>
    <row r="89" spans="1:9">
      <c r="A89" s="244" t="str">
        <f>'Translate&amp;Prices&amp;Logo'!$B$47</f>
        <v>Vivaro bílá mat RAL 9003 - maximální doporučená délka profilu 2500 mm</v>
      </c>
      <c r="B89" s="244" t="s">
        <v>3657</v>
      </c>
      <c r="H89" s="244"/>
    </row>
    <row r="90" spans="1:9">
      <c r="A90" t="str">
        <f>'Translate&amp;Prices&amp;Logo'!$B$48</f>
        <v>Vivaro bílá lesk RAL 9003 - maximální doporučená délka profilu 2500 mm</v>
      </c>
      <c r="B90" s="244" t="s">
        <v>3657</v>
      </c>
    </row>
    <row r="94" spans="1:9">
      <c r="A94" t="s">
        <v>989</v>
      </c>
      <c r="B94" t="s">
        <v>993</v>
      </c>
      <c r="C94" t="s">
        <v>988</v>
      </c>
      <c r="D94" t="s">
        <v>994</v>
      </c>
      <c r="E94" t="s">
        <v>933</v>
      </c>
      <c r="F94" t="s">
        <v>995</v>
      </c>
    </row>
    <row r="95" spans="1:9">
      <c r="A95" t="s">
        <v>999</v>
      </c>
      <c r="B95" t="s">
        <v>1000</v>
      </c>
      <c r="C95" t="s">
        <v>1001</v>
      </c>
      <c r="D95" t="s">
        <v>1002</v>
      </c>
      <c r="E95" t="s">
        <v>1003</v>
      </c>
      <c r="F95" t="s">
        <v>1004</v>
      </c>
    </row>
    <row r="96" spans="1:9">
      <c r="A96" t="str">
        <f>'Translate&amp;Prices&amp;Logo'!$B$101</f>
        <v>Čiré</v>
      </c>
      <c r="B96" t="str">
        <f>'Translate&amp;Prices&amp;Logo'!$B$117</f>
        <v>Zrcadlo</v>
      </c>
      <c r="C96" t="str">
        <f>'Translate&amp;Prices&amp;Logo'!$B$101</f>
        <v>Čiré</v>
      </c>
      <c r="D96" t="str">
        <f>'Translate&amp;Prices&amp;Logo'!$B$629</f>
        <v>Neplatná kombinace</v>
      </c>
      <c r="E96" t="str">
        <f>'Translate&amp;Prices&amp;Logo'!$B$117</f>
        <v>Zrcadlo</v>
      </c>
      <c r="F96" t="str">
        <f>'Translate&amp;Prices&amp;Logo'!$B$117</f>
        <v>Zrcadlo</v>
      </c>
    </row>
    <row r="97" spans="1:6">
      <c r="A97" t="str">
        <f>'Translate&amp;Prices&amp;Logo'!$B$106</f>
        <v>Satinato</v>
      </c>
      <c r="B97" t="str">
        <f>'Translate&amp;Prices&amp;Logo'!$B$118</f>
        <v>Zrcadlo hnědé</v>
      </c>
      <c r="C97" t="str">
        <f>'Translate&amp;Prices&amp;Logo'!$B$163</f>
        <v>Optiwhite</v>
      </c>
      <c r="E97" t="str">
        <f>'Translate&amp;Prices&amp;Logo'!$B$118</f>
        <v>Zrcadlo hnědé</v>
      </c>
      <c r="F97" t="str">
        <f>'Translate&amp;Prices&amp;Logo'!$B$118</f>
        <v>Zrcadlo hnědé</v>
      </c>
    </row>
    <row r="98" spans="1:6">
      <c r="A98" t="str">
        <f>'Translate&amp;Prices&amp;Logo'!$B$108</f>
        <v>Satinato hnědé / Decormat Braz</v>
      </c>
      <c r="B98" t="str">
        <f>'Translate&amp;Prices&amp;Logo'!$B$119</f>
        <v>Zrcadlo grafit</v>
      </c>
      <c r="C98" t="str">
        <f>'Translate&amp;Prices&amp;Logo'!$B$107</f>
        <v>MASTER SOFT</v>
      </c>
      <c r="E98" t="str">
        <f>'Translate&amp;Prices&amp;Logo'!$B$119</f>
        <v>Zrcadlo grafit</v>
      </c>
      <c r="F98" t="str">
        <f>'Translate&amp;Prices&amp;Logo'!$B$119</f>
        <v>Zrcadlo grafit</v>
      </c>
    </row>
    <row r="99" spans="1:6">
      <c r="A99" t="str">
        <f>'Translate&amp;Prices&amp;Logo'!$B$109</f>
        <v>Satinato grafit / Decormat grafit</v>
      </c>
      <c r="B99" t="str">
        <f>'Translate&amp;Prices&amp;Logo'!$B$128</f>
        <v>Lacobel RAL 1013</v>
      </c>
      <c r="C99" t="str">
        <f>'Translate&amp;Prices&amp;Logo'!$B$120</f>
        <v>VISIOSUN horizont</v>
      </c>
      <c r="E99" t="str">
        <f>'Translate&amp;Prices&amp;Logo'!$B$128</f>
        <v>Lacobel RAL 1013</v>
      </c>
      <c r="F99" t="str">
        <f>'Translate&amp;Prices&amp;Logo'!$B$128</f>
        <v>Lacobel RAL 1013</v>
      </c>
    </row>
    <row r="100" spans="1:6">
      <c r="A100" t="str">
        <f>'Translate&amp;Prices&amp;Logo'!$B$107</f>
        <v>MASTER SOFT</v>
      </c>
      <c r="B100" t="str">
        <f>'Translate&amp;Prices&amp;Logo'!$B$129</f>
        <v>Lacobel RAL 1015</v>
      </c>
      <c r="C100" t="str">
        <f>'Translate&amp;Prices&amp;Logo'!$B$131</f>
        <v>VISIOSUN vertikálně</v>
      </c>
      <c r="E100" t="str">
        <f>'Translate&amp;Prices&amp;Logo'!$B$129</f>
        <v>Lacobel RAL 1015</v>
      </c>
      <c r="F100" t="str">
        <f>'Translate&amp;Prices&amp;Logo'!$B$129</f>
        <v>Lacobel RAL 1015</v>
      </c>
    </row>
    <row r="101" spans="1:6">
      <c r="A101" t="str">
        <f>'Translate&amp;Prices&amp;Logo'!$B$122</f>
        <v>Master (Carre)</v>
      </c>
      <c r="B101" t="str">
        <f>'Translate&amp;Prices&amp;Logo'!$B$135</f>
        <v>Lacobel RAL 7035</v>
      </c>
      <c r="C101" t="str">
        <f>'Translate&amp;Prices&amp;Logo'!$B$132</f>
        <v>VISIOSUN satén vertikálně</v>
      </c>
      <c r="E101" t="str">
        <f>'Translate&amp;Prices&amp;Logo'!$B$135</f>
        <v>Lacobel RAL 7035</v>
      </c>
      <c r="F101" t="str">
        <f>'Translate&amp;Prices&amp;Logo'!$B$135</f>
        <v>Lacobel RAL 7035</v>
      </c>
    </row>
    <row r="102" spans="1:6">
      <c r="A102" t="str">
        <f>'Translate&amp;Prices&amp;Logo'!$B$123</f>
        <v>Master  Ligne horizont</v>
      </c>
      <c r="B102" t="str">
        <f>'Translate&amp;Prices&amp;Logo'!$B$137</f>
        <v>Lacobel RAL 9003</v>
      </c>
      <c r="C102" t="str">
        <f>'Translate&amp;Prices&amp;Logo'!$B$133</f>
        <v>VISIOSUN satén horizont</v>
      </c>
      <c r="E102" t="str">
        <f>'Translate&amp;Prices&amp;Logo'!$B$137</f>
        <v>Lacobel RAL 9003</v>
      </c>
      <c r="F102" t="str">
        <f>'Translate&amp;Prices&amp;Logo'!$B$137</f>
        <v>Lacobel RAL 9003</v>
      </c>
    </row>
    <row r="103" spans="1:6">
      <c r="A103" t="str">
        <f>'Translate&amp;Prices&amp;Logo'!$B$127</f>
        <v>Master  Ligne vertikálně</v>
      </c>
      <c r="B103" t="str">
        <f>'Translate&amp;Prices&amp;Logo'!$B$138</f>
        <v>Lacobel RAL 9005</v>
      </c>
      <c r="C103" t="str">
        <f>'Translate&amp;Prices&amp;Logo'!$B$125</f>
        <v>FLUTES horizont</v>
      </c>
      <c r="E103" t="str">
        <f>'Translate&amp;Prices&amp;Logo'!$B$138</f>
        <v>Lacobel RAL 9005</v>
      </c>
      <c r="F103" t="str">
        <f>'Translate&amp;Prices&amp;Logo'!$B$138</f>
        <v>Lacobel RAL 9005</v>
      </c>
    </row>
    <row r="104" spans="1:6">
      <c r="A104" t="str">
        <f>'Translate&amp;Prices&amp;Logo'!$B$124</f>
        <v>Master  Point</v>
      </c>
      <c r="B104" t="str">
        <f>'Translate&amp;Prices&amp;Logo'!$B$139</f>
        <v>Lacobel RAL 9006</v>
      </c>
      <c r="C104" t="str">
        <f>'Translate&amp;Prices&amp;Logo'!$B$130</f>
        <v>FLUTES vertikálně</v>
      </c>
      <c r="E104" t="str">
        <f>'Translate&amp;Prices&amp;Logo'!$B$139</f>
        <v>Lacobel RAL 9006</v>
      </c>
      <c r="F104" t="str">
        <f>'Translate&amp;Prices&amp;Logo'!$B$139</f>
        <v>Lacobel RAL 9006</v>
      </c>
    </row>
    <row r="105" spans="1:6">
      <c r="A105" t="str">
        <f>'Translate&amp;Prices&amp;Logo'!$B$110</f>
        <v>Masterscreen - max rozměr 2160x1650 mm</v>
      </c>
      <c r="B105" t="str">
        <f>'Translate&amp;Prices&amp;Logo'!$B$140</f>
        <v>Lacobel RAL 9007</v>
      </c>
      <c r="C105" t="str">
        <f>'Translate&amp;Prices&amp;Logo'!$B$106</f>
        <v>Satinato</v>
      </c>
      <c r="E105" t="str">
        <f>'Translate&amp;Prices&amp;Logo'!$B$140</f>
        <v>Lacobel RAL 9007</v>
      </c>
      <c r="F105" t="str">
        <f>'Translate&amp;Prices&amp;Logo'!$B$140</f>
        <v>Lacobel RAL 9007</v>
      </c>
    </row>
    <row r="106" spans="1:6">
      <c r="A106" t="str">
        <f>'Translate&amp;Prices&amp;Logo'!$B$111</f>
        <v>Venus VG10</v>
      </c>
      <c r="B106" t="str">
        <f>'Translate&amp;Prices&amp;Logo'!$B$141</f>
        <v>Lacobel RAL 9010</v>
      </c>
      <c r="C106" t="str">
        <f>'Translate&amp;Prices&amp;Logo'!$B$108</f>
        <v>Satinato hnědé / Decormat Braz</v>
      </c>
      <c r="E106" t="str">
        <f>'Translate&amp;Prices&amp;Logo'!$B$141</f>
        <v>Lacobel RAL 9010</v>
      </c>
      <c r="F106" t="str">
        <f>'Translate&amp;Prices&amp;Logo'!$B$141</f>
        <v>Lacobel RAL 9010</v>
      </c>
    </row>
    <row r="107" spans="1:6">
      <c r="A107" t="str">
        <f>'Translate&amp;Prices&amp;Logo'!$B$112</f>
        <v>Stopsol bronz - max rozměr 2250x1605 mm</v>
      </c>
      <c r="B107" t="str">
        <f>'Translate&amp;Prices&amp;Logo'!$B$156</f>
        <v>Matelac RAL 9003</v>
      </c>
      <c r="C107" t="str">
        <f>'Translate&amp;Prices&amp;Logo'!$B$109</f>
        <v>Satinato grafit / Decormat grafit</v>
      </c>
      <c r="E107" t="str">
        <f>'Translate&amp;Prices&amp;Logo'!$B$156</f>
        <v>Matelac RAL 9003</v>
      </c>
      <c r="F107" t="str">
        <f>'Translate&amp;Prices&amp;Logo'!$B$156</f>
        <v>Matelac RAL 9003</v>
      </c>
    </row>
    <row r="108" spans="1:6">
      <c r="A108" t="str">
        <f>'Translate&amp;Prices&amp;Logo'!$B$115</f>
        <v>Antisol bronz</v>
      </c>
      <c r="B108" t="str">
        <f>'Translate&amp;Prices&amp;Logo'!$B$157</f>
        <v>Matelac RAL 9005</v>
      </c>
      <c r="C108" t="str">
        <f>'Translate&amp;Prices&amp;Logo'!$B$110</f>
        <v>Masterscreen - max rozměr 2160x1650 mm</v>
      </c>
      <c r="E108" t="str">
        <f>'Translate&amp;Prices&amp;Logo'!$B$157</f>
        <v>Matelac RAL 9005</v>
      </c>
      <c r="F108" t="str">
        <f>'Translate&amp;Prices&amp;Logo'!$B$157</f>
        <v>Matelac RAL 9005</v>
      </c>
    </row>
    <row r="109" spans="1:6">
      <c r="A109" t="str">
        <f>'Translate&amp;Prices&amp;Logo'!$B$116</f>
        <v>Antisol grafit</v>
      </c>
      <c r="B109" t="str">
        <f>'Translate&amp;Prices&amp;Logo'!$B$162</f>
        <v>Matelac zrcadlo bronz</v>
      </c>
      <c r="C109" t="str">
        <f>'Translate&amp;Prices&amp;Logo'!$B$111</f>
        <v>Venus VG10</v>
      </c>
      <c r="E109" t="str">
        <f>'Translate&amp;Prices&amp;Logo'!$B$162</f>
        <v>Matelac zrcadlo bronz</v>
      </c>
      <c r="F109" t="str">
        <f>'Translate&amp;Prices&amp;Logo'!$B$162</f>
        <v>Matelac zrcadlo bronz</v>
      </c>
    </row>
    <row r="110" spans="1:6">
      <c r="A110" t="str">
        <f>'Translate&amp;Prices&amp;Logo'!$B$117</f>
        <v>Zrcadlo</v>
      </c>
      <c r="B110" t="str">
        <f>'Translate&amp;Prices&amp;Logo'!$B$164</f>
        <v>Matelac zrcadlo grafit</v>
      </c>
      <c r="C110" t="str">
        <f>'Translate&amp;Prices&amp;Logo'!$B$112</f>
        <v>Stopsol bronz - max rozměr 2250x1605 mm</v>
      </c>
      <c r="E110" t="str">
        <f>'Translate&amp;Prices&amp;Logo'!$B$164</f>
        <v>Matelac zrcadlo grafit</v>
      </c>
      <c r="F110" t="str">
        <f>'Translate&amp;Prices&amp;Logo'!$B$164</f>
        <v>Matelac zrcadlo grafit</v>
      </c>
    </row>
    <row r="111" spans="1:6">
      <c r="A111" t="str">
        <f>'Translate&amp;Prices&amp;Logo'!$B$118</f>
        <v>Zrcadlo hnědé</v>
      </c>
      <c r="B111" t="str">
        <f>'Translate&amp;Prices&amp;Logo'!$B$165</f>
        <v>Matelac zrcadlo stříbr.</v>
      </c>
      <c r="C111" t="str">
        <f>'Translate&amp;Prices&amp;Logo'!$B$115</f>
        <v>Antisol bronz</v>
      </c>
      <c r="E111" t="str">
        <f>'Translate&amp;Prices&amp;Logo'!$B$165</f>
        <v>Matelac zrcadlo stříbr.</v>
      </c>
      <c r="F111" t="str">
        <f>'Translate&amp;Prices&amp;Logo'!$B$165</f>
        <v>Matelac zrcadlo stříbr.</v>
      </c>
    </row>
    <row r="112" spans="1:6">
      <c r="A112" t="str">
        <f>'Translate&amp;Prices&amp;Logo'!$B$119</f>
        <v>Zrcadlo grafit</v>
      </c>
      <c r="C112" t="str">
        <f>'Translate&amp;Prices&amp;Logo'!$B$116</f>
        <v>Antisol grafit</v>
      </c>
    </row>
    <row r="113" spans="1:3">
      <c r="A113" t="str">
        <f>'Translate&amp;Prices&amp;Logo'!$B$120</f>
        <v>VISIOSUN horizont</v>
      </c>
      <c r="C113" t="str">
        <f>'Translate&amp;Prices&amp;Logo'!$B$121</f>
        <v>Krizet - max rozměr 2130x1650 mm</v>
      </c>
    </row>
    <row r="114" spans="1:3">
      <c r="A114" t="str">
        <f>'Translate&amp;Prices&amp;Logo'!$B$131</f>
        <v>VISIOSUN vertikálně</v>
      </c>
      <c r="C114" t="str">
        <f>'Translate&amp;Prices&amp;Logo'!$B$122</f>
        <v>Master (Carre)</v>
      </c>
    </row>
    <row r="115" spans="1:3">
      <c r="A115" t="str">
        <f>'Translate&amp;Prices&amp;Logo'!$B$133</f>
        <v>VISIOSUN satén horizont</v>
      </c>
      <c r="C115" t="str">
        <f>'Translate&amp;Prices&amp;Logo'!$B$123</f>
        <v>Master  Ligne horizont</v>
      </c>
    </row>
    <row r="116" spans="1:3">
      <c r="A116" t="str">
        <f>'Translate&amp;Prices&amp;Logo'!$B$132</f>
        <v>VISIOSUN satén vertikálně</v>
      </c>
      <c r="C116" t="str">
        <f>'Translate&amp;Prices&amp;Logo'!$B$127</f>
        <v>Master  Ligne vertikálně</v>
      </c>
    </row>
    <row r="117" spans="1:3">
      <c r="A117" t="str">
        <f>'Translate&amp;Prices&amp;Logo'!$B$121</f>
        <v>Krizet - max rozměr 2130x1650 mm</v>
      </c>
      <c r="C117" t="str">
        <f>'Translate&amp;Prices&amp;Logo'!$B$124</f>
        <v>Master  Point</v>
      </c>
    </row>
    <row r="118" spans="1:3">
      <c r="A118" t="str">
        <f>'Translate&amp;Prices&amp;Logo'!$B$130</f>
        <v>FLUTES vertikálně</v>
      </c>
      <c r="C118" t="str">
        <f>'Translate&amp;Prices&amp;Logo'!$B$142</f>
        <v>Moru hnědá vertikálně</v>
      </c>
    </row>
    <row r="119" spans="1:3">
      <c r="A119" t="str">
        <f>'Translate&amp;Prices&amp;Logo'!$B$125</f>
        <v>FLUTES horizont</v>
      </c>
      <c r="C119" t="str">
        <f>'Translate&amp;Prices&amp;Logo'!$B$143</f>
        <v>Moru grafit vertikálně</v>
      </c>
    </row>
    <row r="120" spans="1:3">
      <c r="A120" t="str">
        <f>'Translate&amp;Prices&amp;Logo'!$B$113</f>
        <v>Lakomat</v>
      </c>
      <c r="C120" t="str">
        <f>'Translate&amp;Prices&amp;Logo'!$B$146</f>
        <v>Moru hnědá hozintálně</v>
      </c>
    </row>
    <row r="121" spans="1:3">
      <c r="A121" t="str">
        <f>'Translate&amp;Prices&amp;Logo'!$B$128</f>
        <v>Lacobel RAL 1013</v>
      </c>
      <c r="C121" t="str">
        <f>'Translate&amp;Prices&amp;Logo'!$B$147</f>
        <v>Moru grafit horizontálně</v>
      </c>
    </row>
    <row r="122" spans="1:3">
      <c r="A122" t="str">
        <f>'Translate&amp;Prices&amp;Logo'!$B$129</f>
        <v>Lacobel RAL 1015</v>
      </c>
    </row>
    <row r="123" spans="1:3">
      <c r="A123" t="str">
        <f>'Translate&amp;Prices&amp;Logo'!$B$135</f>
        <v>Lacobel RAL 7035</v>
      </c>
    </row>
    <row r="124" spans="1:3">
      <c r="A124" t="str">
        <f>'Translate&amp;Prices&amp;Logo'!$B$137</f>
        <v>Lacobel RAL 9003</v>
      </c>
    </row>
    <row r="125" spans="1:3">
      <c r="A125" t="str">
        <f>'Translate&amp;Prices&amp;Logo'!$B$138</f>
        <v>Lacobel RAL 9005</v>
      </c>
    </row>
    <row r="126" spans="1:3">
      <c r="A126" t="str">
        <f>'Translate&amp;Prices&amp;Logo'!$B$139</f>
        <v>Lacobel RAL 9006</v>
      </c>
    </row>
    <row r="127" spans="1:3">
      <c r="A127" t="str">
        <f>'Translate&amp;Prices&amp;Logo'!$B$140</f>
        <v>Lacobel RAL 9007</v>
      </c>
    </row>
    <row r="128" spans="1:3">
      <c r="A128" t="str">
        <f>'Translate&amp;Prices&amp;Logo'!$B$141</f>
        <v>Lacobel RAL 9010</v>
      </c>
    </row>
    <row r="129" spans="1:1">
      <c r="A129" t="str">
        <f>'Translate&amp;Prices&amp;Logo'!$B$156</f>
        <v>Matelac RAL 9003</v>
      </c>
    </row>
    <row r="130" spans="1:1">
      <c r="A130" t="str">
        <f>'Translate&amp;Prices&amp;Logo'!$B$157</f>
        <v>Matelac RAL 9005</v>
      </c>
    </row>
    <row r="131" spans="1:1">
      <c r="A131" t="str">
        <f>'Translate&amp;Prices&amp;Logo'!$B$162</f>
        <v>Matelac zrcadlo bronz</v>
      </c>
    </row>
    <row r="132" spans="1:1">
      <c r="A132" t="str">
        <f>'Translate&amp;Prices&amp;Logo'!$B$164</f>
        <v>Matelac zrcadlo grafit</v>
      </c>
    </row>
    <row r="133" spans="1:1">
      <c r="A133" t="str">
        <f>'Translate&amp;Prices&amp;Logo'!$B$165</f>
        <v>Matelac zrcadlo stříbr.</v>
      </c>
    </row>
    <row r="134" spans="1:1">
      <c r="A134" t="str">
        <f>'Translate&amp;Prices&amp;Logo'!$B$163</f>
        <v>Optiwhite</v>
      </c>
    </row>
    <row r="135" spans="1:1">
      <c r="A135" t="str">
        <f>'Translate&amp;Prices&amp;Logo'!$B$114</f>
        <v>Planibel dark grey</v>
      </c>
    </row>
    <row r="136" spans="1:1">
      <c r="A136" t="str">
        <f>'Translate&amp;Prices&amp;Logo'!$B$142</f>
        <v>Moru hnědá vertikálně</v>
      </c>
    </row>
    <row r="137" spans="1:1">
      <c r="A137" t="str">
        <f>'Translate&amp;Prices&amp;Logo'!$B$143</f>
        <v>Moru grafit vertikálně</v>
      </c>
    </row>
    <row r="138" spans="1:1">
      <c r="A138" t="str">
        <f>'Translate&amp;Prices&amp;Logo'!$B$146</f>
        <v>Moru hnědá hozintálně</v>
      </c>
    </row>
    <row r="139" spans="1:1">
      <c r="A139" t="str">
        <f>'Translate&amp;Prices&amp;Logo'!$B$147</f>
        <v>Moru grafit horizontálně</v>
      </c>
    </row>
    <row r="204" spans="1:2">
      <c r="A204">
        <v>1</v>
      </c>
      <c r="B204" t="s">
        <v>2174</v>
      </c>
    </row>
    <row r="205" spans="1:2">
      <c r="A205">
        <v>2</v>
      </c>
      <c r="B205" t="s">
        <v>2175</v>
      </c>
    </row>
    <row r="206" spans="1:2">
      <c r="A206">
        <v>3</v>
      </c>
      <c r="B206" t="s">
        <v>2176</v>
      </c>
    </row>
    <row r="207" spans="1:2">
      <c r="A207">
        <v>4</v>
      </c>
      <c r="B207" t="s">
        <v>2177</v>
      </c>
    </row>
    <row r="208" spans="1:2">
      <c r="A208">
        <v>5</v>
      </c>
      <c r="B208" t="s">
        <v>2175</v>
      </c>
    </row>
    <row r="209" spans="1:2">
      <c r="A209">
        <v>6</v>
      </c>
      <c r="B209" t="s">
        <v>2175</v>
      </c>
    </row>
  </sheetData>
  <phoneticPr fontId="15" type="noConversion"/>
  <conditionalFormatting sqref="A94 A98:A102 A117:A139">
    <cfRule type="expression" dxfId="469" priority="3" stopIfTrue="1">
      <formula>AND(COUNTIF($Q$68:$Q$65536, A94)+COUNTIF($Q$2:$Q$2, A94)+COUNTIF($Q$4:$Q$4, A94)+COUNTIF($Q$6:$Q$54, A94)&gt;1,NOT(ISBLANK(A94)))</formula>
    </cfRule>
  </conditionalFormatting>
  <conditionalFormatting sqref="A96 A104:A109 A111:A112 C118:C121">
    <cfRule type="expression" dxfId="468" priority="21" stopIfTrue="1">
      <formula>AND(COUNTIF($Q$68:$Q$65536, A96)+COUNTIF($Q$2:$Q$2, A96)+COUNTIF($Q$4:$Q$4, A96)+COUNTIF($Q$6:$Q$54, A96)&gt;1,NOT(ISBLANK(A96)))</formula>
    </cfRule>
  </conditionalFormatting>
  <conditionalFormatting sqref="B94">
    <cfRule type="expression" dxfId="467" priority="2" stopIfTrue="1">
      <formula>AND(COUNTIF($R$2:$R$2, B94)+COUNTIF($R$63:$R$65536, B94)+COUNTIF($R$49:$R$61, B94)&gt;1,NOT(ISBLANK(B94)))</formula>
    </cfRule>
  </conditionalFormatting>
  <conditionalFormatting sqref="B96:B98">
    <cfRule type="duplicateValues" dxfId="466" priority="14"/>
  </conditionalFormatting>
  <conditionalFormatting sqref="B100">
    <cfRule type="duplicateValues" dxfId="465" priority="563"/>
  </conditionalFormatting>
  <conditionalFormatting sqref="B101">
    <cfRule type="duplicateValues" dxfId="464" priority="13"/>
  </conditionalFormatting>
  <conditionalFormatting sqref="B102:B109 B121:B125">
    <cfRule type="duplicateValues" dxfId="463" priority="20"/>
  </conditionalFormatting>
  <conditionalFormatting sqref="B110:B111 B129:B131 B126">
    <cfRule type="duplicateValues" dxfId="462" priority="15"/>
  </conditionalFormatting>
  <conditionalFormatting sqref="B113:B115">
    <cfRule type="duplicateValues" dxfId="461" priority="12"/>
  </conditionalFormatting>
  <conditionalFormatting sqref="C96">
    <cfRule type="duplicateValues" dxfId="460" priority="11"/>
  </conditionalFormatting>
  <conditionalFormatting sqref="C103 C98:C99">
    <cfRule type="duplicateValues" dxfId="459" priority="25"/>
  </conditionalFormatting>
  <conditionalFormatting sqref="C105:C110">
    <cfRule type="duplicateValues" dxfId="458" priority="10"/>
  </conditionalFormatting>
  <conditionalFormatting sqref="C111:C112">
    <cfRule type="duplicateValues" dxfId="457" priority="9"/>
  </conditionalFormatting>
  <conditionalFormatting sqref="C113:C117">
    <cfRule type="duplicateValues" dxfId="456" priority="570"/>
  </conditionalFormatting>
  <conditionalFormatting sqref="C123:C139">
    <cfRule type="duplicateValues" dxfId="455" priority="24"/>
  </conditionalFormatting>
  <conditionalFormatting sqref="D96">
    <cfRule type="duplicateValues" dxfId="454" priority="8"/>
  </conditionalFormatting>
  <conditionalFormatting sqref="E96:E98">
    <cfRule type="duplicateValues" dxfId="453" priority="7"/>
  </conditionalFormatting>
  <conditionalFormatting sqref="E99:E106 E118:E122">
    <cfRule type="duplicateValues" dxfId="452" priority="22"/>
  </conditionalFormatting>
  <conditionalFormatting sqref="E107:E108 E123:E124">
    <cfRule type="duplicateValues" dxfId="451" priority="16"/>
  </conditionalFormatting>
  <conditionalFormatting sqref="E109:E111">
    <cfRule type="duplicateValues" dxfId="450" priority="6"/>
  </conditionalFormatting>
  <conditionalFormatting sqref="F96:F98">
    <cfRule type="duplicateValues" dxfId="449" priority="5"/>
  </conditionalFormatting>
  <conditionalFormatting sqref="F109:F111">
    <cfRule type="duplicateValues" dxfId="448" priority="4"/>
  </conditionalFormatting>
  <conditionalFormatting sqref="F113:F122 F99:F106">
    <cfRule type="duplicateValues" dxfId="447" priority="23"/>
  </conditionalFormatting>
  <conditionalFormatting sqref="F123:F124 F107:F108">
    <cfRule type="duplicateValues" dxfId="446" priority="17"/>
  </conditionalFormatting>
  <conditionalFormatting sqref="BQ2:BR2">
    <cfRule type="duplicateValues" dxfId="445" priority="1"/>
  </conditionalFormatting>
  <dataValidations disablePrompts="1" count="1">
    <dataValidation type="list" allowBlank="1" showInputMessage="1" showErrorMessage="1" sqref="CD2" xr:uid="{D0F5C369-BD80-4C94-A964-D66FB4AF9421}">
      <formula1>_xlfn.ANCHORARRAY($CB$2)</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1D97-60A8-4185-ABDE-464007F9E9FA}">
  <sheetPr codeName="List13">
    <tabColor rgb="FF00B0F0"/>
    <pageSetUpPr fitToPage="1"/>
  </sheetPr>
  <dimension ref="A1:BM138"/>
  <sheetViews>
    <sheetView showGridLines="0" showRowColHeaders="0" showZeros="0" workbookViewId="0">
      <selection activeCell="H8" sqref="H8:Q8"/>
    </sheetView>
  </sheetViews>
  <sheetFormatPr defaultColWidth="0" defaultRowHeight="15"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0" width="6.28515625" style="112" customWidth="1"/>
    <col min="11" max="11" width="9.7109375" style="112" customWidth="1"/>
    <col min="12" max="12" width="6.28515625" style="112" customWidth="1"/>
    <col min="13" max="13" width="6.5703125" style="112" customWidth="1"/>
    <col min="14" max="16" width="6.140625" style="112" customWidth="1"/>
    <col min="17" max="17" width="6.28515625" style="112" customWidth="1"/>
    <col min="18" max="24" width="5.5703125" style="112" customWidth="1"/>
    <col min="25" max="25" width="11"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5" width="6.42578125" style="112" customWidth="1"/>
    <col min="36"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"&amp;1</f>
        <v>Rámeček  1</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Úvod</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IFERROR(IF(kombinace_1!FC2=TRUE,'Translate&amp;Prices&amp;Logo'!B656,IF(VLOOKUP(H8,kombinace_1!$A:$E,5,0)=3,'Translate&amp;Prices&amp;Logo'!B644,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71" t="str">
        <f>'Translate&amp;Prices&amp;Logo'!$B$171&amp;" "&amp;" "&amp;1</f>
        <v>Rámeček  1</v>
      </c>
      <c r="C5" s="571"/>
      <c r="D5" s="571"/>
      <c r="E5" s="106"/>
      <c r="F5" s="540" t="str">
        <f>'Translate&amp;Prices&amp;Logo'!$B$171&amp;" "&amp;" "&amp;2</f>
        <v>Rámeček  2</v>
      </c>
      <c r="G5" s="540"/>
      <c r="H5" s="540"/>
      <c r="I5" s="9"/>
      <c r="J5" s="540" t="str">
        <f>'Translate&amp;Prices&amp;Logo'!$B$171&amp;" "&amp;" "&amp;3</f>
        <v>Rámeček  3</v>
      </c>
      <c r="K5" s="540"/>
      <c r="L5" s="540"/>
      <c r="M5" s="9"/>
      <c r="N5" s="540" t="str">
        <f>'Translate&amp;Prices&amp;Logo'!$B$171&amp;" "&amp;" "&amp;4</f>
        <v>Rámeček  4</v>
      </c>
      <c r="O5" s="540"/>
      <c r="P5" s="540"/>
      <c r="Q5" s="9"/>
      <c r="R5" s="540" t="str">
        <f>'Translate&amp;Prices&amp;Logo'!$B$171&amp;" "&amp;" "&amp;5</f>
        <v>Rámeček  5</v>
      </c>
      <c r="S5" s="540"/>
      <c r="T5" s="540"/>
      <c r="U5" s="9"/>
      <c r="V5" s="540" t="str">
        <f>'Translate&amp;Prices&amp;Logo'!$B$171&amp;" "&amp;" "&amp;6</f>
        <v>Rámeček  6</v>
      </c>
      <c r="W5" s="540"/>
      <c r="X5" s="540"/>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Kombinace 2 profilů</v>
      </c>
      <c r="C7" s="575"/>
      <c r="D7" s="575"/>
      <c r="E7" s="575"/>
      <c r="F7" s="575"/>
      <c r="G7" s="521" t="str">
        <f>IF(kombinace_1!FC2=TRUE,AB4,"")</f>
        <v/>
      </c>
      <c r="H7" s="521"/>
      <c r="I7" s="521"/>
      <c r="J7" s="521"/>
      <c r="K7" s="521"/>
      <c r="L7" s="521"/>
      <c r="M7" s="521"/>
      <c r="N7" s="521"/>
      <c r="O7" s="521"/>
      <c r="P7" s="521"/>
      <c r="Q7" s="522"/>
      <c r="R7" s="224"/>
      <c r="S7" s="506" t="str">
        <f>'Translate&amp;Prices&amp;Logo'!$B$574</f>
        <v>Upozornění:</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VLOOKUP(H8,kombinace_1!$A3:$B100,2,0)</f>
        <v>#N/A</v>
      </c>
      <c r="AV7" s="140" t="e">
        <f>IF(AU7=2,"Široký",IF(AU7=1,"Úzký",IF(AU7=3,"kombo")))</f>
        <v>#N/A</v>
      </c>
    </row>
    <row r="8" spans="1:65" ht="49.15" customHeight="1">
      <c r="A8" s="61"/>
      <c r="B8" s="216" t="str">
        <f>'Translate&amp;Prices&amp;Logo'!$B$655</f>
        <v>Výplň rámečku síťka</v>
      </c>
      <c r="C8" s="217"/>
      <c r="D8" s="217"/>
      <c r="E8" s="218" t="str">
        <f>'Translate&amp;Prices&amp;Logo'!$B$174</f>
        <v>Typ profilu</v>
      </c>
      <c r="F8" s="218"/>
      <c r="G8" s="223"/>
      <c r="H8" s="576"/>
      <c r="I8" s="576"/>
      <c r="J8" s="576"/>
      <c r="K8" s="576"/>
      <c r="L8" s="576"/>
      <c r="M8" s="576"/>
      <c r="N8" s="576"/>
      <c r="O8" s="576"/>
      <c r="P8" s="576"/>
      <c r="Q8" s="577"/>
      <c r="R8" s="225"/>
      <c r="S8" s="559" t="str">
        <f>IF(AU10&gt;0,'Translate&amp;Prices&amp;Logo'!B305,IF(OR(H8=kombinace_1!A64,H8=kombinace_1!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Vzdálenost od levého okraje</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IFERROR(IF(AND(VLOOKUP(H8,kombinace_1!$A:$D,4,0)=1,kombinace_1!FC2=FALSE),'Translate&amp;Prices&amp;Logo'!$B$545,0),0)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Rozteč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IFERROR((VLOOKUP(H12,kombinace_1!$DP$2:$DQ$3,2,0)),"")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D10" s="791"/>
      <c r="AF10" s="9"/>
      <c r="AG10" s="9"/>
      <c r="AH10" s="9"/>
      <c r="AI10" s="60"/>
      <c r="AJ10" s="61"/>
      <c r="AK10" s="9"/>
      <c r="AL10" s="9"/>
      <c r="AM10" s="9"/>
      <c r="AN10" s="9"/>
      <c r="AO10" s="9"/>
      <c r="AP10" s="77"/>
      <c r="AQ10" s="307"/>
      <c r="AR10" s="9"/>
      <c r="AS10" s="9"/>
      <c r="AT10" s="139" t="s">
        <v>1196</v>
      </c>
      <c r="AU10" s="140">
        <f>IFERROR(VLOOKUP(H9,kombinace_1!$BY$13:$BZ$15,2,0),0)</f>
        <v>0</v>
      </c>
      <c r="AV10" s="140"/>
    </row>
    <row r="11" spans="1:65" ht="18" customHeight="1">
      <c r="A11" s="61"/>
      <c r="B11" s="548" t="str">
        <f>('Translate&amp;Prices&amp;Logo'!$B$545)&amp;" "&amp;"("&amp;'Translate&amp;Prices&amp;Logo'!$B$176&amp;")"</f>
        <v>Dělící lišty (Počet kusů)</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D11" s="791"/>
      <c r="AE11" s="792"/>
      <c r="AF11" s="9"/>
      <c r="AG11" s="9"/>
      <c r="AH11" s="9"/>
      <c r="AI11" s="60"/>
      <c r="AJ11" s="61"/>
      <c r="AK11" s="9"/>
      <c r="AL11" s="9"/>
      <c r="AM11" s="9"/>
      <c r="AN11" s="9"/>
      <c r="AO11" s="80"/>
      <c r="AP11" s="74"/>
      <c r="AQ11" s="307"/>
      <c r="AR11" s="9"/>
      <c r="AS11" s="9"/>
      <c r="AT11" s="146">
        <f>IFERROR(IF(kombinace_1!$H$1=TRUE,BA2+AY3,0),0)</f>
        <v>0</v>
      </c>
      <c r="AU11" s="146"/>
      <c r="AV11" s="140"/>
    </row>
    <row r="12" spans="1:65" ht="18" customHeight="1">
      <c r="A12" s="61"/>
      <c r="B12" s="489" t="str">
        <f>'Translate&amp;Prices&amp;Logo'!$B$260</f>
        <v>Typ kování</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D12" s="791"/>
      <c r="AE12" s="792"/>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Značka kování</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E13" s="792"/>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Rozteč  mm</v>
      </c>
      <c r="AE14" s="792"/>
      <c r="AF14" s="9"/>
      <c r="AG14" s="9"/>
      <c r="AH14" s="9"/>
      <c r="AI14" s="60"/>
      <c r="AJ14" s="61"/>
      <c r="AK14" s="9"/>
      <c r="AL14" s="9"/>
      <c r="AM14" s="534" t="str">
        <f>('Translate&amp;Prices&amp;Logo'!$B$550)&amp;" "&amp;H26&amp;" "&amp;"mm"</f>
        <v>Rozteč  mm</v>
      </c>
      <c r="AN14" s="9"/>
      <c r="AO14" s="81"/>
      <c r="AP14" s="74"/>
      <c r="AQ14" s="307"/>
      <c r="AR14" s="584"/>
      <c r="AS14" s="9"/>
      <c r="AT14" s="146"/>
      <c r="AU14" s="140"/>
      <c r="AV14" s="140"/>
      <c r="AW14" s="165" t="s">
        <v>2197</v>
      </c>
    </row>
    <row r="15" spans="1:65" ht="18" customHeight="1" thickBot="1">
      <c r="A15" s="61"/>
      <c r="B15" s="489" t="str">
        <f>'Translate&amp;Prices&amp;Logo'!$B$547</f>
        <v>Varianta kování</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E15" s="79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IF(H15=kombinace_1!AB40,'Translate&amp;Prices&amp;Logo'!$B$226,IF(H15=kombinace_1!AB41,'Translate&amp;Prices&amp;Logo'!$B$226,IF(H12='závěsy dle výklopu'!BQ2,'Translate&amp;Prices&amp;Logo'!$B$224,'Translate&amp;Prices&amp;Logo'!$B$220)))</f>
        <v>Výběr pozice rámečku</v>
      </c>
      <c r="C16" s="547"/>
      <c r="D16" s="547"/>
      <c r="E16" s="547"/>
      <c r="F16" s="545"/>
      <c r="G16" s="545"/>
      <c r="H16" s="545"/>
      <c r="I16" s="545"/>
      <c r="J16" s="565" t="str">
        <f>IF(OR(H15=kombinace_1!AB40,H15=kombinace_1!AB7,H15=kombinace_1!AB15,H15=kombinace_1!AB20,H15=kombinace_1!AB21,H15=kombinace_1!AB22),'Translate&amp;Prices&amp;Logo'!$B$228,IF(H15=kombinace_1!AB41,'Translate&amp;Prices&amp;Logo'!$B$228,'Translate&amp;Prices&amp;Logo'!$B$234))</f>
        <v>Provedení druhého dvířka</v>
      </c>
      <c r="K16" s="565"/>
      <c r="L16" s="565"/>
      <c r="M16" s="565"/>
      <c r="N16" s="563"/>
      <c r="O16" s="563"/>
      <c r="P16" s="563"/>
      <c r="Q16" s="564"/>
      <c r="R16" s="61"/>
      <c r="S16" s="553"/>
      <c r="T16" s="554"/>
      <c r="U16" s="554"/>
      <c r="V16" s="554"/>
      <c r="W16" s="554"/>
      <c r="X16" s="554"/>
      <c r="Y16" s="555"/>
      <c r="Z16" s="80"/>
      <c r="AA16" s="78"/>
      <c r="AB16" s="82"/>
      <c r="AC16" s="9"/>
      <c r="AD16" s="552"/>
      <c r="AE16" s="79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IF(H12='Translate&amp;Prices&amp;Logo'!B553,'Translate&amp;Prices&amp;Logo'!B240,IF(H15=kombinace_1!AB8,'Translate&amp;Prices&amp;Logo'!B286,0))</f>
        <v>0</v>
      </c>
      <c r="C17" s="490"/>
      <c r="D17" s="490"/>
      <c r="E17" s="490"/>
      <c r="F17" s="490"/>
      <c r="G17" s="98"/>
      <c r="H17" s="491" t="s">
        <v>101</v>
      </c>
      <c r="I17" s="491"/>
      <c r="J17" s="491"/>
      <c r="K17" s="491"/>
      <c r="L17" s="491"/>
      <c r="M17" s="491"/>
      <c r="N17" s="491"/>
      <c r="O17" s="491"/>
      <c r="P17" s="491"/>
      <c r="Q17" s="492"/>
      <c r="R17" s="61"/>
      <c r="S17" s="553"/>
      <c r="T17" s="554"/>
      <c r="U17" s="554"/>
      <c r="V17" s="554"/>
      <c r="W17" s="554"/>
      <c r="X17" s="554"/>
      <c r="Y17" s="555"/>
      <c r="Z17" s="80"/>
      <c r="AA17" s="78"/>
      <c r="AB17" s="82"/>
      <c r="AC17" s="9"/>
      <c r="AD17" s="552"/>
      <c r="AE17" s="9"/>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f>IF(H13&lt;&gt;"Salice",AU23,0)</f>
        <v>1</v>
      </c>
      <c r="AV17" s="140">
        <f>IF(H13="Salice",VLOOKUP(H17,kombinace_1!$BY:$BZ,2,0),0)</f>
        <v>0</v>
      </c>
    </row>
    <row r="18" spans="1:52" ht="18" customHeight="1">
      <c r="A18" s="61"/>
      <c r="B18" s="489">
        <f>IFERROR(IF(VLOOKUP(H15,kombinace_1!CD:CE,2,0)=1,'Translate&amp;Prices&amp;Logo'!$B$549,0),0)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793" t="str">
        <f>'Translate&amp;Prices&amp;Logo'!$B$638</f>
        <v>Vzdálenost od spodního okraje</v>
      </c>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IFERROR(IF(H12='Translate&amp;Prices&amp;Logo'!B553,'Translate&amp;Prices&amp;Logo'!$B$225,IF(VLOOKUP(H15,kombinace_1!CD:CE,2,0)=1,'Translate&amp;Prices&amp;Logo'!$B$225,)),0)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v>50</v>
      </c>
      <c r="AC19" s="525"/>
      <c r="AD19" s="552"/>
      <c r="AE19" s="793"/>
      <c r="AF19" s="9"/>
      <c r="AG19" s="9"/>
      <c r="AH19" s="9"/>
      <c r="AI19" s="157"/>
      <c r="AJ19" s="61"/>
      <c r="AK19" s="9"/>
      <c r="AL19" s="532" t="str">
        <f>'Translate&amp;Prices&amp;Logo'!$B$638</f>
        <v>Vzdálenost od spodního okraje</v>
      </c>
      <c r="AM19" s="534"/>
      <c r="AN19" s="525">
        <v>0</v>
      </c>
      <c r="AO19" s="525"/>
      <c r="AP19" s="76"/>
      <c r="AQ19" s="307"/>
      <c r="AR19" s="583" t="str">
        <f>'Translate&amp;Prices&amp;Logo'!$B$178</f>
        <v>Výška</v>
      </c>
      <c r="AS19" s="9"/>
      <c r="AT19" s="146"/>
      <c r="AU19" s="138">
        <f>IFERROR(IF(H12='závěsy dle výklopu'!BR2,VLOOKUP(H15,kombinace_1!$CD$3:$CF$18,3,0),IF(H12='závěsy dle výklopu'!BQ2,1,0)),0)</f>
        <v>0</v>
      </c>
      <c r="AV19" s="140">
        <f>IFERROR(VLOOKUP(H15,kombinace_1!$CD:$CF,3,0),0)</f>
        <v>0</v>
      </c>
    </row>
    <row r="20" spans="1:52" ht="18" customHeight="1">
      <c r="A20" s="61"/>
      <c r="B20" s="550" t="str">
        <f>IF(H13&lt;&gt;"Salice",(IFERROR(VLOOKUP(H17,kombinace_1!$BY$32:$CA$35,2,0),0)),0)</f>
        <v>Vzdálenost od levého okraje (horního)</v>
      </c>
      <c r="C20" s="487"/>
      <c r="D20" s="487"/>
      <c r="E20" s="487"/>
      <c r="F20" s="544">
        <v>100</v>
      </c>
      <c r="G20" s="544"/>
      <c r="H20" s="544"/>
      <c r="I20" s="544"/>
      <c r="J20" s="487" t="str">
        <f>IFERROR(VLOOKUP(H17,kombinace_1!$BY$32:$CA$35,3,0),0)</f>
        <v>Vzdálenost od levého okraje (spodního)</v>
      </c>
      <c r="K20" s="487"/>
      <c r="L20" s="487"/>
      <c r="M20" s="487"/>
      <c r="N20" s="544">
        <v>100</v>
      </c>
      <c r="O20" s="544"/>
      <c r="P20" s="544"/>
      <c r="Q20" s="562"/>
      <c r="R20" s="61"/>
      <c r="S20" s="553"/>
      <c r="T20" s="554"/>
      <c r="U20" s="554"/>
      <c r="V20" s="554"/>
      <c r="W20" s="554"/>
      <c r="X20" s="554"/>
      <c r="Y20" s="555"/>
      <c r="Z20" s="80"/>
      <c r="AA20" s="78"/>
      <c r="AB20" s="79"/>
      <c r="AC20" s="9"/>
      <c r="AD20" s="552"/>
      <c r="AE20" s="793"/>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IF(kombinace_1!FC2=FALSE,'Translate&amp;Prices&amp;Logo'!$B$175," ")</f>
        <v>Typ úpravy skla</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v>1000</v>
      </c>
      <c r="AE21" s="793"/>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793"/>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Již neměnit po tom co vyberete typ skla/síťky  ↥↥</v>
      </c>
      <c r="I23" s="538"/>
      <c r="J23" s="538"/>
      <c r="K23" s="538"/>
      <c r="L23" s="538"/>
      <c r="M23" s="538"/>
      <c r="N23" s="538"/>
      <c r="O23" s="538"/>
      <c r="P23" s="538"/>
      <c r="Q23" s="539"/>
      <c r="R23" s="61"/>
      <c r="S23" s="556"/>
      <c r="T23" s="557"/>
      <c r="U23" s="557"/>
      <c r="V23" s="557"/>
      <c r="W23" s="557"/>
      <c r="X23" s="557"/>
      <c r="Y23" s="558"/>
      <c r="Z23" s="80"/>
      <c r="AA23" s="78"/>
      <c r="AB23" s="79"/>
      <c r="AC23" s="9"/>
      <c r="AD23" s="524"/>
      <c r="AE23" s="793"/>
      <c r="AF23" s="9"/>
      <c r="AG23" s="9"/>
      <c r="AH23" s="9"/>
      <c r="AI23" s="60"/>
      <c r="AJ23" s="61"/>
      <c r="AK23" s="9"/>
      <c r="AL23" s="532"/>
      <c r="AM23" s="533">
        <v>0</v>
      </c>
      <c r="AN23" s="9"/>
      <c r="AO23" s="80"/>
      <c r="AP23" s="74"/>
      <c r="AQ23" s="307"/>
      <c r="AR23" s="583"/>
      <c r="AS23" s="9"/>
      <c r="AT23" s="146"/>
      <c r="AU23" s="140">
        <f>VLOOKUP(H17,kombinace_1!$BY$3:$BZ$6,2,0)</f>
        <v>1</v>
      </c>
      <c r="AV23" s="140"/>
    </row>
    <row r="24" spans="1:52" ht="18" customHeight="1">
      <c r="A24" s="61"/>
      <c r="B24" s="519" t="str">
        <f>'Translate&amp;Prices&amp;Logo'!$B$564</f>
        <v>Typ folie</v>
      </c>
      <c r="C24" s="520"/>
      <c r="D24" s="520"/>
      <c r="E24" s="520"/>
      <c r="F24" s="520"/>
      <c r="G24" s="98"/>
      <c r="H24" s="536"/>
      <c r="I24" s="536"/>
      <c r="J24" s="536"/>
      <c r="K24" s="536"/>
      <c r="L24" s="536"/>
      <c r="M24" s="536"/>
      <c r="N24" s="536"/>
      <c r="O24" s="536"/>
      <c r="P24" s="536"/>
      <c r="Q24" s="537"/>
      <c r="R24" s="61"/>
      <c r="S24" s="506" t="str">
        <f>'Translate&amp;Prices&amp;Logo'!$B$179</f>
        <v>Poznámky</v>
      </c>
      <c r="T24" s="506"/>
      <c r="U24" s="506"/>
      <c r="Z24" s="80"/>
      <c r="AA24" s="78"/>
      <c r="AB24" s="79"/>
      <c r="AC24" s="488" t="str">
        <f>'Translate&amp;Prices&amp;Logo'!$B$244</f>
        <v>Vzdálenost od levého okraje</v>
      </c>
      <c r="AD24" s="488"/>
      <c r="AE24" s="488"/>
      <c r="AF24" s="488"/>
      <c r="AG24" s="488"/>
      <c r="AH24" s="9"/>
      <c r="AI24" s="60"/>
      <c r="AJ24" s="61"/>
      <c r="AK24" s="9"/>
      <c r="AL24" s="532"/>
      <c r="AM24" s="533"/>
      <c r="AN24" s="9"/>
      <c r="AO24" s="80"/>
      <c r="AP24" s="83"/>
      <c r="AQ24" s="307"/>
      <c r="AR24" s="9"/>
      <c r="AS24" s="317">
        <f>IF(H28&gt;0,AR14,0)</f>
        <v>0</v>
      </c>
      <c r="AT24" s="146"/>
      <c r="AU24" s="140" t="str">
        <f>CONCATENATE(AU23,"_",H19)</f>
        <v>1_</v>
      </c>
      <c r="AV24" s="140"/>
      <c r="AW24" s="112">
        <f>IF(AI30&gt;=2600,1.3,IF(AR14&gt;=2600,1.3,1))</f>
        <v>1</v>
      </c>
    </row>
    <row r="25" spans="1:52" ht="18" customHeight="1">
      <c r="A25" s="61"/>
      <c r="B25" s="489" t="str">
        <f>'Translate&amp;Prices&amp;Logo'!$B$627</f>
        <v>Typ skla/síťky</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Rozteč  mm</v>
      </c>
      <c r="AG25" s="535"/>
      <c r="AH25" s="535"/>
      <c r="AI25" s="535"/>
      <c r="AJ25" s="535"/>
      <c r="AK25" s="535"/>
      <c r="AL25" s="532"/>
      <c r="AM25" s="533"/>
      <c r="AN25" s="9"/>
      <c r="AO25" s="80"/>
      <c r="AP25" s="83"/>
      <c r="AQ25" s="307"/>
      <c r="AR25" s="9"/>
      <c r="AS25" s="9"/>
      <c r="AT25" s="146"/>
      <c r="AU25" s="140" t="e">
        <f>VLOOKUP(H27,kombinace_1!$BY3:$BZ6,2,0)</f>
        <v>#N/A</v>
      </c>
      <c r="AV25" s="140"/>
    </row>
    <row r="26" spans="1:52" ht="18" customHeight="1">
      <c r="A26" s="61"/>
      <c r="B26" s="489" t="str">
        <f>'Translate&amp;Prices&amp;Logo'!$B$551</f>
        <v>Rozteč úchytky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Umístění úchytky</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Počet kusů</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Dodat včetně uvedeného kování -&gt; vyberte ze seznamu:</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VLOOKUP(H14,kombinace_1!$DN$7:$DO$24,2,0)</f>
        <v>#N/A</v>
      </c>
      <c r="AB29" s="531">
        <f>IF(kombinace_1!FC2=TRUE,AB4,IF(H12='závěsy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Cena rámečků celkem</v>
      </c>
      <c r="C30" s="512"/>
      <c r="D30" s="512"/>
      <c r="E30" s="512"/>
      <c r="F30" s="512"/>
      <c r="G30" s="512"/>
      <c r="H30" s="512"/>
      <c r="I30" s="512"/>
      <c r="J30" s="512"/>
      <c r="K30" s="517"/>
      <c r="L30" s="526">
        <f>IF(OR((AI30&gt;AI43),(AR14&gt;AJ43)),"",((((AT11+AT13+AT15+AT17+AT33+AT35+AT37)*AT43)*(1-(Zakaznik!K21/100)))*AW24))</f>
        <v>0</v>
      </c>
      <c r="M30" s="526"/>
      <c r="N30" s="526"/>
      <c r="O30" s="526"/>
      <c r="P30" s="507" t="str">
        <f>VLOOKUP('Translate&amp;Prices&amp;Logo'!D1,'závěsy dle výklopu'!A204:B209,2,0)</f>
        <v>Kč</v>
      </c>
      <c r="Q30" s="508"/>
      <c r="R30" s="61"/>
      <c r="S30" s="500"/>
      <c r="T30" s="501"/>
      <c r="U30" s="501"/>
      <c r="V30" s="501"/>
      <c r="W30" s="501"/>
      <c r="X30" s="501"/>
      <c r="Y30" s="502"/>
      <c r="Z30" s="9"/>
      <c r="AA30" s="9"/>
      <c r="AB30" s="61"/>
      <c r="AC30" s="9"/>
      <c r="AD30" s="9"/>
      <c r="AE30" s="9"/>
      <c r="AF30" s="530" t="str">
        <f>'Translate&amp;Prices&amp;Logo'!$B$177</f>
        <v xml:space="preserve">Šířka </v>
      </c>
      <c r="AG30" s="530"/>
      <c r="AH30" s="530"/>
      <c r="AI30" s="523"/>
      <c r="AJ30" s="523"/>
      <c r="AK30" s="523"/>
      <c r="AL30" s="9"/>
      <c r="AM30" s="9"/>
      <c r="AN30" s="9"/>
      <c r="AO30" s="9"/>
      <c r="AP30" s="9"/>
      <c r="AQ30" s="9"/>
      <c r="AR30" s="9"/>
      <c r="AS30" s="9"/>
      <c r="AT30" s="146"/>
      <c r="AU30" s="138" t="e">
        <f>HLOOKUP("_Úzký_dolny_K12",kombinace_1!CV2:CW19,3,FALSE)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Souhrn</v>
      </c>
      <c r="AP31" s="582"/>
      <c r="AQ31" s="582"/>
      <c r="AR31" s="582"/>
      <c r="AS31" s="9"/>
      <c r="AT31" s="146"/>
      <c r="AU31" s="138" t="e">
        <f>AD44</f>
        <v>#N/A</v>
      </c>
    </row>
    <row r="32" spans="1:52" ht="17.25" customHeight="1">
      <c r="A32" s="61"/>
      <c r="B32" s="541" t="str">
        <f>'Translate&amp;Prices&amp;Logo'!$B$173</f>
        <v>Uvedené ceny jsou bez DPH a nezahrnují cenu požadovaného kování!</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 xml:space="preserve">Rámečky bez skla se dodávají v demontovaném stavu. </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IF(kombinace_1!V1=2,((AR14/1000)*(AI30/1000))*'Translate&amp;Prices&amp;Logo'!C96,0)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IF(kombinace_1!$V$1=3,IFERROR(((VLOOKUP(H24,'Translate&amp;Prices&amp;Logo'!B93:C95,2,0))*(AR14/1000)),0),0)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IF(kombinace_1!FC2=TRUE,_profily_síťka,IF(kombinace_1!H1=TRUE,_kombinovane_profily,_vše_profily))</f>
        <v>BRW (elox.) - maximální doporučená délka profilu 2500 mm</v>
      </c>
      <c r="L36" s="157" t="str">
        <f t="array" ref="L36:M36">IF(kombinace_1!H1=TRUE,'závěsy dle výklopu'!$BQ$2:$BR$2,
IF(H8=kombinace_1!A41,'závěsy dle výklopu'!$BQ$2,IF(H8=kombinace_1!A42,'závěsy dle výklopu'!$BQ$2,IF(H8=kombinace_1!A65,'závěsy dle výklopu'!$BQ$2,IF(H8=kombinace_1!A66,'závěsy dle výklopu'!$BQ$2,IF(H8=kombinace_1!A67,'závěsy dle výklopu'!$BQ$2,IF(H8=kombinace_1!A68,'závěsy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IF(H13=kombinace_1!BQ11,kombinace_1!$DN$2,kombinace_1!$DN$2:$DN$4)</f>
        <v>Naložený</v>
      </c>
      <c r="T36" s="157">
        <f t="array" aca="1" ref="T36:T44" ca="1">IF(H13=kombinace_1!BQ11,
  kombinace_1!$FA$2:$FA$9,
  IF(AND(OR(H8=kombinace_1!A41,H8=kombinace_1!A42),H13='závěsy dle výklopu'!BQ4),
    INDIRECT(VLOOKUP(AD42&amp;"_Rocca",kombinace_1!$ER$1:$ES$108,2,0)),
    IF($AU$9=2,
      INDIRECT(VLOOKUP(AD42,kombinace_1!$ER$1:$ES$108,2,0)),
      IF($AU$9=3,
        INDIRECT(VLOOKUP($T$47,kombinace_1!$AA$1:$AB$100,2,0)),
      $Y$48)
    )
  )
)</f>
        <v>0</v>
      </c>
      <c r="AF36" s="157" t="e">
        <f>HLOOKUP($AD$44,'závěsy dle výklopu'!$CG$4:$EZ$10,2,0)</f>
        <v>#N/A</v>
      </c>
      <c r="AJ36" s="157">
        <f t="array" ref="AJ36:AJ40">IF(AM19&lt;2100,kombinace_1!BY8:BY12,kombinace_1!BY8:BY12)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1!FC2=TRUE,500,AJ43))),"")</f>
        <v/>
      </c>
      <c r="AJ43" s="277" t="str">
        <f>IFERROR((IF(kombinace_1!FC2=TRUE,1000,VLOOKUP(H8,'Translate&amp;Prices&amp;Logo'!B6:U84,20,0))),"")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CONCATENATE(H13,"_",VLOOKUP(kombinace_1!H1,kombinace_1!$J$14:$K$15,2,0))</f>
        <v>_2</v>
      </c>
      <c r="AD47" s="157" t="s">
        <v>4253</v>
      </c>
      <c r="AI47" s="112"/>
      <c r="AJ47" s="270"/>
      <c r="AN47" s="578"/>
      <c r="AO47" s="578"/>
      <c r="AP47" s="578"/>
      <c r="AQ47" s="578"/>
    </row>
    <row r="48" spans="1:58" s="157" customFormat="1" ht="14.85" hidden="1" customHeight="1">
      <c r="A48" s="140"/>
      <c r="B48" s="157" t="str">
        <v>BRW kašmír - maximální doporučená délka profilu 2500 mm</v>
      </c>
      <c r="T48" s="157" t="e">
        <f>VLOOKUP(AD42,kombinace_1!ER1:ES120,2,0)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1!AB40,$H$15=kombinace_1!AB7,$H$15=kombinace_1!AB15,$H$15=kombinace_1!AB20,$H$15=kombinace_1!AB21,$H$15=kombinace_1!AB22),'Translate&amp;Prices&amp;Logo'!$B$231:$B$233,IF($H$15=kombinace_1!AB41,'Translate&amp;Prices&amp;Logo'!$B$231:$B$233,'Translate&amp;Prices&amp;Logo'!$B$235:$B$239))</f>
        <v>Úzký ALU rámeček</v>
      </c>
      <c r="T54" s="157" t="str">
        <f t="array" ref="T54:T56">kombinace_1!$EN$3:$EN$5</f>
        <v>Bez úprav</v>
      </c>
      <c r="U54" s="157">
        <v>1</v>
      </c>
      <c r="X54" s="157" t="str">
        <f t="array" ref="X54:X56">kombinace_1!$X$3:$X$5</f>
        <v>Transparentní</v>
      </c>
      <c r="AD54" s="157" t="e">
        <f t="array" aca="1" ref="AD54:AD97" ca="1">IF(kombinace_1!FC2=FALSE,
INDIRECT(kombinace_1!S1),
IF(kombinace_1!FC2=TRUE,INDIRECT(VLOOKUP(Ram_1!H8,'závěsy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D55" s="157" t="e">
        <f ca="1"/>
        <v>#N/A</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c r="AD56" s="157" t="e">
        <f ca="1"/>
        <v>#N/A</v>
      </c>
    </row>
    <row r="57" spans="1:46" s="157" customFormat="1" ht="14.85" hidden="1" customHeight="1">
      <c r="A57" s="140"/>
      <c r="B57" s="157" t="str">
        <v>Imola bílá mat RAL 9003 - maximální doporučená délka profilu 2500 mm</v>
      </c>
      <c r="K57" s="157" t="str">
        <v>MDF tloušťky 18 mm</v>
      </c>
      <c r="AD57" s="157" t="e">
        <f ca="1"/>
        <v>#N/A</v>
      </c>
    </row>
    <row r="58" spans="1:46" s="157" customFormat="1" ht="14.85" hidden="1" customHeight="1">
      <c r="A58" s="140"/>
      <c r="B58" s="157" t="str">
        <v>Imola zlatá - maximální doporučená délka profilu 2150 mm</v>
      </c>
      <c r="K58" s="157" t="str">
        <v>DTDL tloušťky 18 mm</v>
      </c>
      <c r="AD58" s="157" t="e">
        <f ca="1"/>
        <v>#N/A</v>
      </c>
    </row>
    <row r="59" spans="1:46" s="157" customFormat="1" ht="14.85" hidden="1" customHeight="1">
      <c r="A59" s="140"/>
      <c r="B59" s="157" t="str">
        <v>Modena (elox.) - maximální doporučená délka profilu 2500 mm</v>
      </c>
      <c r="T59" s="157">
        <f>IFERROR(VLOOKUP($H$21,$T$54:$U$56,2,0),0)</f>
        <v>0</v>
      </c>
      <c r="AD59" s="157" t="e">
        <f ca="1"/>
        <v>#N/A</v>
      </c>
    </row>
    <row r="60" spans="1:46" s="157" customFormat="1" ht="14.85" hidden="1" customHeight="1">
      <c r="A60" s="140"/>
      <c r="B60" s="157" t="str">
        <v>Modena černá mat - maximální doporučená délka profilu 2500 mm</v>
      </c>
      <c r="K60" s="157" t="b">
        <f>K56=K61</f>
        <v>0</v>
      </c>
      <c r="AD60" s="157" t="e">
        <f ca="1"/>
        <v>#N/A</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c r="AD61" s="157" t="e">
        <f ca="1"/>
        <v>#N/A</v>
      </c>
    </row>
    <row r="62" spans="1:46" s="157" customFormat="1" ht="14.85" hidden="1" customHeight="1">
      <c r="A62" s="140"/>
      <c r="B62" s="157" t="str">
        <v>Modena tmavá nerez br. (inox lija) - maximální doporučená délka profilu 2500 mm</v>
      </c>
      <c r="AD62" s="157" t="e">
        <f ca="1"/>
        <v>#N/A</v>
      </c>
    </row>
    <row r="63" spans="1:46" s="157" customFormat="1" ht="14.85" hidden="1" customHeight="1">
      <c r="A63" s="140"/>
      <c r="B63" s="157" t="str">
        <v>Modena hnědá - maximální doporučená délka profilu 2500 mm</v>
      </c>
      <c r="AD63" s="157" t="e">
        <f ca="1"/>
        <v>#N/A</v>
      </c>
    </row>
    <row r="64" spans="1:46" s="157" customFormat="1" ht="14.85" hidden="1" customHeight="1">
      <c r="A64" s="140"/>
      <c r="B64" s="157" t="str">
        <v>Pisa (elox.) - maximální doporučená délka profilu 2500 mm</v>
      </c>
      <c r="AD64" s="157" t="e">
        <f ca="1"/>
        <v>#N/A</v>
      </c>
    </row>
    <row r="65" spans="1:30"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f t="array" ref="O65:O71">IF($H$15=kombinace_1!$AB$40,_strong_vzpera_horni,IF($H$15=kombinace_1!$AB$41,_stronglift_klopna,IF($H$12='závěsy dle výklopu'!$BQ$2,$J$65:$J$71,'Translate&amp;Prices&amp;Logo'!$B$187:$B$188)))</f>
        <v>horní dvířko</v>
      </c>
      <c r="AD65" s="157" t="e">
        <f ca="1"/>
        <v>#N/A</v>
      </c>
    </row>
    <row r="66" spans="1:30"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c r="AD66" s="157" t="e">
        <f ca="1"/>
        <v>#N/A</v>
      </c>
    </row>
    <row r="67" spans="1:30"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c r="O67" s="157" t="e">
        <v>#N/A</v>
      </c>
      <c r="AD67" s="157" t="e">
        <f ca="1"/>
        <v>#N/A</v>
      </c>
    </row>
    <row r="68" spans="1:30"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c r="O68" s="157" t="e">
        <v>#N/A</v>
      </c>
      <c r="AD68" s="157" t="e">
        <f ca="1"/>
        <v>#N/A</v>
      </c>
    </row>
    <row r="69" spans="1:30"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c r="O69" s="157" t="e">
        <v>#N/A</v>
      </c>
      <c r="AD69" s="157" t="e">
        <f ca="1"/>
        <v>#N/A</v>
      </c>
    </row>
    <row r="70" spans="1:30"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c r="O70" s="157" t="e">
        <v>#N/A</v>
      </c>
      <c r="AD70" s="157" t="e">
        <f ca="1"/>
        <v>#N/A</v>
      </c>
    </row>
    <row r="71" spans="1:30"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c r="O71" s="157" t="e">
        <v>#N/A</v>
      </c>
      <c r="AD71" s="157" t="e">
        <f ca="1"/>
        <v>#N/A</v>
      </c>
    </row>
    <row r="72" spans="1:30" s="157" customFormat="1" ht="14.85" hidden="1" customHeight="1">
      <c r="A72" s="140"/>
      <c r="B72" s="157" t="str">
        <v>Rimini zlatá - max délka profilu 1100 mm</v>
      </c>
      <c r="AD72" s="157" t="e">
        <f ca="1"/>
        <v>#N/A</v>
      </c>
    </row>
    <row r="73" spans="1:30" s="157" customFormat="1" ht="14.85" hidden="1" customHeight="1">
      <c r="A73" s="140"/>
      <c r="B73" s="157" t="str">
        <v>Rimini zlatá broušená - max délka profilu 1100 mm</v>
      </c>
      <c r="AD73" s="157" t="e">
        <f ca="1"/>
        <v>#N/A</v>
      </c>
    </row>
    <row r="74" spans="1:30" s="157" customFormat="1" ht="14.85" hidden="1" customHeight="1">
      <c r="A74" s="140"/>
      <c r="B74" s="157" t="str">
        <v>Rocca (elox.) - maximální doporučená délka profilu 2150 mm</v>
      </c>
      <c r="AD74" s="157" t="e">
        <f ca="1"/>
        <v>#N/A</v>
      </c>
    </row>
    <row r="75" spans="1:30" s="157" customFormat="1" ht="14.85" hidden="1" customHeight="1">
      <c r="A75" s="140"/>
      <c r="B75" s="157" t="str">
        <v>Rocca černá mat - maximální doporučená délka profilu 2150 mm</v>
      </c>
      <c r="AD75" s="157" t="e">
        <f ca="1"/>
        <v>#N/A</v>
      </c>
    </row>
    <row r="76" spans="1:30" s="157" customFormat="1" ht="14.85" hidden="1" customHeight="1">
      <c r="A76" s="140"/>
      <c r="B76" s="157" t="str">
        <v>Treviso černá mat - maximální doporučená délka profilu 2750 mm</v>
      </c>
      <c r="AD76" s="157" t="e">
        <f ca="1"/>
        <v>#N/A</v>
      </c>
    </row>
    <row r="77" spans="1:30" s="157" customFormat="1" ht="14.85" hidden="1" customHeight="1">
      <c r="A77" s="140"/>
      <c r="B77" s="157" t="str">
        <v>Verona (elox.) - maximální doporučená délka profilu 2500 mm</v>
      </c>
      <c r="AD77" s="157" t="e">
        <f ca="1"/>
        <v>#N/A</v>
      </c>
    </row>
    <row r="78" spans="1:30" s="157" customFormat="1" ht="14.85" hidden="1" customHeight="1">
      <c r="A78" s="140"/>
      <c r="B78" s="157" t="str">
        <v>Verona broušený hliník - maximální doporučená délka profilu 2500 mm</v>
      </c>
      <c r="AD78" s="157" t="e">
        <f ca="1"/>
        <v>#N/A</v>
      </c>
    </row>
    <row r="79" spans="1:30" s="157" customFormat="1" ht="14.85" hidden="1" customHeight="1">
      <c r="A79" s="140"/>
      <c r="B79" s="157" t="str">
        <v>Verona černá mat - maximální doporučená délka profilu 2500 mm</v>
      </c>
      <c r="AD79" s="157" t="e">
        <f ca="1"/>
        <v>#N/A</v>
      </c>
    </row>
    <row r="80" spans="1:30" s="157" customFormat="1" ht="14.85" hidden="1" customHeight="1">
      <c r="A80" s="140"/>
      <c r="B80" s="157" t="str">
        <v>Verona černá lesk - maximální doporučená délka profilu 2500 mm</v>
      </c>
      <c r="AD80" s="157" t="e">
        <f ca="1"/>
        <v>#N/A</v>
      </c>
    </row>
    <row r="81" spans="1:38" s="157" customFormat="1" ht="14.85" hidden="1" customHeight="1">
      <c r="A81" s="140"/>
      <c r="B81" s="157" t="str">
        <v>Verona hnědá - maximální doporučená délka profilu 2500 mm</v>
      </c>
      <c r="AD81" s="157" t="e">
        <f ca="1"/>
        <v>#N/A</v>
      </c>
    </row>
    <row r="82" spans="1:38" s="157" customFormat="1" ht="14.85" hidden="1" customHeight="1">
      <c r="A82" s="140"/>
      <c r="B82" s="157" t="str">
        <v>Verona champagne - maximální doporučená délka profilu 2500 mm</v>
      </c>
      <c r="P82" s="157" t="str" cm="1">
        <f t="array" ref="P82:P85">IF(OR(H8=kombinace_1!F18,H8=kombinace_1!F19,H8=kombinace_1!A65,H8=kombinace_1!A66,H8=kombinace_1!A67,H8=kombinace_1!A68),_2_strany,IF(H15=kombinace_1!AB8,_ramena_HL,_4_strany))</f>
        <v>Nahoře</v>
      </c>
      <c r="AD82" s="157" t="e">
        <f ca="1"/>
        <v>#N/A</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sheetData>
  <sheetProtection algorithmName="SHA-512" hashValue="Mnhn5xmLHIpB/feYFE5dO7tOL1AuJNXvKKre84ABG3s06kNYdBuVRQPnNV0roznLPNFzrE2g3Bhr2oojteu8CQ==" saltValue="Rt9Xuutho56iLwqXsica8g==" spinCount="100000" sheet="1" objects="1" scenarios="1"/>
  <protectedRanges>
    <protectedRange sqref="G7 I7:R7" name="Oblast1"/>
  </protectedRanges>
  <dataConsolidate/>
  <mergeCells count="99">
    <mergeCell ref="AN47:AO47"/>
    <mergeCell ref="AP47:AQ47"/>
    <mergeCell ref="BI3:BM3"/>
    <mergeCell ref="AP2:AS3"/>
    <mergeCell ref="BD3:BH3"/>
    <mergeCell ref="AO31:AR32"/>
    <mergeCell ref="AR19:AR23"/>
    <mergeCell ref="AN19:AO19"/>
    <mergeCell ref="AR14:AR18"/>
    <mergeCell ref="A2:AJ3"/>
    <mergeCell ref="M10:Q10"/>
    <mergeCell ref="H9:Q9"/>
    <mergeCell ref="H11:L11"/>
    <mergeCell ref="H10:L10"/>
    <mergeCell ref="B5:D5"/>
    <mergeCell ref="F5:H5"/>
    <mergeCell ref="J5:L5"/>
    <mergeCell ref="N5:P5"/>
    <mergeCell ref="AB4:AN5"/>
    <mergeCell ref="B7:F7"/>
    <mergeCell ref="AF9:AK9"/>
    <mergeCell ref="AC8:AG8"/>
    <mergeCell ref="AJ7:AJ8"/>
    <mergeCell ref="S7:U7"/>
    <mergeCell ref="H8:Q8"/>
    <mergeCell ref="AC9:AD9"/>
    <mergeCell ref="M11:Q11"/>
    <mergeCell ref="B14:F14"/>
    <mergeCell ref="AB19:AC19"/>
    <mergeCell ref="H14:Q14"/>
    <mergeCell ref="S18:Y23"/>
    <mergeCell ref="S13:Y17"/>
    <mergeCell ref="H15:Q15"/>
    <mergeCell ref="S8:Y9"/>
    <mergeCell ref="S10:Y12"/>
    <mergeCell ref="N20:Q20"/>
    <mergeCell ref="N16:Q16"/>
    <mergeCell ref="J16:M16"/>
    <mergeCell ref="H21:Q21"/>
    <mergeCell ref="V5:X5"/>
    <mergeCell ref="B13:F13"/>
    <mergeCell ref="B15:F15"/>
    <mergeCell ref="B32:Q32"/>
    <mergeCell ref="H28:Q28"/>
    <mergeCell ref="R5:T5"/>
    <mergeCell ref="B21:F21"/>
    <mergeCell ref="F20:I20"/>
    <mergeCell ref="H19:Q19"/>
    <mergeCell ref="H17:Q17"/>
    <mergeCell ref="F16:I16"/>
    <mergeCell ref="B18:F18"/>
    <mergeCell ref="B16:E16"/>
    <mergeCell ref="B9:F9"/>
    <mergeCell ref="B11:F11"/>
    <mergeCell ref="B20:E20"/>
    <mergeCell ref="G7:Q7"/>
    <mergeCell ref="AI30:AK30"/>
    <mergeCell ref="AJ26:AJ27"/>
    <mergeCell ref="AC25:AD25"/>
    <mergeCell ref="L30:O31"/>
    <mergeCell ref="H26:Q26"/>
    <mergeCell ref="AF30:AH30"/>
    <mergeCell ref="AB29:AO29"/>
    <mergeCell ref="AL19:AL25"/>
    <mergeCell ref="AM23:AM25"/>
    <mergeCell ref="AM14:AM21"/>
    <mergeCell ref="AF25:AK25"/>
    <mergeCell ref="H24:Q24"/>
    <mergeCell ref="H23:Q23"/>
    <mergeCell ref="H12:Q12"/>
    <mergeCell ref="H18:Q18"/>
    <mergeCell ref="R33:S33"/>
    <mergeCell ref="R34:S34"/>
    <mergeCell ref="B17:F17"/>
    <mergeCell ref="B12:F12"/>
    <mergeCell ref="B19:F19"/>
    <mergeCell ref="H13:Q13"/>
    <mergeCell ref="S25:Y31"/>
    <mergeCell ref="S24:U24"/>
    <mergeCell ref="H27:Q27"/>
    <mergeCell ref="P30:Q31"/>
    <mergeCell ref="B30:J31"/>
    <mergeCell ref="B27:F27"/>
    <mergeCell ref="B28:F28"/>
    <mergeCell ref="K30:K31"/>
    <mergeCell ref="B24:F24"/>
    <mergeCell ref="B33:K34"/>
    <mergeCell ref="L33:Q34"/>
    <mergeCell ref="V34:W34"/>
    <mergeCell ref="J20:M20"/>
    <mergeCell ref="AC24:AG24"/>
    <mergeCell ref="B25:F25"/>
    <mergeCell ref="B26:F26"/>
    <mergeCell ref="H25:Q25"/>
    <mergeCell ref="P29:Q29"/>
    <mergeCell ref="D29:O29"/>
    <mergeCell ref="AD14:AD20"/>
    <mergeCell ref="AE18:AE23"/>
    <mergeCell ref="AD21:AD23"/>
  </mergeCells>
  <conditionalFormatting sqref="B5 F5 J5 N5 R5 V5">
    <cfRule type="cellIs" dxfId="444" priority="62" operator="equal">
      <formula>$A$2</formula>
    </cfRule>
  </conditionalFormatting>
  <conditionalFormatting sqref="B16:I16">
    <cfRule type="expression" dxfId="443" priority="322">
      <formula>$AU$19=0</formula>
    </cfRule>
  </conditionalFormatting>
  <conditionalFormatting sqref="B9:Q9">
    <cfRule type="expression" dxfId="442" priority="98">
      <formula>$B$9=0</formula>
    </cfRule>
  </conditionalFormatting>
  <conditionalFormatting sqref="B11:Q11">
    <cfRule type="expression" dxfId="441" priority="303">
      <formula>$AU$10=0</formula>
    </cfRule>
  </conditionalFormatting>
  <conditionalFormatting sqref="B14:Q14">
    <cfRule type="expression" dxfId="440" priority="96">
      <formula>$B$14=0</formula>
    </cfRule>
  </conditionalFormatting>
  <conditionalFormatting sqref="B17:Q17">
    <cfRule type="expression" dxfId="439" priority="90">
      <formula>$B$17=0</formula>
    </cfRule>
  </conditionalFormatting>
  <conditionalFormatting sqref="B18:Q18">
    <cfRule type="expression" dxfId="438" priority="40" stopIfTrue="1">
      <formula>$B$18=0</formula>
    </cfRule>
    <cfRule type="expression" dxfId="437" priority="43">
      <formula>$F$16=$H$61</formula>
    </cfRule>
  </conditionalFormatting>
  <conditionalFormatting sqref="B19:Q19">
    <cfRule type="expression" dxfId="436" priority="89">
      <formula>$B$19=0</formula>
    </cfRule>
  </conditionalFormatting>
  <conditionalFormatting sqref="B20:Q20">
    <cfRule type="expression" dxfId="435" priority="63">
      <formula>$B$20=0</formula>
    </cfRule>
    <cfRule type="expression" dxfId="434" priority="64">
      <formula>$B$19=0</formula>
    </cfRule>
  </conditionalFormatting>
  <conditionalFormatting sqref="B21:Q21">
    <cfRule type="expression" dxfId="433" priority="15">
      <formula>$B$21=" "</formula>
    </cfRule>
  </conditionalFormatting>
  <conditionalFormatting sqref="B24:Q24">
    <cfRule type="expression" dxfId="432" priority="47" stopIfTrue="1">
      <formula>$T$59&lt;3</formula>
    </cfRule>
  </conditionalFormatting>
  <conditionalFormatting sqref="H23">
    <cfRule type="expression" dxfId="431" priority="265">
      <formula>$H$25&gt;0</formula>
    </cfRule>
  </conditionalFormatting>
  <conditionalFormatting sqref="H10:L11">
    <cfRule type="expression" dxfId="430" priority="58">
      <formula>$AU$10=2</formula>
    </cfRule>
  </conditionalFormatting>
  <conditionalFormatting sqref="H10:Q10">
    <cfRule type="expression" dxfId="429" priority="57">
      <formula>$AU$10=0</formula>
    </cfRule>
  </conditionalFormatting>
  <conditionalFormatting sqref="H22:Q22 B22:G23">
    <cfRule type="expression" dxfId="428" priority="52">
      <formula>$AS$33=1</formula>
    </cfRule>
  </conditionalFormatting>
  <conditionalFormatting sqref="J16:M16">
    <cfRule type="expression" dxfId="427" priority="42" stopIfTrue="1">
      <formula>$K$60=TRUE</formula>
    </cfRule>
  </conditionalFormatting>
  <conditionalFormatting sqref="J16:N16">
    <cfRule type="expression" dxfId="426" priority="45" stopIfTrue="1">
      <formula>$AV$19=0</formula>
    </cfRule>
  </conditionalFormatting>
  <conditionalFormatting sqref="M10:Q11">
    <cfRule type="expression" dxfId="425" priority="56">
      <formula>$AU$10=1</formula>
    </cfRule>
  </conditionalFormatting>
  <conditionalFormatting sqref="N16:Q16">
    <cfRule type="expression" dxfId="424" priority="41" stopIfTrue="1">
      <formula>$K$60=TRUE</formula>
    </cfRule>
  </conditionalFormatting>
  <conditionalFormatting sqref="P29:Q29">
    <cfRule type="expression" dxfId="423" priority="1">
      <formula>$U$41=2</formula>
    </cfRule>
  </conditionalFormatting>
  <conditionalFormatting sqref="AA9:AA10 AA24:AA25">
    <cfRule type="expression" dxfId="422" priority="19" stopIfTrue="1">
      <formula>$AU$17=1</formula>
    </cfRule>
  </conditionalFormatting>
  <conditionalFormatting sqref="AA16:AA17">
    <cfRule type="expression" dxfId="421" priority="11" stopIfTrue="1">
      <formula>$AU$24="1_3"</formula>
    </cfRule>
  </conditionalFormatting>
  <conditionalFormatting sqref="AB6 AA6:AA7 AA27 AA28:AB28">
    <cfRule type="expression" dxfId="420" priority="8" stopIfTrue="1">
      <formula>$AV$17=1</formula>
    </cfRule>
  </conditionalFormatting>
  <conditionalFormatting sqref="AB29:AO29">
    <cfRule type="cellIs" dxfId="419" priority="4" operator="equal">
      <formula>0</formula>
    </cfRule>
  </conditionalFormatting>
  <conditionalFormatting sqref="AC6:AD6 AM6:AN6">
    <cfRule type="expression" dxfId="418" priority="23" stopIfTrue="1">
      <formula>$AU$17=3</formula>
    </cfRule>
  </conditionalFormatting>
  <conditionalFormatting sqref="AC25:AD25 AJ26:AJ27">
    <cfRule type="expression" dxfId="417" priority="274">
      <formula>$AU$25=4</formula>
    </cfRule>
  </conditionalFormatting>
  <conditionalFormatting sqref="AC28:AD28 AM28:AN28">
    <cfRule type="expression" dxfId="416" priority="22" stopIfTrue="1">
      <formula>$AU$17=4</formula>
    </cfRule>
  </conditionalFormatting>
  <conditionalFormatting sqref="AC8:AG8">
    <cfRule type="expression" dxfId="415" priority="286">
      <formula>$AU$25=3</formula>
    </cfRule>
  </conditionalFormatting>
  <conditionalFormatting sqref="AC24:AG24">
    <cfRule type="expression" dxfId="414" priority="283">
      <formula>$AU$25=4</formula>
    </cfRule>
  </conditionalFormatting>
  <conditionalFormatting sqref="AB19:AC19 AD21:AD23">
    <cfRule type="expression" dxfId="413" priority="268">
      <formula>$AU$25=1</formula>
    </cfRule>
  </conditionalFormatting>
  <conditionalFormatting sqref="AD14">
    <cfRule type="expression" dxfId="412" priority="267">
      <formula>$AU$25=1</formula>
    </cfRule>
  </conditionalFormatting>
  <conditionalFormatting sqref="AE11:AE16 AE18">
    <cfRule type="expression" dxfId="411" priority="284">
      <formula>$AU$25=1</formula>
    </cfRule>
  </conditionalFormatting>
  <conditionalFormatting sqref="AF9:AK9">
    <cfRule type="expression" dxfId="410" priority="271">
      <formula>$AU$25=3</formula>
    </cfRule>
  </conditionalFormatting>
  <conditionalFormatting sqref="AF25:AK25">
    <cfRule type="expression" dxfId="409" priority="273">
      <formula>$AU$25=4</formula>
    </cfRule>
  </conditionalFormatting>
  <conditionalFormatting sqref="AG6:AH6">
    <cfRule type="expression" dxfId="408" priority="17" stopIfTrue="1">
      <formula>$AU$24="3_3"</formula>
    </cfRule>
  </conditionalFormatting>
  <conditionalFormatting sqref="AG28:AH28">
    <cfRule type="expression" dxfId="407" priority="16" stopIfTrue="1">
      <formula>$AU$24="4_3"</formula>
    </cfRule>
  </conditionalFormatting>
  <conditionalFormatting sqref="AJ7:AJ8 AC9:AD9">
    <cfRule type="expression" dxfId="406" priority="272">
      <formula>$AU$25=3</formula>
    </cfRule>
  </conditionalFormatting>
  <conditionalFormatting sqref="AL19:AL25">
    <cfRule type="expression" dxfId="405" priority="285">
      <formula>$AU$25=2</formula>
    </cfRule>
  </conditionalFormatting>
  <conditionalFormatting sqref="AM14:AM21">
    <cfRule type="expression" dxfId="404" priority="269">
      <formula>$AU$25=2</formula>
    </cfRule>
  </conditionalFormatting>
  <conditionalFormatting sqref="AN19:AO19 AM23:AM25">
    <cfRule type="expression" dxfId="403" priority="270">
      <formula>$AU$25=2</formula>
    </cfRule>
  </conditionalFormatting>
  <conditionalFormatting sqref="AO6 AP6:AP7 AP27 AO28:AP28">
    <cfRule type="expression" dxfId="402" priority="7" stopIfTrue="1">
      <formula>$AV$17=2</formula>
    </cfRule>
  </conditionalFormatting>
  <conditionalFormatting sqref="AP9:AP10 AP24:AP25">
    <cfRule type="expression" dxfId="401" priority="18" stopIfTrue="1">
      <formula>$AU$17=2</formula>
    </cfRule>
  </conditionalFormatting>
  <conditionalFormatting sqref="AP16:AP17">
    <cfRule type="expression" dxfId="400" priority="26" stopIfTrue="1">
      <formula>$AU$24="2_3"</formula>
    </cfRule>
  </conditionalFormatting>
  <dataValidations count="20">
    <dataValidation type="whole" allowBlank="1" showInputMessage="1" showErrorMessage="1" errorTitle="Minimum 80 mm" sqref="F20:I20 N20:Q20" xr:uid="{2ECB2B72-CA16-4691-B14C-FC5C9430B0E6}">
      <formula1>80</formula1>
      <formula2>1300</formula2>
    </dataValidation>
    <dataValidation type="whole" allowBlank="1" showInputMessage="1" showErrorMessage="1" sqref="M11:Q11" xr:uid="{73AAA112-557B-4EE9-882B-347EC01AD943}">
      <formula1>1</formula1>
      <formula2>(AI30/100)-1</formula2>
    </dataValidation>
    <dataValidation type="whole" allowBlank="1" showInputMessage="1" showErrorMessage="1" sqref="H11:L11" xr:uid="{F9F51350-2891-42FD-870E-032E8733616F}">
      <formula1>1</formula1>
      <formula2>(AR14/100)-1</formula2>
    </dataValidation>
    <dataValidation type="whole" operator="greaterThanOrEqual" allowBlank="1" showInputMessage="1" showErrorMessage="1" sqref="H26:Q26" xr:uid="{1CAB1EA5-0D14-4A72-90E6-2181BA6CF0A4}">
      <formula1>1</formula1>
    </dataValidation>
    <dataValidation type="list" allowBlank="1" showInputMessage="1" showErrorMessage="1" sqref="H8:Q8" xr:uid="{737A7DDB-E8AE-4F11-9098-4FA83ADD47FC}">
      <formula1>B36:B101</formula1>
    </dataValidation>
    <dataValidation type="list" allowBlank="1" showInputMessage="1" showErrorMessage="1" sqref="H12:Q12" xr:uid="{9A72BB48-FEA0-4F2E-8E48-BEE3B61A01A6}">
      <formula1>$L$36:$M$36</formula1>
    </dataValidation>
    <dataValidation type="list" allowBlank="1" showInputMessage="1" showErrorMessage="1" sqref="H13:Q13" xr:uid="{2DC03141-0C81-4126-82DF-C9D9EF1A8E9A}">
      <formula1>IF(M38="Salice",$L$38,$L$38:$L$42)</formula1>
    </dataValidation>
    <dataValidation type="list" allowBlank="1" showInputMessage="1" showErrorMessage="1" sqref="H14:Q14" xr:uid="{B36E2FC8-2807-4195-99C8-CD2E91361B2C}">
      <formula1>$P$36:$P$38</formula1>
    </dataValidation>
    <dataValidation type="list" allowBlank="1" showInputMessage="1" showErrorMessage="1" sqref="N16:Q16" xr:uid="{5606A985-9E8B-4C83-B947-EB7C778CADCE}">
      <formula1>$K$54:$K$58</formula1>
    </dataValidation>
    <dataValidation type="list" allowBlank="1" showInputMessage="1" showErrorMessage="1" sqref="H19:Q19" xr:uid="{1CA35873-1EAC-4ED9-930D-461EB90A4AE7}">
      <formula1>IF(H13="Salice",$AJ$36,($AJ$36:$AJ$40))</formula1>
    </dataValidation>
    <dataValidation type="list" allowBlank="1" showInputMessage="1" showErrorMessage="1" sqref="H21:Q21" xr:uid="{F181650D-CA40-4294-B713-01BA4F429CA6}">
      <formula1>$T$54:$T$56</formula1>
    </dataValidation>
    <dataValidation type="list" allowBlank="1" showInputMessage="1" showErrorMessage="1" sqref="H24:Q24" xr:uid="{7255FAD7-7A24-4042-B39B-E9E884F90F18}">
      <formula1>$X$54:$X$56</formula1>
    </dataValidation>
    <dataValidation type="list" allowBlank="1" showInputMessage="1" showErrorMessage="1" sqref="H15:Q15" xr:uid="{CB9C7AFA-AA39-46D4-956D-495BCF006EBB}">
      <formula1>$T$36:$T$44</formula1>
    </dataValidation>
    <dataValidation type="list" allowBlank="1" showInputMessage="1" showErrorMessage="1" sqref="H18:Q18" xr:uid="{3E620BB9-D01B-4313-BB55-42966B162331}">
      <formula1>$AF$36:$AF$41</formula1>
    </dataValidation>
    <dataValidation type="whole" operator="lessThan" showErrorMessage="1" sqref="AR14:AR18" xr:uid="{52B90945-3255-4717-9D8E-101BB8091823}">
      <formula1>IF(AI30&lt;AI43+1,AJ43+1,AI43+1)</formula1>
    </dataValidation>
    <dataValidation type="list" allowBlank="1" showInputMessage="1" showErrorMessage="1" sqref="F16:I16" xr:uid="{B9725D4F-FFE0-4AA4-82E5-C08F718AA054}">
      <formula1>$O$65:$O$84</formula1>
    </dataValidation>
    <dataValidation type="whole" operator="lessThan" showInputMessage="1" showErrorMessage="1" sqref="AI30:AK30" xr:uid="{C5E0A6B9-BC51-411A-98D2-FD1331EBFBFD}">
      <formula1>IF(AR14&lt;AI43+1,AJ43+1,AI43+1)</formula1>
    </dataValidation>
    <dataValidation type="list" allowBlank="1" showInputMessage="1" showErrorMessage="1" sqref="H17:Q17" xr:uid="{F019DA1F-D9A5-4A33-94C8-C50A8770748C}">
      <formula1>$P$82:$P$90</formula1>
    </dataValidation>
    <dataValidation type="list" allowBlank="1" showInputMessage="1" showErrorMessage="1" sqref="H25:Q25" xr:uid="{5AC7296A-233F-40AD-BFAF-17AF8A9C5039}">
      <formula1>$AD$54:$AD$97</formula1>
    </dataValidation>
    <dataValidation type="list" allowBlank="1" showInputMessage="1" showErrorMessage="1" sqref="P29:Q29" xr:uid="{6FCF6086-1154-4606-BB93-60CC9B5316DC}">
      <formula1>$W$37:$W$38</formula1>
    </dataValidation>
  </dataValidations>
  <hyperlinks>
    <hyperlink ref="AP2:AS3" location="Hlavní!A1" display="Hlavní!A1" xr:uid="{AB85E58D-83A5-4B59-90B7-1069D7733737}"/>
    <hyperlink ref="F5:H5" location="Ram_2!A1" display="Ram_2!A1" xr:uid="{1BD65057-C224-483C-AADF-6DF24E3C1941}"/>
    <hyperlink ref="N5:P5" location="Ram_4!A1" display="Ram_4!A1" xr:uid="{EEF40F1E-EB3D-416B-B3F5-2AEAB314969A}"/>
    <hyperlink ref="R5:T5" location="Ram_5!A1" display="Ram_5!A1" xr:uid="{34046366-670D-46F4-8880-A0F24D582421}"/>
    <hyperlink ref="V5:X5" location="Ram_6!A1" display="Ram_6!A1" xr:uid="{434F5757-7FD7-4BA5-828A-1A1A0F540544}"/>
    <hyperlink ref="B5:D5" location="Ram_1!A1" display="Ram_1!A1" xr:uid="{4D9A6DF5-4398-424D-92D8-B23610F32EC4}"/>
    <hyperlink ref="AO31:AR32" location="_souhrn!A1" display="_souhrn!A1" xr:uid="{E8B648A1-396F-4746-99DB-BCCBF3AA5E8A}"/>
    <hyperlink ref="J5:L5" location="Ram_3!A1" display="Ram_3!A1" xr:uid="{837023F8-6386-4BE2-8386-03483C999C01}"/>
  </hyperlinks>
  <pageMargins left="0.7" right="0.7" top="0.78740157499999996" bottom="0.78740157499999996" header="0.3" footer="0.3"/>
  <pageSetup paperSize="9" scale="55" orientation="landscape" r:id="rId1"/>
  <ignoredErrors>
    <ignoredError sqref="J5 AP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0614" r:id="rId4" name="Check Box 22">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760905" r:id="rId5" name="Check Box 1097">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47F54C11-ACA9-40C9-B778-3DAD6B3211DF}">
          <x14:formula1>
            <xm:f>'závěsy dle výklopu'!$BW$2:$BW$5</xm:f>
          </x14:formula1>
          <xm:sqref>H27:Q27</xm:sqref>
        </x14:dataValidation>
        <x14:dataValidation type="list" allowBlank="1" showInputMessage="1" showErrorMessage="1" xr:uid="{B4A5F04F-4483-41E5-BE57-A7A0BEB51952}">
          <x14:formula1>
            <xm:f>kombinace_1!$BY$13:$BY$15</xm:f>
          </x14:formula1>
          <xm:sqref>H9:Q9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9C796-AB5B-4EDC-AC10-5EB11F2AACC8}">
  <sheetPr codeName="List14"/>
  <dimension ref="A1:FC758"/>
  <sheetViews>
    <sheetView topLeftCell="A34" workbookViewId="0">
      <selection activeCell="A41" sqref="A41: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41.5703125" customWidth="1"/>
    <col min="80" max="80" width="32.28515625" customWidth="1"/>
    <col min="81" max="81" width="37.140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8" max="158" width="8.570312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VLOOKUP(Ram_1!H8,kombinace_1!$A$3:$C$75,3,0)</f>
        <v>#N/A</v>
      </c>
      <c r="S1" t="e">
        <f>CONCATENATE("_",R1,V1)</f>
        <v>#N/A</v>
      </c>
      <c r="U1" s="173" t="s">
        <v>996</v>
      </c>
      <c r="V1" s="2">
        <f>IFERROR(VLOOKUP(Ram_1!H21,$EN$3:$EO$5,2,0),1)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CONCATENATE("_",Ram_1!H12,"_",Ram_1!H13)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IF(OR(Ram_1!$H$13&amp;Ram_1!$AU$7=Ram_1!$M$44,
Ram_1!$H$13&amp;Ram_1!$AU$7=Ram_1!$M$45,
Ram_1!$H$13&amp;Ram_1!$AU$7=Ram_1!$M$46,
Ram_1!$H$13&amp;Ram_1!$AU$7=Ram_1!$M$47),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IF(OR(Ram_1!$H$13&amp;Ram_1!$AU$7=Ram_1!$M$44,
Ram_1!$H$13&amp;Ram_1!$AU$7=Ram_1!$M$45,
Ram_1!$H$13&amp;Ram_1!$AU$7=Ram_1!$M$46,
Ram_1!$H$13&amp;Ram_1!$AU$7=Ram_1!$M$47),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IF(Ram_1!H25="",'Translate&amp;Prices&amp;Logo'!B642,"")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IF(Ram_1!$H$9=kombinace_1!M10,1,0)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IF(Ram_1!$H$9=kombinace_1!M11,2,0)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IF(Ram_1!$H$9=kombinace_1!M12,3,0)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IF(Ram_1!AU7=2,"FREEspace","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CA30" t="s">
        <v>4539</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36" s="478"/>
      <c r="ED36" t="s">
        <v>1620</v>
      </c>
      <c r="EE36" t="s">
        <v>1776</v>
      </c>
      <c r="ER36" t="s">
        <v>2172</v>
      </c>
      <c r="ES36" t="s">
        <v>2172</v>
      </c>
    </row>
    <row r="37" spans="1:149">
      <c r="A37" t="str">
        <f>'Translate&amp;Prices&amp;Logo'!$B$67</f>
        <v>Rimini černý mat - max délka profilu 1100 mm</v>
      </c>
      <c r="B37">
        <v>1</v>
      </c>
      <c r="C37" t="s">
        <v>651</v>
      </c>
      <c r="D37">
        <v>0</v>
      </c>
      <c r="E37" s="478"/>
      <c r="BY37" t="s">
        <v>1332</v>
      </c>
      <c r="ED37" t="s">
        <v>1621</v>
      </c>
      <c r="EE37" t="s">
        <v>1777</v>
      </c>
      <c r="ER37" t="s">
        <v>2215</v>
      </c>
      <c r="ES37" t="s">
        <v>2209</v>
      </c>
    </row>
    <row r="38" spans="1:149">
      <c r="A38" t="str">
        <f>'Translate&amp;Prices&amp;Logo'!$B$68</f>
        <v>Rimini champagne - max délka profilu 1100 mm</v>
      </c>
      <c r="B38">
        <v>1</v>
      </c>
      <c r="C38" t="s">
        <v>651</v>
      </c>
      <c r="D38">
        <v>0</v>
      </c>
      <c r="E38" s="478"/>
      <c r="ED38" t="s">
        <v>1622</v>
      </c>
      <c r="EE38" t="s">
        <v>1778</v>
      </c>
      <c r="ER38" t="s">
        <v>2216</v>
      </c>
      <c r="ES38" t="s">
        <v>2210</v>
      </c>
    </row>
    <row r="39" spans="1:149">
      <c r="A39" t="str">
        <f>'Translate&amp;Prices&amp;Logo'!$B$69</f>
        <v>Rimini zlatá - max délka profilu 1100 mm</v>
      </c>
      <c r="B39">
        <v>1</v>
      </c>
      <c r="C39" t="s">
        <v>651</v>
      </c>
      <c r="D39">
        <v>0</v>
      </c>
      <c r="E39" s="478"/>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E40" s="478"/>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honeticPr fontId="3" type="noConversion"/>
  <pageMargins left="0.70866141732283472" right="0.70866141732283472" top="0.78740157480314965" bottom="0.78740157480314965" header="0.31496062992125984" footer="0.31496062992125984"/>
  <pageSetup paperSize="9" scale="75" orientation="portrait" r:id="rId1"/>
  <extLst>
    <ext xmlns:x14="http://schemas.microsoft.com/office/spreadsheetml/2009/9/main" uri="{78C0D931-6437-407d-A8EE-F0AAD7539E65}">
      <x14:conditionalFormattings>
        <x14:conditionalFormatting xmlns:xm="http://schemas.microsoft.com/office/excel/2006/main">
          <x14:cfRule type="expression" priority="5" id="{91085D76-2D30-4054-8935-D6FA72D38B6D}">
            <xm:f>OR(Ram_1!$AU$10=1,Ram_1!$AU$10=3)</xm:f>
            <x14:dxf>
              <fill>
                <patternFill patternType="darkDown"/>
              </fill>
            </x14:dxf>
          </x14:cfRule>
          <xm:sqref>CH13</xm:sqref>
        </x14:conditionalFormatting>
        <x14:conditionalFormatting xmlns:xm="http://schemas.microsoft.com/office/excel/2006/main">
          <x14:cfRule type="expression" priority="6" id="{257F6BD4-66BB-407F-B97B-27CD670152DA}">
            <xm:f>OR(Ram_1!$AU$10=2,Ram_1!$AU$10=3)</xm:f>
            <x14:dxf>
              <fill>
                <patternFill patternType="darkDown"/>
              </fill>
            </x14:dxf>
          </x14:cfRule>
          <xm:sqref>CH14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6D4D-E53F-42B0-BD94-BA1D69D1ED4A}">
  <sheetPr codeName="List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9.425781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"&amp;2</f>
        <v>Rámeček  2</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Úvod</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IFERROR(IF(kombinace_2!FC2=TRUE,'Translate&amp;Prices&amp;Logo'!B656,IF(VLOOKUP(H8,kombinace_2!$A:$E,5,0)=3,'Translate&amp;Prices&amp;Logo'!B644,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40" t="str">
        <f>'Translate&amp;Prices&amp;Logo'!$B$171&amp;" "&amp;" "&amp;1</f>
        <v>Rámeček  1</v>
      </c>
      <c r="C5" s="540"/>
      <c r="D5" s="540"/>
      <c r="E5" s="106"/>
      <c r="F5" s="571" t="str">
        <f>'Translate&amp;Prices&amp;Logo'!$B$171&amp;" "&amp;" "&amp;2</f>
        <v>Rámeček  2</v>
      </c>
      <c r="G5" s="571"/>
      <c r="H5" s="571"/>
      <c r="I5" s="9"/>
      <c r="J5" s="540" t="str">
        <f>'Translate&amp;Prices&amp;Logo'!$B$171&amp;" "&amp;" "&amp;3</f>
        <v>Rámeček  3</v>
      </c>
      <c r="K5" s="540"/>
      <c r="L5" s="540"/>
      <c r="M5" s="9"/>
      <c r="N5" s="540" t="str">
        <f>'Translate&amp;Prices&amp;Logo'!$B$171&amp;" "&amp;" "&amp;4</f>
        <v>Rámeček  4</v>
      </c>
      <c r="O5" s="540"/>
      <c r="P5" s="540"/>
      <c r="Q5" s="9"/>
      <c r="R5" s="540" t="str">
        <f>'Translate&amp;Prices&amp;Logo'!$B$171&amp;" "&amp;" "&amp;5</f>
        <v>Rámeček  5</v>
      </c>
      <c r="S5" s="540"/>
      <c r="T5" s="540"/>
      <c r="U5" s="9"/>
      <c r="V5" s="540" t="str">
        <f>'Translate&amp;Prices&amp;Logo'!$B$171&amp;" "&amp;" "&amp;6</f>
        <v>Rámeček  6</v>
      </c>
      <c r="W5" s="540"/>
      <c r="X5" s="540"/>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Kombinace 2 profilů</v>
      </c>
      <c r="C7" s="575"/>
      <c r="D7" s="575"/>
      <c r="E7" s="575"/>
      <c r="F7" s="575"/>
      <c r="G7" s="521" t="str">
        <f>IF(kombinace_2!FC2=TRUE,AB4,"")</f>
        <v/>
      </c>
      <c r="H7" s="521"/>
      <c r="I7" s="521"/>
      <c r="J7" s="521"/>
      <c r="K7" s="521"/>
      <c r="L7" s="521"/>
      <c r="M7" s="521"/>
      <c r="N7" s="521"/>
      <c r="O7" s="521"/>
      <c r="P7" s="521"/>
      <c r="Q7" s="522"/>
      <c r="R7" s="224"/>
      <c r="S7" s="506" t="str">
        <f>'Translate&amp;Prices&amp;Logo'!$B$574</f>
        <v>Upozornění:</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VLOOKUP(H8,kombinace_2!$A3:$B100,2,0)</f>
        <v>#N/A</v>
      </c>
      <c r="AV7" s="140" t="e">
        <f>IF(AU7=2,"Široký",IF(AU7=1,"Úzký",IF(AU7=3,"kombo")))</f>
        <v>#N/A</v>
      </c>
    </row>
    <row r="8" spans="1:65" ht="45.6" customHeight="1">
      <c r="A8" s="61"/>
      <c r="B8" s="216" t="str">
        <f>'Translate&amp;Prices&amp;Logo'!$B$655</f>
        <v>Výplň rámečku síťka</v>
      </c>
      <c r="C8" s="217"/>
      <c r="D8" s="217"/>
      <c r="E8" s="218" t="str">
        <f>'Translate&amp;Prices&amp;Logo'!$B$174</f>
        <v>Typ profilu</v>
      </c>
      <c r="F8" s="218"/>
      <c r="G8" s="223"/>
      <c r="H8" s="576"/>
      <c r="I8" s="576"/>
      <c r="J8" s="576"/>
      <c r="K8" s="576"/>
      <c r="L8" s="576"/>
      <c r="M8" s="576"/>
      <c r="N8" s="576"/>
      <c r="O8" s="576"/>
      <c r="P8" s="576"/>
      <c r="Q8" s="577"/>
      <c r="R8" s="225"/>
      <c r="S8" s="559" t="str">
        <f>IF(AU10&gt;0,'Translate&amp;Prices&amp;Logo'!B305,IF(OR(H8=kombinace_2!A64,H8=kombinace_2!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Vzdálenost od levého okraje</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IFERROR(IF(AND(VLOOKUP(H8,kombinace_2!$A:$D,4,0)=1,kombinace_2!FC2=FALSE),'Translate&amp;Prices&amp;Logo'!$B$545,0),0)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Rozteč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IFERROR((VLOOKUP(H12,kombinace_2!$DP$2:$DQ$3,2,0)),"")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F10" s="9"/>
      <c r="AG10" s="9"/>
      <c r="AH10" s="9"/>
      <c r="AI10" s="60"/>
      <c r="AJ10" s="61"/>
      <c r="AK10" s="9"/>
      <c r="AL10" s="9"/>
      <c r="AM10" s="9"/>
      <c r="AN10" s="9"/>
      <c r="AO10" s="9"/>
      <c r="AP10" s="77"/>
      <c r="AQ10" s="307"/>
      <c r="AR10" s="9"/>
      <c r="AS10" s="9"/>
      <c r="AT10" s="139" t="s">
        <v>1196</v>
      </c>
      <c r="AU10" s="140">
        <f>IFERROR(VLOOKUP(H9,kombinace_2!$BY$13:$BZ$15,2,0),0)</f>
        <v>0</v>
      </c>
      <c r="AV10" s="140"/>
    </row>
    <row r="11" spans="1:65" ht="18" customHeight="1">
      <c r="A11" s="61"/>
      <c r="B11" s="548" t="str">
        <f>('Translate&amp;Prices&amp;Logo'!$B$545)&amp;" "&amp;"("&amp;'Translate&amp;Prices&amp;Logo'!$B$176&amp;")"</f>
        <v>Dělící lišty (Počet kusů)</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F11" s="9"/>
      <c r="AG11" s="9"/>
      <c r="AH11" s="9"/>
      <c r="AI11" s="60"/>
      <c r="AJ11" s="61"/>
      <c r="AK11" s="9"/>
      <c r="AL11" s="9"/>
      <c r="AM11" s="9"/>
      <c r="AN11" s="9"/>
      <c r="AO11" s="80"/>
      <c r="AP11" s="74"/>
      <c r="AQ11" s="307"/>
      <c r="AR11" s="9"/>
      <c r="AS11" s="9"/>
      <c r="AT11" s="146">
        <f>IFERROR(IF(kombinace_2!$H$1=TRUE,BA2+AY3,0),0)</f>
        <v>0</v>
      </c>
      <c r="AU11" s="146"/>
      <c r="AV11" s="140"/>
    </row>
    <row r="12" spans="1:65" ht="18" customHeight="1">
      <c r="A12" s="61"/>
      <c r="B12" s="489" t="str">
        <f>'Translate&amp;Prices&amp;Logo'!$B$260</f>
        <v>Typ kování</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Značka kování</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Rozteč  mm</v>
      </c>
      <c r="AF14" s="9"/>
      <c r="AG14" s="9"/>
      <c r="AH14" s="9"/>
      <c r="AI14" s="60"/>
      <c r="AJ14" s="61"/>
      <c r="AK14" s="9"/>
      <c r="AL14" s="9"/>
      <c r="AM14" s="534" t="str">
        <f>('Translate&amp;Prices&amp;Logo'!$B$550)&amp;" "&amp;H26&amp;" "&amp;"mm"</f>
        <v>Rozteč  mm</v>
      </c>
      <c r="AN14" s="9"/>
      <c r="AO14" s="81"/>
      <c r="AP14" s="74"/>
      <c r="AQ14" s="307"/>
      <c r="AR14" s="584"/>
      <c r="AS14" s="9"/>
      <c r="AT14" s="146"/>
      <c r="AU14" s="140"/>
      <c r="AV14" s="140"/>
      <c r="AW14" s="165" t="s">
        <v>2197</v>
      </c>
    </row>
    <row r="15" spans="1:65" ht="18" customHeight="1" thickBot="1">
      <c r="A15" s="61"/>
      <c r="B15" s="489" t="str">
        <f>'Translate&amp;Prices&amp;Logo'!$B$547</f>
        <v>Varianta kování</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IF(H15=kombinace_2!AB40,'Translate&amp;Prices&amp;Logo'!$B$226,IF(H15=kombinace_2!AB41,'Translate&amp;Prices&amp;Logo'!$B$226,IF(H12='závěsy dle výklopu'!BQ2,'Translate&amp;Prices&amp;Logo'!$B$224,'Translate&amp;Prices&amp;Logo'!$B$220)))</f>
        <v>Výběr pozice rámečku</v>
      </c>
      <c r="C16" s="547"/>
      <c r="D16" s="547"/>
      <c r="E16" s="547"/>
      <c r="F16" s="545"/>
      <c r="G16" s="545"/>
      <c r="H16" s="545"/>
      <c r="I16" s="545"/>
      <c r="J16" s="565" t="str">
        <f>IF(OR(H15=kombinace_2!AB40,H15=kombinace_2!AB7,H15=kombinace_2!AB15,H15=kombinace_2!AB20,H15=kombinace_2!AB21,H15=kombinace_2!AB22),'Translate&amp;Prices&amp;Logo'!$B$228,IF(H15=kombinace_2!AB41,'Translate&amp;Prices&amp;Logo'!$B$228,'Translate&amp;Prices&amp;Logo'!$B$234))</f>
        <v>Provedení druhého dvířka</v>
      </c>
      <c r="K16" s="565"/>
      <c r="L16" s="565"/>
      <c r="M16" s="565"/>
      <c r="N16" s="563"/>
      <c r="O16" s="563"/>
      <c r="P16" s="563"/>
      <c r="Q16" s="564"/>
      <c r="R16" s="61"/>
      <c r="S16" s="553"/>
      <c r="T16" s="554"/>
      <c r="U16" s="554"/>
      <c r="V16" s="554"/>
      <c r="W16" s="554"/>
      <c r="X16" s="554"/>
      <c r="Y16" s="555"/>
      <c r="Z16" s="80"/>
      <c r="AA16" s="78"/>
      <c r="AB16" s="82"/>
      <c r="AC16" s="9"/>
      <c r="AD16" s="55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IF(H12='Translate&amp;Prices&amp;Logo'!B553,'Translate&amp;Prices&amp;Logo'!B240,IF(H15=kombinace_2!AB8,'Translate&amp;Prices&amp;Logo'!B286,0))</f>
        <v>0</v>
      </c>
      <c r="C17" s="490"/>
      <c r="D17" s="490"/>
      <c r="E17" s="490"/>
      <c r="F17" s="490"/>
      <c r="G17" s="98"/>
      <c r="H17" s="491"/>
      <c r="I17" s="491"/>
      <c r="J17" s="491"/>
      <c r="K17" s="491"/>
      <c r="L17" s="491"/>
      <c r="M17" s="491"/>
      <c r="N17" s="491"/>
      <c r="O17" s="491"/>
      <c r="P17" s="491"/>
      <c r="Q17" s="492"/>
      <c r="R17" s="61"/>
      <c r="S17" s="553"/>
      <c r="T17" s="554"/>
      <c r="U17" s="554"/>
      <c r="V17" s="554"/>
      <c r="W17" s="554"/>
      <c r="X17" s="554"/>
      <c r="Y17" s="555"/>
      <c r="Z17" s="80"/>
      <c r="AA17" s="78"/>
      <c r="AB17" s="82"/>
      <c r="AC17" s="9"/>
      <c r="AD17" s="552"/>
      <c r="AE17" s="496" t="str">
        <f>'Translate&amp;Prices&amp;Logo'!$B$638</f>
        <v>Vzdálenost od spodního okraje</v>
      </c>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IF(H13="Salice",VLOOKUP(H17,kombinace_2!$BY:$BZ,2,0),0)</f>
        <v>0</v>
      </c>
    </row>
    <row r="18" spans="1:52" ht="18" customHeight="1">
      <c r="A18" s="61"/>
      <c r="B18" s="489">
        <f>IFERROR(IF(VLOOKUP(H15,kombinace_2!CD:CE,2,0)=1,'Translate&amp;Prices&amp;Logo'!$B$549,0),0)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496"/>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IFERROR(IF(H12='Translate&amp;Prices&amp;Logo'!B553,'Translate&amp;Prices&amp;Logo'!$B$225,IF(VLOOKUP(H15,kombinace_2!CD:CE,2,0)=1,'Translate&amp;Prices&amp;Logo'!$B$225,)),0)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v>0</v>
      </c>
      <c r="AC19" s="525"/>
      <c r="AD19" s="552"/>
      <c r="AE19" s="496"/>
      <c r="AF19" s="9"/>
      <c r="AG19" s="9"/>
      <c r="AH19" s="9"/>
      <c r="AI19" s="157"/>
      <c r="AJ19" s="61"/>
      <c r="AK19" s="9"/>
      <c r="AL19" s="532" t="str">
        <f>'Translate&amp;Prices&amp;Logo'!$B$638</f>
        <v>Vzdálenost od spodního okraje</v>
      </c>
      <c r="AM19" s="534"/>
      <c r="AN19" s="525">
        <v>0</v>
      </c>
      <c r="AO19" s="525"/>
      <c r="AP19" s="76"/>
      <c r="AQ19" s="307"/>
      <c r="AR19" s="583" t="str">
        <f>'Translate&amp;Prices&amp;Logo'!$B$178</f>
        <v>Výška</v>
      </c>
      <c r="AS19" s="9"/>
      <c r="AT19" s="146"/>
      <c r="AU19" s="138">
        <f>IFERROR(IF(H12='závěsy dle výklopu'!BR2,VLOOKUP(H15,kombinace_2!$CD$3:$CF$18,3,0),IF(H12='závěsy dle výklopu'!BQ2,1,0)),0)</f>
        <v>0</v>
      </c>
      <c r="AV19" s="140">
        <f>IFERROR(VLOOKUP(H15,kombinace_2!$CD:$CF,3,0),0)</f>
        <v>0</v>
      </c>
    </row>
    <row r="20" spans="1:52" ht="18" customHeight="1">
      <c r="A20" s="61"/>
      <c r="B20" s="550">
        <f>IF(H13&lt;&gt;"Salice",(IFERROR(VLOOKUP(H17,kombinace_2!$BY$32:$CA$35,2,0),0)),0)</f>
        <v>0</v>
      </c>
      <c r="C20" s="487"/>
      <c r="D20" s="487"/>
      <c r="E20" s="487"/>
      <c r="F20" s="544">
        <v>100</v>
      </c>
      <c r="G20" s="544"/>
      <c r="H20" s="544"/>
      <c r="I20" s="544"/>
      <c r="J20" s="487">
        <f>IFERROR(VLOOKUP(H17,kombinace_2!$BY$32:$CA$35,3,0),0)</f>
        <v>0</v>
      </c>
      <c r="K20" s="487"/>
      <c r="L20" s="487"/>
      <c r="M20" s="487"/>
      <c r="N20" s="544">
        <v>100</v>
      </c>
      <c r="O20" s="544"/>
      <c r="P20" s="544"/>
      <c r="Q20" s="562"/>
      <c r="R20" s="61"/>
      <c r="S20" s="553"/>
      <c r="T20" s="554"/>
      <c r="U20" s="554"/>
      <c r="V20" s="554"/>
      <c r="W20" s="554"/>
      <c r="X20" s="554"/>
      <c r="Y20" s="555"/>
      <c r="Z20" s="80"/>
      <c r="AA20" s="78"/>
      <c r="AB20" s="79"/>
      <c r="AC20" s="9"/>
      <c r="AD20" s="552"/>
      <c r="AE20" s="496"/>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IF(kombinace_2!FC2=FALSE,'Translate&amp;Prices&amp;Logo'!$B$175," ")</f>
        <v>Typ úpravy skla</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c r="AE21" s="496"/>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496"/>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Již neměnit po tom co vyberete typ skla/síťky  ↥↥</v>
      </c>
      <c r="I23" s="538"/>
      <c r="J23" s="538"/>
      <c r="K23" s="538"/>
      <c r="L23" s="538"/>
      <c r="M23" s="538"/>
      <c r="N23" s="538"/>
      <c r="O23" s="538"/>
      <c r="P23" s="538"/>
      <c r="Q23" s="539"/>
      <c r="R23" s="61"/>
      <c r="S23" s="556"/>
      <c r="T23" s="557"/>
      <c r="U23" s="557"/>
      <c r="V23" s="557"/>
      <c r="W23" s="557"/>
      <c r="X23" s="557"/>
      <c r="Y23" s="558"/>
      <c r="Z23" s="80"/>
      <c r="AA23" s="78"/>
      <c r="AB23" s="79"/>
      <c r="AC23" s="9"/>
      <c r="AD23" s="524"/>
      <c r="AE23" s="496"/>
      <c r="AF23" s="9"/>
      <c r="AG23" s="9"/>
      <c r="AH23" s="9"/>
      <c r="AI23" s="60"/>
      <c r="AJ23" s="61"/>
      <c r="AK23" s="9"/>
      <c r="AL23" s="532"/>
      <c r="AM23" s="533">
        <v>0</v>
      </c>
      <c r="AN23" s="9"/>
      <c r="AO23" s="80"/>
      <c r="AP23" s="74"/>
      <c r="AQ23" s="307"/>
      <c r="AR23" s="583"/>
      <c r="AS23" s="9"/>
      <c r="AT23" s="146"/>
      <c r="AU23" s="140" t="e">
        <f>VLOOKUP(H17,kombinace_2!$BY$3:$BZ$6,2,0)</f>
        <v>#N/A</v>
      </c>
      <c r="AV23" s="140"/>
    </row>
    <row r="24" spans="1:52" ht="18" customHeight="1">
      <c r="A24" s="61"/>
      <c r="B24" s="519" t="str">
        <f>'Translate&amp;Prices&amp;Logo'!$B$564</f>
        <v>Typ folie</v>
      </c>
      <c r="C24" s="520"/>
      <c r="D24" s="520"/>
      <c r="E24" s="520"/>
      <c r="F24" s="520"/>
      <c r="G24" s="98"/>
      <c r="H24" s="536"/>
      <c r="I24" s="536"/>
      <c r="J24" s="536"/>
      <c r="K24" s="536"/>
      <c r="L24" s="536"/>
      <c r="M24" s="536"/>
      <c r="N24" s="536"/>
      <c r="O24" s="536"/>
      <c r="P24" s="536"/>
      <c r="Q24" s="537"/>
      <c r="R24" s="61"/>
      <c r="S24" s="506" t="str">
        <f>'Translate&amp;Prices&amp;Logo'!$B$179</f>
        <v>Poznámky</v>
      </c>
      <c r="T24" s="506"/>
      <c r="U24" s="506"/>
      <c r="Z24" s="80"/>
      <c r="AA24" s="78"/>
      <c r="AB24" s="79"/>
      <c r="AC24" s="488">
        <v>1000</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Typ skla/síťky</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Rozteč  mm</v>
      </c>
      <c r="AG25" s="535"/>
      <c r="AH25" s="535"/>
      <c r="AI25" s="535"/>
      <c r="AJ25" s="535"/>
      <c r="AK25" s="535"/>
      <c r="AL25" s="532"/>
      <c r="AM25" s="533"/>
      <c r="AN25" s="9"/>
      <c r="AO25" s="80"/>
      <c r="AP25" s="83"/>
      <c r="AQ25" s="307"/>
      <c r="AR25" s="9"/>
      <c r="AS25" s="9"/>
      <c r="AT25" s="146"/>
      <c r="AU25" s="140" t="e">
        <f>VLOOKUP(H27,kombinace_2!$BY3:$BZ6,2,0)</f>
        <v>#N/A</v>
      </c>
      <c r="AV25" s="140"/>
    </row>
    <row r="26" spans="1:52" ht="18" customHeight="1">
      <c r="A26" s="61"/>
      <c r="B26" s="489" t="str">
        <f>'Translate&amp;Prices&amp;Logo'!$B$551</f>
        <v>Rozteč úchytky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Umístění úchytky</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Počet kusů</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Dodat včetně uvedeného kování -&gt; vyberte ze seznamu:</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VLOOKUP(H14,kombinace_2!$DN$7:$DO$24,2,0)</f>
        <v>#N/A</v>
      </c>
      <c r="AB29" s="531">
        <f>IF(kombinace_2!FC2=TRUE,AB4,IF(H12='závěsy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Cena rámečků celkem</v>
      </c>
      <c r="C30" s="512"/>
      <c r="D30" s="512"/>
      <c r="E30" s="512"/>
      <c r="F30" s="512"/>
      <c r="G30" s="512"/>
      <c r="H30" s="512"/>
      <c r="I30" s="512"/>
      <c r="J30" s="512"/>
      <c r="K30" s="517"/>
      <c r="L30" s="526">
        <f>IF(OR((AI30&gt;AI43),(AR14&gt;AJ43)),"",((((AT11+AT13+AT15+AT17+AT33+AT35+AT37)*AT43)*(1-(Zakaznik!K21/100)))*AW24))</f>
        <v>0</v>
      </c>
      <c r="M30" s="526"/>
      <c r="N30" s="526"/>
      <c r="O30" s="526"/>
      <c r="P30" s="507" t="str">
        <f>VLOOKUP('Translate&amp;Prices&amp;Logo'!D1,'závěsy dle výklopu'!A204:B209,2,0)</f>
        <v>Kč</v>
      </c>
      <c r="Q30" s="508"/>
      <c r="R30" s="61"/>
      <c r="S30" s="500"/>
      <c r="T30" s="501"/>
      <c r="U30" s="501"/>
      <c r="V30" s="501"/>
      <c r="W30" s="501"/>
      <c r="X30" s="501"/>
      <c r="Y30" s="502"/>
      <c r="Z30" s="9"/>
      <c r="AA30" s="9"/>
      <c r="AB30" s="61"/>
      <c r="AC30" s="9"/>
      <c r="AD30" s="9"/>
      <c r="AE30" s="9"/>
      <c r="AF30" s="530" t="str">
        <f>'Translate&amp;Prices&amp;Logo'!$B$177</f>
        <v xml:space="preserve">Šířka </v>
      </c>
      <c r="AG30" s="530"/>
      <c r="AH30" s="530"/>
      <c r="AI30" s="523"/>
      <c r="AJ30" s="523"/>
      <c r="AK30" s="523"/>
      <c r="AL30" s="9"/>
      <c r="AM30" s="9"/>
      <c r="AN30" s="9"/>
      <c r="AO30" s="9"/>
      <c r="AP30" s="9"/>
      <c r="AQ30" s="9"/>
      <c r="AR30" s="9"/>
      <c r="AS30" s="9"/>
      <c r="AT30" s="146"/>
      <c r="AU30" s="138" t="e">
        <f>HLOOKUP("_Úzký_dolny_K12",kombinace_2!CV2:CW19,3,FALSE)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Souhrn</v>
      </c>
      <c r="AP31" s="582"/>
      <c r="AQ31" s="582"/>
      <c r="AR31" s="582"/>
      <c r="AS31" s="9"/>
      <c r="AT31" s="146"/>
      <c r="AU31" s="138" t="e">
        <f>AD44</f>
        <v>#N/A</v>
      </c>
    </row>
    <row r="32" spans="1:52" ht="17.25" customHeight="1">
      <c r="A32" s="61"/>
      <c r="B32" s="541" t="str">
        <f>'Translate&amp;Prices&amp;Logo'!$B$173</f>
        <v>Uvedené ceny jsou bez DPH a nezahrnují cenu požadovaného kování!</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 xml:space="preserve">Rámečky bez skla se dodávají v demontovaném stavu. </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IF(kombinace_2!V1=2,((AR14/1000)*(AI30/1000))*'Translate&amp;Prices&amp;Logo'!C96,0)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IF(kombinace_2!$V$1=3,IFERROR(((VLOOKUP(H24,'Translate&amp;Prices&amp;Logo'!B93:C95,2,0))*(AR14/1000)),0),0)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IF(kombinace_2!FC2=TRUE,_profily_síťka,IF(kombinace_2!H1=TRUE,_kombinovane_profily,_vše_profily))</f>
        <v>BRW (elox.) - maximální doporučená délka profilu 2500 mm</v>
      </c>
      <c r="L36" s="157" t="str">
        <f t="array" ref="L36:M36">IF(kombinace_2!H1=TRUE,'závěsy dle výklopu'!$BQ$2:$BR$2,
IF(H8=kombinace_2!A41,'závěsy dle výklopu'!$BQ$2,IF(H8=kombinace_2!A42,'závěsy dle výklopu'!$BQ$2,IF(H8=kombinace_2!A65,'závěsy dle výklopu'!$BQ$2,IF(H8=kombinace_2!A66,'závěsy dle výklopu'!$BQ$2,IF(H8=kombinace_2!A67,'závěsy dle výklopu'!$BQ$2,IF(H8=kombinace_2!A68,'závěsy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IF(H13=kombinace_2!BQ11,kombinace_2!$DN$2,kombinace_2!$DN$2:$DN$4)</f>
        <v>Naložený</v>
      </c>
      <c r="T36" s="157">
        <f t="array" aca="1" ref="T36:T44" ca="1">IF(H13=kombinace_2!BQ11,
  kombinace_2!$FA$2:$FA$9,
  IF(AND(OR(H8=kombinace_2!A41,H8=kombinace_2!A42),H13='závěsy dle výklopu'!BQ4),
    INDIRECT(VLOOKUP(AD42&amp;"_Rocca",kombinace_2!$ER$1:$ES$108,2,0)),
    IF($AU$9=2,
      INDIRECT(VLOOKUP(AD42,kombinace_2!$ER$1:$ES$108,2,0)),
      IF($AU$9=3,
        INDIRECT(VLOOKUP($T$47,kombinace_2!$AA$1:$AB$100,2,0)),
      $Y$48)
    )
  )
)</f>
        <v>0</v>
      </c>
      <c r="AF36" s="157" t="e">
        <f>HLOOKUP($AD$44,'závěsy dle výklopu'!$CG$4:$EZ$10,2,0)</f>
        <v>#N/A</v>
      </c>
      <c r="AJ36" s="157">
        <f t="array" ref="AJ36:AJ40">IF(AM19&lt;2100,kombinace_2!BY8:BY12,kombinace_2!BY8:BY12)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2!FC2=TRUE,500,AJ43))),"")</f>
        <v/>
      </c>
      <c r="AJ43" s="277" t="str">
        <f>IFERROR((IF(kombinace_2!FC2=TRUE,1000,VLOOKUP(H8,'Translate&amp;Prices&amp;Logo'!B6:U84,20,0))),"")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CONCATENATE(H13,"_",VLOOKUP(kombinace_2!H1,kombinace_2!$J$14:$K$15,2,0))</f>
        <v>_2</v>
      </c>
      <c r="AD47" s="157" t="s">
        <v>4253</v>
      </c>
      <c r="AI47" s="112"/>
      <c r="AJ47" s="270"/>
      <c r="AN47" s="578"/>
      <c r="AO47" s="578"/>
      <c r="AP47" s="578"/>
      <c r="AQ47" s="578"/>
    </row>
    <row r="48" spans="1:58" s="157" customFormat="1" ht="14.85" hidden="1" customHeight="1">
      <c r="A48" s="140"/>
      <c r="B48" s="157" t="str">
        <v>BRW kašmír - maximální doporučená délka profilu 2500 mm</v>
      </c>
      <c r="T48" s="157" t="e">
        <f>VLOOKUP(AD42,kombinace_2!ER1:ES120,2,0)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2!AB40,$H$15=kombinace_2!AB7,$H$15=kombinace_2!AB15,$H$15=kombinace_2!AB20,$H$15=kombinace_2!AB21,$H$15=kombinace_2!AB22),'Translate&amp;Prices&amp;Logo'!$B$231:$B$233,IF($H$15=kombinace_2!AB41,'Translate&amp;Prices&amp;Logo'!$B$231:$B$233,'Translate&amp;Prices&amp;Logo'!$B$235:$B$239))</f>
        <v>Úzký ALU rámeček</v>
      </c>
      <c r="T54" s="157" t="str">
        <f t="array" ref="T54:T56">kombinace_2!$EN$3:$EN$5</f>
        <v>Bez úprav</v>
      </c>
      <c r="U54" s="157">
        <v>1</v>
      </c>
      <c r="X54" s="157" t="str">
        <f t="array" ref="X54:X56">kombinace_2!$X$3:$X$5</f>
        <v>Transparentní</v>
      </c>
      <c r="AD54" s="157" t="e">
        <f t="array" aca="1" ref="AD54:AD97" ca="1">IF(kombinace_2!FC2=FALSE,
INDIRECT(kombinace_2!S1),
IF(kombinace_2!FC2=TRUE,INDIRECT(VLOOKUP(Ram_2!H8,'závěsy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D55" s="157" t="e">
        <f ca="1"/>
        <v>#N/A</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c r="AD56" s="157" t="e">
        <f ca="1"/>
        <v>#N/A</v>
      </c>
    </row>
    <row r="57" spans="1:46" s="157" customFormat="1" ht="14.85" hidden="1" customHeight="1">
      <c r="A57" s="140"/>
      <c r="B57" s="157" t="str">
        <v>Imola bílá mat RAL 9003 - maximální doporučená délka profilu 2500 mm</v>
      </c>
      <c r="K57" s="157" t="str">
        <v>MDF tloušťky 18 mm</v>
      </c>
      <c r="AD57" s="157" t="e">
        <f ca="1"/>
        <v>#N/A</v>
      </c>
    </row>
    <row r="58" spans="1:46" s="157" customFormat="1" ht="14.85" hidden="1" customHeight="1">
      <c r="A58" s="140"/>
      <c r="B58" s="157" t="str">
        <v>Imola zlatá - maximální doporučená délka profilu 2150 mm</v>
      </c>
      <c r="K58" s="157" t="str">
        <v>DTDL tloušťky 18 mm</v>
      </c>
      <c r="AD58" s="157" t="e">
        <f ca="1"/>
        <v>#N/A</v>
      </c>
    </row>
    <row r="59" spans="1:46" s="157" customFormat="1" ht="14.85" hidden="1" customHeight="1">
      <c r="A59" s="140"/>
      <c r="B59" s="157" t="str">
        <v>Modena (elox.) - maximální doporučená délka profilu 2500 mm</v>
      </c>
      <c r="T59" s="157">
        <f>IFERROR(VLOOKUP($H$21,$T$54:$U$56,2,0),0)</f>
        <v>0</v>
      </c>
      <c r="AD59" s="157" t="e">
        <f ca="1"/>
        <v>#N/A</v>
      </c>
    </row>
    <row r="60" spans="1:46" s="157" customFormat="1" ht="14.85" hidden="1" customHeight="1">
      <c r="A60" s="140"/>
      <c r="B60" s="157" t="str">
        <v>Modena černá mat - maximální doporučená délka profilu 2500 mm</v>
      </c>
      <c r="K60" s="157" t="b">
        <f>K56=K61</f>
        <v>0</v>
      </c>
      <c r="AD60" s="157" t="e">
        <f ca="1"/>
        <v>#N/A</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c r="AD61" s="157" t="e">
        <f ca="1"/>
        <v>#N/A</v>
      </c>
    </row>
    <row r="62" spans="1:46" s="157" customFormat="1" ht="14.85" hidden="1" customHeight="1">
      <c r="A62" s="140"/>
      <c r="B62" s="157" t="str">
        <v>Modena tmavá nerez br. (inox lija) - maximální doporučená délka profilu 2500 mm</v>
      </c>
      <c r="AD62" s="157" t="e">
        <f ca="1"/>
        <v>#N/A</v>
      </c>
    </row>
    <row r="63" spans="1:46" s="157" customFormat="1" ht="14.85" hidden="1" customHeight="1">
      <c r="A63" s="140"/>
      <c r="B63" s="157" t="str">
        <v>Modena hnědá - maximální doporučená délka profilu 2500 mm</v>
      </c>
      <c r="AD63" s="157" t="e">
        <f ca="1"/>
        <v>#N/A</v>
      </c>
    </row>
    <row r="64" spans="1:46" s="157" customFormat="1" ht="14.85" hidden="1" customHeight="1">
      <c r="A64" s="140"/>
      <c r="B64" s="157" t="str">
        <v>Pisa (elox.) - maximální doporučená délka profilu 2500 mm</v>
      </c>
      <c r="AD64" s="157" t="e">
        <f ca="1"/>
        <v>#N/A</v>
      </c>
    </row>
    <row r="65" spans="1:30"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f t="array" ref="O65:O66">IF($H$15=kombinace_2!$AB$40,_strong_vzpera_horni,IF($H$15=kombinace_2!$AB$41,_stronglift_klopna,IF($H$12='závěsy dle výklopu'!$BQ$2,$J$65:$J$71,'Translate&amp;Prices&amp;Logo'!$B$187:$B$188)))</f>
        <v>horní dvířko</v>
      </c>
      <c r="AD65" s="157" t="e">
        <f ca="1"/>
        <v>#N/A</v>
      </c>
    </row>
    <row r="66" spans="1:30"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c r="AD66" s="157" t="e">
        <f ca="1"/>
        <v>#N/A</v>
      </c>
    </row>
    <row r="67" spans="1:30"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c r="AD67" s="157" t="e">
        <f ca="1"/>
        <v>#N/A</v>
      </c>
    </row>
    <row r="68" spans="1:30"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c r="AD68" s="157" t="e">
        <f ca="1"/>
        <v>#N/A</v>
      </c>
    </row>
    <row r="69" spans="1:30"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c r="AD69" s="157" t="e">
        <f ca="1"/>
        <v>#N/A</v>
      </c>
    </row>
    <row r="70" spans="1:30"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c r="AD70" s="157" t="e">
        <f ca="1"/>
        <v>#N/A</v>
      </c>
    </row>
    <row r="71" spans="1:30"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c r="AD71" s="157" t="e">
        <f ca="1"/>
        <v>#N/A</v>
      </c>
    </row>
    <row r="72" spans="1:30" s="157" customFormat="1" ht="14.85" hidden="1" customHeight="1">
      <c r="A72" s="140"/>
      <c r="B72" s="157" t="str">
        <v>Rimini zlatá - max délka profilu 1100 mm</v>
      </c>
      <c r="AD72" s="157" t="e">
        <f ca="1"/>
        <v>#N/A</v>
      </c>
    </row>
    <row r="73" spans="1:30" s="157" customFormat="1" ht="14.85" hidden="1" customHeight="1">
      <c r="A73" s="140"/>
      <c r="B73" s="157" t="str">
        <v>Rimini zlatá broušená - max délka profilu 1100 mm</v>
      </c>
      <c r="AD73" s="157" t="e">
        <f ca="1"/>
        <v>#N/A</v>
      </c>
    </row>
    <row r="74" spans="1:30" s="157" customFormat="1" ht="14.85" hidden="1" customHeight="1">
      <c r="A74" s="140"/>
      <c r="B74" s="157" t="str">
        <v>Rocca (elox.) - maximální doporučená délka profilu 2150 mm</v>
      </c>
      <c r="AD74" s="157" t="e">
        <f ca="1"/>
        <v>#N/A</v>
      </c>
    </row>
    <row r="75" spans="1:30" s="157" customFormat="1" ht="14.85" hidden="1" customHeight="1">
      <c r="A75" s="140"/>
      <c r="B75" s="157" t="str">
        <v>Rocca černá mat - maximální doporučená délka profilu 2150 mm</v>
      </c>
      <c r="AD75" s="157" t="e">
        <f ca="1"/>
        <v>#N/A</v>
      </c>
    </row>
    <row r="76" spans="1:30" s="157" customFormat="1" ht="14.85" hidden="1" customHeight="1">
      <c r="A76" s="140"/>
      <c r="B76" s="157" t="str">
        <v>Treviso černá mat - maximální doporučená délka profilu 2750 mm</v>
      </c>
      <c r="AD76" s="157" t="e">
        <f ca="1"/>
        <v>#N/A</v>
      </c>
    </row>
    <row r="77" spans="1:30" s="157" customFormat="1" ht="14.85" hidden="1" customHeight="1">
      <c r="A77" s="140"/>
      <c r="B77" s="157" t="str">
        <v>Verona (elox.) - maximální doporučená délka profilu 2500 mm</v>
      </c>
      <c r="AD77" s="157" t="e">
        <f ca="1"/>
        <v>#N/A</v>
      </c>
    </row>
    <row r="78" spans="1:30" s="157" customFormat="1" ht="14.85" hidden="1" customHeight="1">
      <c r="A78" s="140"/>
      <c r="B78" s="157" t="str">
        <v>Verona broušený hliník - maximální doporučená délka profilu 2500 mm</v>
      </c>
      <c r="AD78" s="157" t="e">
        <f ca="1"/>
        <v>#N/A</v>
      </c>
    </row>
    <row r="79" spans="1:30" s="157" customFormat="1" ht="14.85" hidden="1" customHeight="1">
      <c r="A79" s="140"/>
      <c r="B79" s="157" t="str">
        <v>Verona černá mat - maximální doporučená délka profilu 2500 mm</v>
      </c>
      <c r="AD79" s="157" t="e">
        <f ca="1"/>
        <v>#N/A</v>
      </c>
    </row>
    <row r="80" spans="1:30" s="157" customFormat="1" ht="14.85" hidden="1" customHeight="1">
      <c r="A80" s="140"/>
      <c r="B80" s="157" t="str">
        <v>Verona černá lesk - maximální doporučená délka profilu 2500 mm</v>
      </c>
      <c r="AD80" s="157" t="e">
        <f ca="1"/>
        <v>#N/A</v>
      </c>
    </row>
    <row r="81" spans="1:38" s="157" customFormat="1" ht="14.85" hidden="1" customHeight="1">
      <c r="A81" s="140"/>
      <c r="B81" s="157" t="str">
        <v>Verona hnědá - maximální doporučená délka profilu 2500 mm</v>
      </c>
      <c r="AD81" s="157" t="e">
        <f ca="1"/>
        <v>#N/A</v>
      </c>
    </row>
    <row r="82" spans="1:38" s="157" customFormat="1" ht="14.85" hidden="1" customHeight="1">
      <c r="A82" s="140"/>
      <c r="B82" s="157" t="str">
        <v>Verona champagne - maximální doporučená délka profilu 2500 mm</v>
      </c>
      <c r="P82" s="157" t="str" cm="1">
        <f t="array" ref="P82:P85">IF(OR(H8=kombinace_2!F18,H8=kombinace_2!F19,H8=kombinace_2!A65,H8=kombinace_2!A66,H8=kombinace_2!A67,H8=kombinace_2!A68),_2_strany,IF(H15=kombinace_2!AB8,_ramena_HL,_4_strany))</f>
        <v>Nahoře</v>
      </c>
      <c r="AD82" s="157" t="e">
        <f ca="1"/>
        <v>#N/A</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wNGWDufzynQbIIO5ugokvJOt2P7Hg6q6iMpr3galXCsaApjQRkvO/mBEC2O40YD250CRY9ZbidmWhB/Dgzs0gA==" saltValue="swrZD2S3nK3mmoC2UMq7fw==" spinCount="100000" sheet="1" objects="1" scenarios="1"/>
  <protectedRanges>
    <protectedRange sqref="G7 I7:R7" name="Oblast1"/>
  </protectedRanges>
  <mergeCells count="99">
    <mergeCell ref="AI30:AK30"/>
    <mergeCell ref="AO31:AR32"/>
    <mergeCell ref="AR14:AR18"/>
    <mergeCell ref="AR19:AR23"/>
    <mergeCell ref="B27:F27"/>
    <mergeCell ref="H27:Q27"/>
    <mergeCell ref="S25:Y31"/>
    <mergeCell ref="AF30:AH30"/>
    <mergeCell ref="AB29:AO29"/>
    <mergeCell ref="AM23:AM25"/>
    <mergeCell ref="AL19:AL25"/>
    <mergeCell ref="AC25:AD25"/>
    <mergeCell ref="AJ26:AJ27"/>
    <mergeCell ref="AF25:AK25"/>
    <mergeCell ref="S24:U24"/>
    <mergeCell ref="B26:F26"/>
    <mergeCell ref="AP47:AQ47"/>
    <mergeCell ref="R33:S33"/>
    <mergeCell ref="R34:S34"/>
    <mergeCell ref="V34:W34"/>
    <mergeCell ref="AN47:AO47"/>
    <mergeCell ref="AC8:AG8"/>
    <mergeCell ref="S10:Y12"/>
    <mergeCell ref="M11:Q11"/>
    <mergeCell ref="S8:Y9"/>
    <mergeCell ref="AF9:AK9"/>
    <mergeCell ref="AD21:AD23"/>
    <mergeCell ref="AE17:AE23"/>
    <mergeCell ref="AB19:AC19"/>
    <mergeCell ref="S18:Y23"/>
    <mergeCell ref="AJ7:AJ8"/>
    <mergeCell ref="S7:U7"/>
    <mergeCell ref="AC9:AD9"/>
    <mergeCell ref="AD14:AD20"/>
    <mergeCell ref="BI3:BM3"/>
    <mergeCell ref="B5:D5"/>
    <mergeCell ref="F5:H5"/>
    <mergeCell ref="J5:L5"/>
    <mergeCell ref="N5:P5"/>
    <mergeCell ref="R5:T5"/>
    <mergeCell ref="AB4:AN5"/>
    <mergeCell ref="V5:X5"/>
    <mergeCell ref="A2:AJ3"/>
    <mergeCell ref="AP2:AS3"/>
    <mergeCell ref="BD3:BH3"/>
    <mergeCell ref="AM14:AM21"/>
    <mergeCell ref="AN19:AO19"/>
    <mergeCell ref="H17:Q17"/>
    <mergeCell ref="B21:F21"/>
    <mergeCell ref="B20:E20"/>
    <mergeCell ref="F20:I20"/>
    <mergeCell ref="H21:Q21"/>
    <mergeCell ref="H14:Q14"/>
    <mergeCell ref="B19:F19"/>
    <mergeCell ref="B14:F14"/>
    <mergeCell ref="AC24:AG24"/>
    <mergeCell ref="B15:F15"/>
    <mergeCell ref="H15:Q15"/>
    <mergeCell ref="B16:E16"/>
    <mergeCell ref="F16:I16"/>
    <mergeCell ref="J16:M16"/>
    <mergeCell ref="B17:F17"/>
    <mergeCell ref="B18:F18"/>
    <mergeCell ref="J20:M20"/>
    <mergeCell ref="S13:Y17"/>
    <mergeCell ref="H19:Q19"/>
    <mergeCell ref="N20:Q20"/>
    <mergeCell ref="H18:Q18"/>
    <mergeCell ref="H23:Q23"/>
    <mergeCell ref="H13:Q13"/>
    <mergeCell ref="B12:F12"/>
    <mergeCell ref="B25:F25"/>
    <mergeCell ref="H25:Q25"/>
    <mergeCell ref="B7:F7"/>
    <mergeCell ref="B9:F9"/>
    <mergeCell ref="H9:Q9"/>
    <mergeCell ref="H10:L10"/>
    <mergeCell ref="H12:Q12"/>
    <mergeCell ref="H8:Q8"/>
    <mergeCell ref="G7:Q7"/>
    <mergeCell ref="H11:L11"/>
    <mergeCell ref="M10:Q10"/>
    <mergeCell ref="B11:F11"/>
    <mergeCell ref="B32:Q32"/>
    <mergeCell ref="B13:F13"/>
    <mergeCell ref="N16:Q16"/>
    <mergeCell ref="B33:K34"/>
    <mergeCell ref="L33:Q34"/>
    <mergeCell ref="P29:Q29"/>
    <mergeCell ref="H26:Q26"/>
    <mergeCell ref="B24:F24"/>
    <mergeCell ref="H24:Q24"/>
    <mergeCell ref="B28:F28"/>
    <mergeCell ref="H28:Q28"/>
    <mergeCell ref="B30:J31"/>
    <mergeCell ref="K30:K31"/>
    <mergeCell ref="L30:O31"/>
    <mergeCell ref="P30:Q31"/>
    <mergeCell ref="D29:O29"/>
  </mergeCells>
  <conditionalFormatting sqref="B5 F5 J5 N5 R5 V5">
    <cfRule type="cellIs" dxfId="397" priority="24" operator="equal">
      <formula>$A$2</formula>
    </cfRule>
  </conditionalFormatting>
  <conditionalFormatting sqref="B16:I16">
    <cfRule type="expression" dxfId="396" priority="45">
      <formula>$AU$19=0</formula>
    </cfRule>
  </conditionalFormatting>
  <conditionalFormatting sqref="B9:Q9">
    <cfRule type="expression" dxfId="395" priority="30">
      <formula>$B$9=0</formula>
    </cfRule>
  </conditionalFormatting>
  <conditionalFormatting sqref="B11:Q11">
    <cfRule type="expression" dxfId="394" priority="44">
      <formula>$AU$10=0</formula>
    </cfRule>
  </conditionalFormatting>
  <conditionalFormatting sqref="B14:Q14">
    <cfRule type="expression" dxfId="393" priority="29">
      <formula>$B$14=0</formula>
    </cfRule>
  </conditionalFormatting>
  <conditionalFormatting sqref="B17:Q17">
    <cfRule type="expression" dxfId="392" priority="28">
      <formula>$B$17=0</formula>
    </cfRule>
  </conditionalFormatting>
  <conditionalFormatting sqref="B18:Q18">
    <cfRule type="expression" dxfId="391" priority="14" stopIfTrue="1">
      <formula>$B$18=0</formula>
    </cfRule>
    <cfRule type="expression" dxfId="390" priority="17">
      <formula>$F$16=$H$61</formula>
    </cfRule>
  </conditionalFormatting>
  <conditionalFormatting sqref="B19:Q19">
    <cfRule type="expression" dxfId="389" priority="27">
      <formula>$B$19=0</formula>
    </cfRule>
  </conditionalFormatting>
  <conditionalFormatting sqref="B20:Q20">
    <cfRule type="expression" dxfId="388" priority="25">
      <formula>$B$20=0</formula>
    </cfRule>
    <cfRule type="expression" dxfId="387" priority="26">
      <formula>$B$19=0</formula>
    </cfRule>
  </conditionalFormatting>
  <conditionalFormatting sqref="B21:Q21">
    <cfRule type="expression" dxfId="386" priority="6">
      <formula>$B$21=" "</formula>
    </cfRule>
  </conditionalFormatting>
  <conditionalFormatting sqref="B24:Q24">
    <cfRule type="expression" dxfId="385" priority="19" stopIfTrue="1">
      <formula>$T$59&lt;3</formula>
    </cfRule>
  </conditionalFormatting>
  <conditionalFormatting sqref="H23">
    <cfRule type="expression" dxfId="384" priority="31">
      <formula>$H$25&gt;0</formula>
    </cfRule>
  </conditionalFormatting>
  <conditionalFormatting sqref="H10:L11">
    <cfRule type="expression" dxfId="383" priority="23">
      <formula>$AU$10=2</formula>
    </cfRule>
  </conditionalFormatting>
  <conditionalFormatting sqref="H10:Q10">
    <cfRule type="expression" dxfId="382" priority="22">
      <formula>$AU$10=0</formula>
    </cfRule>
  </conditionalFormatting>
  <conditionalFormatting sqref="H22:Q22 B22:G23">
    <cfRule type="expression" dxfId="381" priority="20">
      <formula>$AS$33=1</formula>
    </cfRule>
  </conditionalFormatting>
  <conditionalFormatting sqref="J16:M16">
    <cfRule type="expression" dxfId="380" priority="16" stopIfTrue="1">
      <formula>$K$60=TRUE</formula>
    </cfRule>
  </conditionalFormatting>
  <conditionalFormatting sqref="J16:N16">
    <cfRule type="expression" dxfId="379" priority="18" stopIfTrue="1">
      <formula>$AV$19=0</formula>
    </cfRule>
  </conditionalFormatting>
  <conditionalFormatting sqref="M10:Q11">
    <cfRule type="expression" dxfId="378" priority="21">
      <formula>$AU$10=1</formula>
    </cfRule>
  </conditionalFormatting>
  <conditionalFormatting sqref="N16:Q16">
    <cfRule type="expression" dxfId="377" priority="15" stopIfTrue="1">
      <formula>$K$60=TRUE</formula>
    </cfRule>
  </conditionalFormatting>
  <conditionalFormatting sqref="P29:Q29">
    <cfRule type="expression" dxfId="376" priority="1">
      <formula>$U$41=2</formula>
    </cfRule>
  </conditionalFormatting>
  <conditionalFormatting sqref="AA9:AA10 AA24:AA25">
    <cfRule type="expression" dxfId="375" priority="10" stopIfTrue="1">
      <formula>$AU$17=1</formula>
    </cfRule>
  </conditionalFormatting>
  <conditionalFormatting sqref="AA16:AA17">
    <cfRule type="expression" dxfId="374" priority="5" stopIfTrue="1">
      <formula>$AU$24="1_3"</formula>
    </cfRule>
  </conditionalFormatting>
  <conditionalFormatting sqref="AB6 AA6:AA7 AA27 AA28:AB28">
    <cfRule type="expression" dxfId="373" priority="4" stopIfTrue="1">
      <formula>$AV$17=1</formula>
    </cfRule>
  </conditionalFormatting>
  <conditionalFormatting sqref="AB29:AO29">
    <cfRule type="cellIs" dxfId="372" priority="2" operator="equal">
      <formula>0</formula>
    </cfRule>
  </conditionalFormatting>
  <conditionalFormatting sqref="AC6:AD6 AM6:AN6">
    <cfRule type="expression" dxfId="371" priority="12" stopIfTrue="1">
      <formula>$AU$17=3</formula>
    </cfRule>
  </conditionalFormatting>
  <conditionalFormatting sqref="AC25:AD25 AJ26:AJ27">
    <cfRule type="expression" dxfId="370" priority="39">
      <formula>$AU$25=4</formula>
    </cfRule>
  </conditionalFormatting>
  <conditionalFormatting sqref="AC28:AD28 AM28:AN28">
    <cfRule type="expression" dxfId="369" priority="11" stopIfTrue="1">
      <formula>$AU$17=4</formula>
    </cfRule>
  </conditionalFormatting>
  <conditionalFormatting sqref="AC8:AG8">
    <cfRule type="expression" dxfId="368" priority="43">
      <formula>$AU$25=3</formula>
    </cfRule>
  </conditionalFormatting>
  <conditionalFormatting sqref="AC24:AG24">
    <cfRule type="expression" dxfId="367" priority="40">
      <formula>$AU$25=4</formula>
    </cfRule>
  </conditionalFormatting>
  <conditionalFormatting sqref="AD21:AD23 AB19:AC19">
    <cfRule type="expression" dxfId="366" priority="33">
      <formula>$AU$25=1</formula>
    </cfRule>
  </conditionalFormatting>
  <conditionalFormatting sqref="AD14 AD20">
    <cfRule type="expression" dxfId="365" priority="32">
      <formula>$AU$25=1</formula>
    </cfRule>
  </conditionalFormatting>
  <conditionalFormatting sqref="AE17:AE23">
    <cfRule type="expression" dxfId="364" priority="41">
      <formula>$AU$25=1</formula>
    </cfRule>
  </conditionalFormatting>
  <conditionalFormatting sqref="AF9:AK9">
    <cfRule type="expression" dxfId="363" priority="36">
      <formula>$AU$25=3</formula>
    </cfRule>
  </conditionalFormatting>
  <conditionalFormatting sqref="AF25:AK25">
    <cfRule type="expression" dxfId="362" priority="38">
      <formula>$AU$25=4</formula>
    </cfRule>
  </conditionalFormatting>
  <conditionalFormatting sqref="AG6:AH6">
    <cfRule type="expression" dxfId="361" priority="8" stopIfTrue="1">
      <formula>$AU$24="3_3"</formula>
    </cfRule>
  </conditionalFormatting>
  <conditionalFormatting sqref="AG28:AH28">
    <cfRule type="expression" dxfId="360" priority="7" stopIfTrue="1">
      <formula>$AU$24="4_3"</formula>
    </cfRule>
  </conditionalFormatting>
  <conditionalFormatting sqref="AJ7:AJ8 AC9:AD9">
    <cfRule type="expression" dxfId="359" priority="37">
      <formula>$AU$25=3</formula>
    </cfRule>
  </conditionalFormatting>
  <conditionalFormatting sqref="AL19:AL25">
    <cfRule type="expression" dxfId="358" priority="42">
      <formula>$AU$25=2</formula>
    </cfRule>
  </conditionalFormatting>
  <conditionalFormatting sqref="AM14:AM21">
    <cfRule type="expression" dxfId="357" priority="34">
      <formula>$AU$25=2</formula>
    </cfRule>
  </conditionalFormatting>
  <conditionalFormatting sqref="AN19:AO19 AM23:AM25">
    <cfRule type="expression" dxfId="356" priority="35">
      <formula>$AU$25=2</formula>
    </cfRule>
  </conditionalFormatting>
  <conditionalFormatting sqref="AO6 AP6:AP7 AP27 AO28:AP28">
    <cfRule type="expression" dxfId="355" priority="3" stopIfTrue="1">
      <formula>$AV$17=2</formula>
    </cfRule>
  </conditionalFormatting>
  <conditionalFormatting sqref="AP9:AP10 AP24:AP25">
    <cfRule type="expression" dxfId="354" priority="9" stopIfTrue="1">
      <formula>$AU$17=2</formula>
    </cfRule>
  </conditionalFormatting>
  <conditionalFormatting sqref="AP16:AP17">
    <cfRule type="expression" dxfId="353" priority="13" stopIfTrue="1">
      <formula>$AU$24="2_3"</formula>
    </cfRule>
  </conditionalFormatting>
  <dataValidations count="20">
    <dataValidation type="whole" allowBlank="1" showInputMessage="1" showErrorMessage="1" sqref="H11:L11" xr:uid="{60B0D3D8-6744-43A3-9D4D-0BDFE73E3D14}">
      <formula1>1</formula1>
      <formula2>(AR14/100)-1</formula2>
    </dataValidation>
    <dataValidation type="whole" allowBlank="1" showInputMessage="1" showErrorMessage="1" sqref="M11:Q11" xr:uid="{532D3F70-4E4D-4E63-A0D4-7BDF455E2CC0}">
      <formula1>1</formula1>
      <formula2>(AI30/100)-1</formula2>
    </dataValidation>
    <dataValidation type="whole" allowBlank="1" showInputMessage="1" showErrorMessage="1" errorTitle="Minimum 80 mm" sqref="F20:I20 N20:Q20" xr:uid="{58BCEACC-AB61-402B-9DFC-60D915EBD616}">
      <formula1>80</formula1>
      <formula2>1300</formula2>
    </dataValidation>
    <dataValidation type="whole" operator="greaterThanOrEqual" allowBlank="1" showInputMessage="1" showErrorMessage="1" sqref="H26:Q26" xr:uid="{89D56ED9-B82A-4D0A-9B42-756629E7B1EF}">
      <formula1>1</formula1>
    </dataValidation>
    <dataValidation type="list" allowBlank="1" showInputMessage="1" showErrorMessage="1" sqref="H12:Q12" xr:uid="{DDDE247F-598B-445A-91BB-2E09C0696F42}">
      <formula1>$L$36:$M$36</formula1>
    </dataValidation>
    <dataValidation type="list" allowBlank="1" showInputMessage="1" showErrorMessage="1" sqref="H24:Q24" xr:uid="{11655D65-68BB-4894-8A88-824FADD1319C}">
      <formula1>$X$54:$X$56</formula1>
    </dataValidation>
    <dataValidation type="list" allowBlank="1" showInputMessage="1" showErrorMessage="1" sqref="H21:Q21" xr:uid="{1DF0812B-D21B-49AF-A621-DD1BCECDA359}">
      <formula1>$T$54:$T$56</formula1>
    </dataValidation>
    <dataValidation type="list" allowBlank="1" showInputMessage="1" showErrorMessage="1" sqref="H14:Q14" xr:uid="{A17270A5-4A88-445B-A1C3-AD3DE137C063}">
      <formula1>$P$36:$P$38</formula1>
    </dataValidation>
    <dataValidation type="list" allowBlank="1" showInputMessage="1" showErrorMessage="1" sqref="H19:Q19" xr:uid="{F8C9091A-1FB2-4E94-958E-B8ECD5318D8A}">
      <formula1>IF(H13="Salice",$AJ$36,($AJ$36:$AJ$40))</formula1>
    </dataValidation>
    <dataValidation type="list" allowBlank="1" showInputMessage="1" showErrorMessage="1" sqref="H18:Q18" xr:uid="{F9275732-CDDB-458A-9A57-39E8BC548127}">
      <formula1>$AF$36:$AF$41</formula1>
    </dataValidation>
    <dataValidation type="list" allowBlank="1" showInputMessage="1" showErrorMessage="1" sqref="N16:Q16" xr:uid="{3AB336CB-7A92-4C00-8957-3357C60F6DE8}">
      <formula1>$K$54:$K$58</formula1>
    </dataValidation>
    <dataValidation type="list" allowBlank="1" showInputMessage="1" showErrorMessage="1" sqref="H13:Q13" xr:uid="{BBCC4ECF-FD69-4F2E-89E2-8519D10A8E8A}">
      <formula1>IF(M38="Salice",$L$38,$L$38:$L$42)</formula1>
    </dataValidation>
    <dataValidation type="list" allowBlank="1" showInputMessage="1" showErrorMessage="1" sqref="H15:Q15" xr:uid="{8811177B-A5E6-4E13-8E00-0C7C6640AEB7}">
      <formula1>$T$36:$T$44</formula1>
    </dataValidation>
    <dataValidation type="list" allowBlank="1" showInputMessage="1" showErrorMessage="1" sqref="F16:I16" xr:uid="{8AA382D6-41BD-456D-A8E5-8DD4A0FCE1AA}">
      <formula1>$O$65:$O$84</formula1>
    </dataValidation>
    <dataValidation type="whole" operator="lessThan" showInputMessage="1" showErrorMessage="1" sqref="AI30:AK30" xr:uid="{D885F7B3-9AE3-44BB-B6D0-0B418615FD84}">
      <formula1>IF(AR14&lt;AI43+1,AJ43+1,AI43+1)</formula1>
    </dataValidation>
    <dataValidation type="whole" operator="lessThan" showErrorMessage="1" sqref="AR14:AR18" xr:uid="{9A55E31D-6435-468E-9479-0B70ED732146}">
      <formula1>IF(AI30&lt;AI43+1,AJ43+1,AI43+1)</formula1>
    </dataValidation>
    <dataValidation type="list" allowBlank="1" showInputMessage="1" showErrorMessage="1" sqref="P29:Q29" xr:uid="{ED846B77-A6C4-4F68-A209-A16EC9A05B16}">
      <formula1>$W$37:$W$38</formula1>
    </dataValidation>
    <dataValidation type="list" allowBlank="1" showInputMessage="1" showErrorMessage="1" sqref="H25:Q25" xr:uid="{BE58CD78-833F-4CDB-87ED-21C5628A68EE}">
      <formula1>$AD$54:$AD$97</formula1>
    </dataValidation>
    <dataValidation type="list" allowBlank="1" showInputMessage="1" showErrorMessage="1" sqref="H17:Q17" xr:uid="{FAC78649-117C-439B-B317-1C9F0C087BED}">
      <formula1>$P$82:$P$90</formula1>
    </dataValidation>
    <dataValidation type="list" allowBlank="1" showInputMessage="1" showErrorMessage="1" sqref="H8:Q8" xr:uid="{76AA8506-6274-4C78-B72D-E9E8AAF921B9}">
      <formula1>B36:B101</formula1>
    </dataValidation>
  </dataValidations>
  <hyperlinks>
    <hyperlink ref="AP2:AS3" location="Hlavní!A1" display="Hlavní!A1" xr:uid="{D6D1F15F-559D-4453-AA27-FFD86705035E}"/>
    <hyperlink ref="F5:H5" location="Ram_2!A1" display="Ram_2!A1" xr:uid="{BBEB6764-78C2-4C31-BD79-8D08D83E6A3F}"/>
    <hyperlink ref="N5:P5" location="Ram_4!A1" display="Ram_4!A1" xr:uid="{B3854D8E-DF6E-4D87-9BCB-B1B7F5C79813}"/>
    <hyperlink ref="R5:T5" location="Ram_5!A1" display="Ram_5!A1" xr:uid="{66A39C12-6D61-4E15-8876-5DCAE3BC27AA}"/>
    <hyperlink ref="V5:X5" location="Ram_6!A1" display="Ram_6!A1" xr:uid="{5CE54BA8-FDD6-407B-9692-C7B674651678}"/>
    <hyperlink ref="B5:D5" location="Ram_1!A1" display="Ram_1!A1" xr:uid="{62BC66DE-4324-4E65-8D14-C4B7DC05911F}"/>
    <hyperlink ref="AO31:AR32" location="_souhrn!A1" display="_souhrn!A1" xr:uid="{AC6C48BB-3312-42AE-95FC-032D1DD91736}"/>
    <hyperlink ref="J5:L5" location="Ram_3!A1" display="Ram_3!A1" xr:uid="{528AB121-D9EC-456F-A340-5CA97A9D0975}"/>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09763" r:id="rId4" name="Check Box 3843">
              <controlPr defaultSize="0" autoFill="0" autoLine="0" autoPict="0">
                <anchor moveWithCells="1">
                  <from>
                    <xdr:col>5</xdr:col>
                    <xdr:colOff>57150</xdr:colOff>
                    <xdr:row>6</xdr:row>
                    <xdr:rowOff>0</xdr:rowOff>
                  </from>
                  <to>
                    <xdr:col>5</xdr:col>
                    <xdr:colOff>295275</xdr:colOff>
                    <xdr:row>7</xdr:row>
                    <xdr:rowOff>0</xdr:rowOff>
                  </to>
                </anchor>
              </controlPr>
            </control>
          </mc:Choice>
        </mc:AlternateContent>
        <mc:AlternateContent xmlns:mc="http://schemas.openxmlformats.org/markup-compatibility/2006">
          <mc:Choice Requires="x14">
            <control shapeId="1109764" r:id="rId5" name="Check Box 3844">
              <controlPr defaultSize="0" autoFill="0" autoLine="0" autoPict="0">
                <anchor moveWithCells="1">
                  <from>
                    <xdr:col>5</xdr:col>
                    <xdr:colOff>57150</xdr:colOff>
                    <xdr:row>6</xdr:row>
                    <xdr:rowOff>171450</xdr:rowOff>
                  </from>
                  <to>
                    <xdr:col>5</xdr:col>
                    <xdr:colOff>276225</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2A2C485C-34A7-477C-8942-13BA1BD3514F}">
          <x14:formula1>
            <xm:f>'závěsy dle výklopu'!$BW$2:$BW$5</xm:f>
          </x14:formula1>
          <xm:sqref>H27:Q27</xm:sqref>
        </x14:dataValidation>
        <x14:dataValidation type="list" allowBlank="1" showInputMessage="1" showErrorMessage="1" xr:uid="{2EC2667A-A6A8-4843-8EED-02A2E8C65D6B}">
          <x14:formula1>
            <xm:f>kombinace_1!$BY$13:$BY$15</xm:f>
          </x14:formula1>
          <xm:sqref>H9:Q9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04EF-4502-4534-816F-F0439911B595}">
  <sheetPr codeName="List9"/>
  <dimension ref="A1:FC758"/>
  <sheetViews>
    <sheetView topLeftCell="A34"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VLOOKUP(Ram_2!H8,kombinace_2!$A$3:$C$75,3,0)</f>
        <v>#N/A</v>
      </c>
      <c r="S1" t="e">
        <f>CONCATENATE("_",R1,V1)</f>
        <v>#N/A</v>
      </c>
      <c r="U1" s="173" t="s">
        <v>996</v>
      </c>
      <c r="V1" s="2">
        <f>IFERROR(VLOOKUP(Ram_2!H21,$EN$3:$EO$5,2,0),1)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CONCATENATE("_",Ram_2!H12,"_",Ram_2!H13)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IF(OR(Ram_2!$H$13&amp;Ram_2!$AU$7=Ram_2!$M$44,
Ram_2!$H$13&amp;Ram_2!$AU$7=Ram_2!$M$45,
Ram_2!$H$13&amp;Ram_2!$AU$7=Ram_2!$M$46,
Ram_2!$H$13&amp;Ram_2!$AU$7=Ram_2!$M$47),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IF(OR(Ram_2!$H$13&amp;Ram_2!$AU$7=Ram_2!$M$44,
Ram_2!$H$13&amp;Ram_2!$AU$7=Ram_2!$M$45,
Ram_2!$H$13&amp;Ram_2!$AU$7=Ram_2!$M$46,
Ram_2!$H$13&amp;Ram_2!$AU$7=Ram_2!$M$47),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IF(Ram_2!H25="",'Translate&amp;Prices&amp;Logo'!B642,"")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IF(Ram_2!$H$9=kombinace_2!M10,1,0)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IF(Ram_2!$H$9=kombinace_2!M11,2,0)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IF(Ram_2!$H$9=kombinace_2!M12,3,0)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IF(Ram_2!AU7=2,"FREEspace","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D36" t="s">
        <v>1620</v>
      </c>
      <c r="EE36" t="s">
        <v>1776</v>
      </c>
      <c r="ER36" t="s">
        <v>2172</v>
      </c>
      <c r="ES36" t="s">
        <v>2172</v>
      </c>
    </row>
    <row r="37" spans="1:149">
      <c r="A37" t="str">
        <f>'Translate&amp;Prices&amp;Logo'!$B$67</f>
        <v>Rimini černý mat - max délka profilu 1100 mm</v>
      </c>
      <c r="B37">
        <v>1</v>
      </c>
      <c r="C37" t="s">
        <v>651</v>
      </c>
      <c r="D37">
        <v>0</v>
      </c>
      <c r="BY37" t="s">
        <v>1332</v>
      </c>
      <c r="ED37" t="s">
        <v>1621</v>
      </c>
      <c r="EE37" t="s">
        <v>1777</v>
      </c>
      <c r="ER37" t="s">
        <v>2215</v>
      </c>
      <c r="ES37" t="s">
        <v>2209</v>
      </c>
    </row>
    <row r="38" spans="1:149">
      <c r="A38" t="str">
        <f>'Translate&amp;Prices&amp;Logo'!$B$68</f>
        <v>Rimini champagne - max délka profilu 1100 mm</v>
      </c>
      <c r="B38">
        <v>1</v>
      </c>
      <c r="C38" t="s">
        <v>651</v>
      </c>
      <c r="D38">
        <v>0</v>
      </c>
      <c r="ED38" t="s">
        <v>1622</v>
      </c>
      <c r="EE38" t="s">
        <v>1778</v>
      </c>
      <c r="ER38" t="s">
        <v>2216</v>
      </c>
      <c r="ES38" t="s">
        <v>2210</v>
      </c>
    </row>
    <row r="39" spans="1:149">
      <c r="A39" t="str">
        <f>'Translate&amp;Prices&amp;Logo'!$B$69</f>
        <v>Rimini zlatá - max délka profilu 1100 mm</v>
      </c>
      <c r="B39">
        <v>1</v>
      </c>
      <c r="C39" t="s">
        <v>651</v>
      </c>
      <c r="D39">
        <v>0</v>
      </c>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6FD3B6BF-88E6-4E0D-BF41-0E4BC72696E3}">
            <xm:f>OR(Ram_2!$AU$10=1,Ram_2!$AU$10=3)</xm:f>
            <x14:dxf>
              <fill>
                <patternFill patternType="darkDown"/>
              </fill>
            </x14:dxf>
          </x14:cfRule>
          <xm:sqref>CH13</xm:sqref>
        </x14:conditionalFormatting>
        <x14:conditionalFormatting xmlns:xm="http://schemas.microsoft.com/office/excel/2006/main">
          <x14:cfRule type="expression" priority="2" id="{2AD622F7-FD42-40C9-B7A6-5DDA0636E172}">
            <xm:f>OR(Ram_2!$AU$10=2,Ram_2!$AU$10=3)</xm:f>
            <x14:dxf>
              <fill>
                <patternFill patternType="darkDown"/>
              </fill>
            </x14:dxf>
          </x14:cfRule>
          <xm:sqref>CH14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F04E-EC01-41F9-9847-8FCE634B3F1A}">
  <sheetPr codeName="List7">
    <tabColor rgb="FF00B0F0"/>
    <pageSetUpPr fitToPage="1"/>
  </sheetPr>
  <dimension ref="A1:BM150"/>
  <sheetViews>
    <sheetView showGridLines="0" showRowColHeaders="0" showZeros="0" workbookViewId="0">
      <selection activeCell="H26" sqref="H26:Q26"/>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8.855468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"&amp;3</f>
        <v>Rámeček  3</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Úvod</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IFERROR(IF(kombinace_3!FC2=TRUE,'Translate&amp;Prices&amp;Logo'!B656,IF(VLOOKUP(H8,kombinace_3!$A:$E,5,0)=3,'Translate&amp;Prices&amp;Logo'!B644,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40" t="str">
        <f>'Translate&amp;Prices&amp;Logo'!$B$171&amp;" "&amp;" "&amp;1</f>
        <v>Rámeček  1</v>
      </c>
      <c r="C5" s="540"/>
      <c r="D5" s="540"/>
      <c r="E5" s="106"/>
      <c r="F5" s="540" t="str">
        <f>'Translate&amp;Prices&amp;Logo'!$B$171&amp;" "&amp;" "&amp;2</f>
        <v>Rámeček  2</v>
      </c>
      <c r="G5" s="540"/>
      <c r="H5" s="540"/>
      <c r="I5" s="9"/>
      <c r="J5" s="571" t="str">
        <f>'Translate&amp;Prices&amp;Logo'!$B$171&amp;" "&amp;" "&amp;3</f>
        <v>Rámeček  3</v>
      </c>
      <c r="K5" s="571"/>
      <c r="L5" s="571"/>
      <c r="M5" s="9"/>
      <c r="N5" s="540" t="str">
        <f>'Translate&amp;Prices&amp;Logo'!$B$171&amp;" "&amp;" "&amp;4</f>
        <v>Rámeček  4</v>
      </c>
      <c r="O5" s="540"/>
      <c r="P5" s="540"/>
      <c r="Q5" s="9"/>
      <c r="R5" s="540" t="str">
        <f>'Translate&amp;Prices&amp;Logo'!$B$171&amp;" "&amp;" "&amp;5</f>
        <v>Rámeček  5</v>
      </c>
      <c r="S5" s="540"/>
      <c r="T5" s="540"/>
      <c r="U5" s="9"/>
      <c r="V5" s="540" t="str">
        <f>'Translate&amp;Prices&amp;Logo'!$B$171&amp;" "&amp;" "&amp;6</f>
        <v>Rámeček  6</v>
      </c>
      <c r="W5" s="540"/>
      <c r="X5" s="540"/>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Kombinace 2 profilů</v>
      </c>
      <c r="C7" s="575"/>
      <c r="D7" s="575"/>
      <c r="E7" s="575"/>
      <c r="F7" s="575"/>
      <c r="G7" s="521" t="str">
        <f>IF(kombinace_3!FC2=TRUE,AB4,"")</f>
        <v/>
      </c>
      <c r="H7" s="521"/>
      <c r="I7" s="521"/>
      <c r="J7" s="521"/>
      <c r="K7" s="521"/>
      <c r="L7" s="521"/>
      <c r="M7" s="521"/>
      <c r="N7" s="521"/>
      <c r="O7" s="521"/>
      <c r="P7" s="521"/>
      <c r="Q7" s="522"/>
      <c r="R7" s="224"/>
      <c r="S7" s="506" t="str">
        <f>'Translate&amp;Prices&amp;Logo'!$B$574</f>
        <v>Upozornění:</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VLOOKUP(H8,kombinace_3!$A3:$B100,2,0)</f>
        <v>#N/A</v>
      </c>
      <c r="AV7" s="140" t="e">
        <f>IF(AU7=2,"Široký",IF(AU7=1,"Úzký",IF(AU7=3,"kombo")))</f>
        <v>#N/A</v>
      </c>
    </row>
    <row r="8" spans="1:65" ht="45.6" customHeight="1">
      <c r="A8" s="61"/>
      <c r="B8" s="216" t="str">
        <f>'Translate&amp;Prices&amp;Logo'!$B$655</f>
        <v>Výplň rámečku síťka</v>
      </c>
      <c r="C8" s="217"/>
      <c r="D8" s="217"/>
      <c r="E8" s="218" t="str">
        <f>'Translate&amp;Prices&amp;Logo'!$B$174</f>
        <v>Typ profilu</v>
      </c>
      <c r="F8" s="218"/>
      <c r="G8" s="223"/>
      <c r="H8" s="576"/>
      <c r="I8" s="576"/>
      <c r="J8" s="576"/>
      <c r="K8" s="576"/>
      <c r="L8" s="576"/>
      <c r="M8" s="576"/>
      <c r="N8" s="576"/>
      <c r="O8" s="576"/>
      <c r="P8" s="576"/>
      <c r="Q8" s="577"/>
      <c r="R8" s="225"/>
      <c r="S8" s="559" t="str">
        <f>IF(AU10&gt;0,'Translate&amp;Prices&amp;Logo'!B305,IF(OR(H8=kombinace_3!A64,H8=kombinace_3!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Vzdálenost od levého okraje</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IFERROR(IF(AND(VLOOKUP(H8,kombinace_3!$A:$D,4,0)=1,kombinace_3!FC2=FALSE),'Translate&amp;Prices&amp;Logo'!$B$545,0),0)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Rozteč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IFERROR((VLOOKUP(H12,kombinace_3!$DP$2:$DQ$3,2,0)),"")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F10" s="9"/>
      <c r="AG10" s="9"/>
      <c r="AH10" s="9"/>
      <c r="AI10" s="60"/>
      <c r="AJ10" s="61"/>
      <c r="AK10" s="9"/>
      <c r="AL10" s="9"/>
      <c r="AM10" s="9"/>
      <c r="AN10" s="9"/>
      <c r="AO10" s="9"/>
      <c r="AP10" s="77"/>
      <c r="AQ10" s="307"/>
      <c r="AR10" s="9"/>
      <c r="AS10" s="9"/>
      <c r="AT10" s="139" t="s">
        <v>1196</v>
      </c>
      <c r="AU10" s="140">
        <f>IFERROR(VLOOKUP(H9,kombinace_3!$BY$13:$BZ$15,2,0),0)</f>
        <v>0</v>
      </c>
      <c r="AV10" s="140"/>
    </row>
    <row r="11" spans="1:65" ht="18" customHeight="1">
      <c r="A11" s="61"/>
      <c r="B11" s="548" t="str">
        <f>('Translate&amp;Prices&amp;Logo'!$B$545)&amp;" "&amp;"("&amp;'Translate&amp;Prices&amp;Logo'!$B$176&amp;")"</f>
        <v>Dělící lišty (Počet kusů)</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F11" s="9"/>
      <c r="AG11" s="9"/>
      <c r="AH11" s="9"/>
      <c r="AI11" s="60"/>
      <c r="AJ11" s="61"/>
      <c r="AK11" s="9"/>
      <c r="AL11" s="9"/>
      <c r="AM11" s="9"/>
      <c r="AN11" s="9"/>
      <c r="AO11" s="80"/>
      <c r="AP11" s="74"/>
      <c r="AQ11" s="307"/>
      <c r="AR11" s="9"/>
      <c r="AS11" s="9"/>
      <c r="AT11" s="146">
        <f>IFERROR(IF(kombinace_3!$H$1=TRUE,BA2+AY3,0),0)</f>
        <v>0</v>
      </c>
      <c r="AU11" s="146"/>
      <c r="AV11" s="140"/>
    </row>
    <row r="12" spans="1:65" ht="18" customHeight="1">
      <c r="A12" s="61"/>
      <c r="B12" s="489" t="str">
        <f>'Translate&amp;Prices&amp;Logo'!$B$260</f>
        <v>Typ kování</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Značka kování</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Rozteč  mm</v>
      </c>
      <c r="AF14" s="9"/>
      <c r="AG14" s="9"/>
      <c r="AH14" s="9"/>
      <c r="AI14" s="60"/>
      <c r="AJ14" s="61"/>
      <c r="AK14" s="9"/>
      <c r="AL14" s="9"/>
      <c r="AM14" s="534" t="str">
        <f>('Translate&amp;Prices&amp;Logo'!$B$550)&amp;" "&amp;H26&amp;" "&amp;"mm"</f>
        <v>Rozteč  mm</v>
      </c>
      <c r="AN14" s="9"/>
      <c r="AO14" s="81"/>
      <c r="AP14" s="74"/>
      <c r="AQ14" s="307"/>
      <c r="AR14" s="584"/>
      <c r="AS14" s="9"/>
      <c r="AT14" s="146"/>
      <c r="AU14" s="140"/>
      <c r="AV14" s="140"/>
      <c r="AW14" s="165" t="s">
        <v>2197</v>
      </c>
    </row>
    <row r="15" spans="1:65" ht="18" customHeight="1" thickBot="1">
      <c r="A15" s="61"/>
      <c r="B15" s="489" t="str">
        <f>'Translate&amp;Prices&amp;Logo'!$B$547</f>
        <v>Varianta kování</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IF(H15=kombinace_3!AB40,'Translate&amp;Prices&amp;Logo'!$B$226,IF(H15=kombinace_3!AB41,'Translate&amp;Prices&amp;Logo'!$B$226,IF(H12='závěsy dle výklopu'!BQ2,'Translate&amp;Prices&amp;Logo'!$B$224,'Translate&amp;Prices&amp;Logo'!$B$220)))</f>
        <v>Výběr pozice rámečku</v>
      </c>
      <c r="C16" s="547"/>
      <c r="D16" s="547"/>
      <c r="E16" s="547"/>
      <c r="F16" s="545"/>
      <c r="G16" s="545"/>
      <c r="H16" s="545"/>
      <c r="I16" s="545"/>
      <c r="J16" s="565" t="str">
        <f>IF(OR(H15=kombinace_3!AB40,H15=kombinace_3!AB7,H15=kombinace_3!AB15,H15=kombinace_3!AB20,H15=kombinace_3!AB21,H15=kombinace_3!AB22),'Translate&amp;Prices&amp;Logo'!$B$228,IF(H15=kombinace_3!AB41,'Translate&amp;Prices&amp;Logo'!$B$228,'Translate&amp;Prices&amp;Logo'!$B$234))</f>
        <v>Provedení druhého dvířka</v>
      </c>
      <c r="K16" s="565"/>
      <c r="L16" s="565"/>
      <c r="M16" s="565"/>
      <c r="N16" s="563"/>
      <c r="O16" s="563"/>
      <c r="P16" s="563"/>
      <c r="Q16" s="564"/>
      <c r="R16" s="61"/>
      <c r="S16" s="553"/>
      <c r="T16" s="554"/>
      <c r="U16" s="554"/>
      <c r="V16" s="554"/>
      <c r="W16" s="554"/>
      <c r="X16" s="554"/>
      <c r="Y16" s="555"/>
      <c r="Z16" s="80"/>
      <c r="AA16" s="78"/>
      <c r="AB16" s="82"/>
      <c r="AC16" s="9"/>
      <c r="AD16" s="55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IF(H12='Translate&amp;Prices&amp;Logo'!B553,'Translate&amp;Prices&amp;Logo'!B240,IF(H15=kombinace_3!AB8,'Translate&amp;Prices&amp;Logo'!B286,0))</f>
        <v>0</v>
      </c>
      <c r="C17" s="490"/>
      <c r="D17" s="490"/>
      <c r="E17" s="490"/>
      <c r="F17" s="490"/>
      <c r="G17" s="98"/>
      <c r="H17" s="491"/>
      <c r="I17" s="491"/>
      <c r="J17" s="491"/>
      <c r="K17" s="491"/>
      <c r="L17" s="491"/>
      <c r="M17" s="491"/>
      <c r="N17" s="491"/>
      <c r="O17" s="491"/>
      <c r="P17" s="491"/>
      <c r="Q17" s="492"/>
      <c r="R17" s="61"/>
      <c r="S17" s="553"/>
      <c r="T17" s="554"/>
      <c r="U17" s="554"/>
      <c r="V17" s="554"/>
      <c r="W17" s="554"/>
      <c r="X17" s="554"/>
      <c r="Y17" s="555"/>
      <c r="Z17" s="80"/>
      <c r="AA17" s="78"/>
      <c r="AB17" s="82"/>
      <c r="AC17" s="9"/>
      <c r="AD17" s="552"/>
      <c r="AE17" s="496" t="str">
        <f>'Translate&amp;Prices&amp;Logo'!$B$638</f>
        <v>Vzdálenost od spodního okraje</v>
      </c>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IF(H13="Salice",VLOOKUP(H17,kombinace_3!$BY:$BZ,2,0),0)</f>
        <v>0</v>
      </c>
    </row>
    <row r="18" spans="1:52" ht="18" customHeight="1">
      <c r="A18" s="61"/>
      <c r="B18" s="489">
        <f>IFERROR(IF(VLOOKUP(H15,kombinace_3!CD:CE,2,0)=1,'Translate&amp;Prices&amp;Logo'!$B$549,0),0)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496"/>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IFERROR(IF(H12='Translate&amp;Prices&amp;Logo'!B553,'Translate&amp;Prices&amp;Logo'!$B$225,IF(VLOOKUP(H15,kombinace_3!CD:CE,2,0)=1,'Translate&amp;Prices&amp;Logo'!$B$225,)),0)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c r="AC19" s="525"/>
      <c r="AD19" s="552"/>
      <c r="AE19" s="496"/>
      <c r="AF19" s="9"/>
      <c r="AG19" s="9"/>
      <c r="AH19" s="9"/>
      <c r="AI19" s="157"/>
      <c r="AJ19" s="61"/>
      <c r="AK19" s="9"/>
      <c r="AL19" s="532" t="str">
        <f>'Translate&amp;Prices&amp;Logo'!$B$638</f>
        <v>Vzdálenost od spodního okraje</v>
      </c>
      <c r="AM19" s="534"/>
      <c r="AN19" s="525">
        <v>0</v>
      </c>
      <c r="AO19" s="525"/>
      <c r="AP19" s="76"/>
      <c r="AQ19" s="307"/>
      <c r="AR19" s="583" t="str">
        <f>'Translate&amp;Prices&amp;Logo'!$B$178</f>
        <v>Výška</v>
      </c>
      <c r="AS19" s="9"/>
      <c r="AT19" s="146"/>
      <c r="AU19" s="138">
        <f>IFERROR(IF(H12='závěsy dle výklopu'!BR2,VLOOKUP(H15,kombinace_3!$CD$3:$CF$18,3,0),IF(H12='závěsy dle výklopu'!BQ2,1,0)),0)</f>
        <v>0</v>
      </c>
      <c r="AV19" s="140">
        <f>IFERROR(VLOOKUP(H15,kombinace_3!$CD:$CF,3,0),0)</f>
        <v>0</v>
      </c>
    </row>
    <row r="20" spans="1:52" ht="18" customHeight="1">
      <c r="A20" s="61"/>
      <c r="B20" s="550">
        <f>IF(H13&lt;&gt;"Salice",(IFERROR(VLOOKUP(H17,kombinace_3!$BY$32:$CA$35,2,0),0)),0)</f>
        <v>0</v>
      </c>
      <c r="C20" s="487"/>
      <c r="D20" s="487"/>
      <c r="E20" s="487"/>
      <c r="F20" s="544">
        <v>100</v>
      </c>
      <c r="G20" s="544"/>
      <c r="H20" s="544"/>
      <c r="I20" s="544"/>
      <c r="J20" s="487">
        <f>IFERROR(VLOOKUP(H17,kombinace_3!$BY$32:$CA$35,3,0),0)</f>
        <v>0</v>
      </c>
      <c r="K20" s="487"/>
      <c r="L20" s="487"/>
      <c r="M20" s="487"/>
      <c r="N20" s="544">
        <v>100</v>
      </c>
      <c r="O20" s="544"/>
      <c r="P20" s="544"/>
      <c r="Q20" s="562"/>
      <c r="R20" s="61"/>
      <c r="S20" s="553"/>
      <c r="T20" s="554"/>
      <c r="U20" s="554"/>
      <c r="V20" s="554"/>
      <c r="W20" s="554"/>
      <c r="X20" s="554"/>
      <c r="Y20" s="555"/>
      <c r="Z20" s="80"/>
      <c r="AA20" s="78"/>
      <c r="AB20" s="79"/>
      <c r="AC20" s="9"/>
      <c r="AD20" s="552"/>
      <c r="AE20" s="496"/>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IF(kombinace_3!FC2=FALSE,'Translate&amp;Prices&amp;Logo'!$B$175," ")</f>
        <v>Typ úpravy skla</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c r="AE21" s="496"/>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496"/>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Již neměnit po tom co vyberete typ skla/síťky  ↥↥</v>
      </c>
      <c r="I23" s="538"/>
      <c r="J23" s="538"/>
      <c r="K23" s="538"/>
      <c r="L23" s="538"/>
      <c r="M23" s="538"/>
      <c r="N23" s="538"/>
      <c r="O23" s="538"/>
      <c r="P23" s="538"/>
      <c r="Q23" s="539"/>
      <c r="R23" s="61"/>
      <c r="S23" s="556"/>
      <c r="T23" s="557"/>
      <c r="U23" s="557"/>
      <c r="V23" s="557"/>
      <c r="W23" s="557"/>
      <c r="X23" s="557"/>
      <c r="Y23" s="558"/>
      <c r="Z23" s="80"/>
      <c r="AA23" s="78"/>
      <c r="AB23" s="79"/>
      <c r="AC23" s="9"/>
      <c r="AD23" s="524"/>
      <c r="AE23" s="496"/>
      <c r="AF23" s="9"/>
      <c r="AG23" s="9"/>
      <c r="AH23" s="9"/>
      <c r="AI23" s="60"/>
      <c r="AJ23" s="61"/>
      <c r="AK23" s="9"/>
      <c r="AL23" s="532"/>
      <c r="AM23" s="533">
        <v>0</v>
      </c>
      <c r="AN23" s="9"/>
      <c r="AO23" s="80"/>
      <c r="AP23" s="74"/>
      <c r="AQ23" s="307"/>
      <c r="AR23" s="583"/>
      <c r="AS23" s="9"/>
      <c r="AT23" s="146"/>
      <c r="AU23" s="140" t="e">
        <f>VLOOKUP(H17,kombinace_3!$BY$3:$BZ$6,2,0)</f>
        <v>#N/A</v>
      </c>
      <c r="AV23" s="140"/>
    </row>
    <row r="24" spans="1:52" ht="18" customHeight="1">
      <c r="A24" s="61"/>
      <c r="B24" s="519" t="str">
        <f>'Translate&amp;Prices&amp;Logo'!$B$564</f>
        <v>Typ folie</v>
      </c>
      <c r="C24" s="520"/>
      <c r="D24" s="520"/>
      <c r="E24" s="520"/>
      <c r="F24" s="520"/>
      <c r="G24" s="98"/>
      <c r="H24" s="536"/>
      <c r="I24" s="536"/>
      <c r="J24" s="536"/>
      <c r="K24" s="536"/>
      <c r="L24" s="536"/>
      <c r="M24" s="536"/>
      <c r="N24" s="536"/>
      <c r="O24" s="536"/>
      <c r="P24" s="536"/>
      <c r="Q24" s="537"/>
      <c r="R24" s="61"/>
      <c r="S24" s="506" t="str">
        <f>'Translate&amp;Prices&amp;Logo'!$B$179</f>
        <v>Poznámky</v>
      </c>
      <c r="T24" s="506"/>
      <c r="U24" s="506"/>
      <c r="Z24" s="80"/>
      <c r="AA24" s="78"/>
      <c r="AB24" s="79"/>
      <c r="AC24" s="488" t="str">
        <f>'Translate&amp;Prices&amp;Logo'!$B$244</f>
        <v>Vzdálenost od levého okraje</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Typ skla/síťky</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Rozteč  mm</v>
      </c>
      <c r="AG25" s="535"/>
      <c r="AH25" s="535"/>
      <c r="AI25" s="535"/>
      <c r="AJ25" s="535"/>
      <c r="AK25" s="535"/>
      <c r="AL25" s="532"/>
      <c r="AM25" s="533"/>
      <c r="AN25" s="9"/>
      <c r="AO25" s="80"/>
      <c r="AP25" s="83"/>
      <c r="AQ25" s="307"/>
      <c r="AR25" s="9"/>
      <c r="AS25" s="9"/>
      <c r="AT25" s="146"/>
      <c r="AU25" s="140" t="e">
        <f>VLOOKUP(H27,kombinace_3!$BY3:$BZ6,2,0)</f>
        <v>#N/A</v>
      </c>
      <c r="AV25" s="140"/>
    </row>
    <row r="26" spans="1:52" ht="18" customHeight="1">
      <c r="A26" s="61"/>
      <c r="B26" s="489" t="str">
        <f>'Translate&amp;Prices&amp;Logo'!$B$551</f>
        <v>Rozteč úchytky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Umístění úchytky</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Počet kusů</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Dodat včetně uvedeného kování -&gt; vyberte ze seznamu:</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VLOOKUP(H14,kombinace_3!$DN$7:$DO$24,2,0)</f>
        <v>#N/A</v>
      </c>
      <c r="AB29" s="531">
        <f>IF(kombinace_3!FC2=TRUE,AB4,IF(H12='závěsy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Cena rámečků celkem</v>
      </c>
      <c r="C30" s="512"/>
      <c r="D30" s="512"/>
      <c r="E30" s="512"/>
      <c r="F30" s="512"/>
      <c r="G30" s="512"/>
      <c r="H30" s="512"/>
      <c r="I30" s="512"/>
      <c r="J30" s="512"/>
      <c r="K30" s="517"/>
      <c r="L30" s="526">
        <f>IF(OR((AI30&gt;AI43),(AR14&gt;AJ43)),"",((((AT11+AT13+AT15+AT17+AT33+AT35+AT37)*AT43)*(1-(Zakaznik!K21/100)))*AW24))</f>
        <v>0</v>
      </c>
      <c r="M30" s="526"/>
      <c r="N30" s="526"/>
      <c r="O30" s="526"/>
      <c r="P30" s="507" t="str">
        <f>VLOOKUP('Translate&amp;Prices&amp;Logo'!D1,'závěsy dle výklopu'!A204:B209,2,0)</f>
        <v>Kč</v>
      </c>
      <c r="Q30" s="508"/>
      <c r="R30" s="61"/>
      <c r="S30" s="500"/>
      <c r="T30" s="501"/>
      <c r="U30" s="501"/>
      <c r="V30" s="501"/>
      <c r="W30" s="501"/>
      <c r="X30" s="501"/>
      <c r="Y30" s="502"/>
      <c r="Z30" s="9"/>
      <c r="AA30" s="9"/>
      <c r="AB30" s="61"/>
      <c r="AC30" s="9"/>
      <c r="AD30" s="9"/>
      <c r="AE30" s="9"/>
      <c r="AF30" s="530" t="str">
        <f>'Translate&amp;Prices&amp;Logo'!$B$177</f>
        <v xml:space="preserve">Šířka </v>
      </c>
      <c r="AG30" s="530"/>
      <c r="AH30" s="530"/>
      <c r="AI30" s="523"/>
      <c r="AJ30" s="523"/>
      <c r="AK30" s="523"/>
      <c r="AL30" s="9"/>
      <c r="AM30" s="9"/>
      <c r="AN30" s="9"/>
      <c r="AO30" s="9"/>
      <c r="AP30" s="9"/>
      <c r="AQ30" s="9"/>
      <c r="AR30" s="9"/>
      <c r="AS30" s="9"/>
      <c r="AT30" s="146"/>
      <c r="AU30" s="138" t="e">
        <f>HLOOKUP("_Úzký_dolny_K12",kombinace_3!CV2:CW19,3,FALSE)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Souhrn</v>
      </c>
      <c r="AP31" s="582"/>
      <c r="AQ31" s="582"/>
      <c r="AR31" s="582"/>
      <c r="AS31" s="9"/>
      <c r="AT31" s="146"/>
      <c r="AU31" s="138" t="e">
        <f>AD44</f>
        <v>#N/A</v>
      </c>
    </row>
    <row r="32" spans="1:52" ht="17.25" customHeight="1">
      <c r="A32" s="61"/>
      <c r="B32" s="541" t="str">
        <f>'Translate&amp;Prices&amp;Logo'!$B$173</f>
        <v>Uvedené ceny jsou bez DPH a nezahrnují cenu požadovaného kování!</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 xml:space="preserve">Rámečky bez skla se dodávají v demontovaném stavu. </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IF(kombinace_3!V1=2,((AR14/1000)*(AI30/1000))*'Translate&amp;Prices&amp;Logo'!C96,0)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IF(kombinace_3!$V$1=3,IFERROR(((VLOOKUP(H24,'Translate&amp;Prices&amp;Logo'!B93:C95,2,0))*(AR14/1000)),0),0)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IF(kombinace_3!FC2=TRUE,_profily_síťka,IF(kombinace_3!H1=TRUE,_kombinovane_profily,_vše_profily))</f>
        <v>BRW (elox.) - maximální doporučená délka profilu 2500 mm</v>
      </c>
      <c r="L36" s="157" t="str">
        <f t="array" ref="L36:M36">IF(kombinace_3!H1=TRUE,'závěsy dle výklopu'!$BQ$2:$BR$2,
IF(H8=kombinace_3!A41,'závěsy dle výklopu'!$BQ$2,IF(H8=kombinace_3!A42,'závěsy dle výklopu'!$BQ$2,IF(H8=kombinace_3!A65,'závěsy dle výklopu'!$BQ$2,IF(H8=kombinace_3!A66,'závěsy dle výklopu'!$BQ$2,IF(H8=kombinace_3!A67,'závěsy dle výklopu'!$BQ$2,IF(H8=kombinace_3!A68,'závěsy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IF(H13=kombinace_3!BQ11,kombinace_3!$DN$2,kombinace_3!$DN$2:$DN$4)</f>
        <v>Naložený</v>
      </c>
      <c r="T36" s="157">
        <f t="array" aca="1" ref="T36:T44" ca="1">IF(H13=kombinace_3!BQ11,
  kombinace_3!$FA$2:$FA$9,
  IF(AND(OR(H8=kombinace_3!A41,H8=kombinace_3!A42),H13='závěsy dle výklopu'!BQ4),
    INDIRECT(VLOOKUP(AD42&amp;"_Rocca",kombinace_3!$ER$1:$ES$108,2,0)),
    IF($AU$9=2,
      INDIRECT(VLOOKUP(AD42,kombinace_3!$ER$1:$ES$108,2,0)),
      IF($AU$9=3,
        INDIRECT(VLOOKUP($T$47,kombinace_3!$AA$1:$AB$100,2,0)),
      $Y$48)
    )
  )
)</f>
        <v>0</v>
      </c>
      <c r="AF36" s="157" t="e">
        <f>HLOOKUP($AD$44,'závěsy dle výklopu'!$CG$4:$EZ$10,2,0)</f>
        <v>#N/A</v>
      </c>
      <c r="AJ36" s="157">
        <f t="array" ref="AJ36:AJ40">IF(AM19&lt;2100,kombinace_3!BY8:BY12,kombinace_3!BY8:BY12)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3!FC2=TRUE,500,AJ43))),"")</f>
        <v/>
      </c>
      <c r="AJ43" s="277" t="str">
        <f>IFERROR((IF(kombinace_3!FC2=TRUE,1000,VLOOKUP(H8,'Translate&amp;Prices&amp;Logo'!B6:U84,20,0))),"")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CONCATENATE(H13,"_",VLOOKUP(kombinace_3!H1,kombinace_3!$J$14:$K$15,2,0))</f>
        <v>_2</v>
      </c>
      <c r="AD47" s="157" t="s">
        <v>4253</v>
      </c>
      <c r="AI47" s="112"/>
      <c r="AJ47" s="270"/>
      <c r="AN47" s="578"/>
      <c r="AO47" s="578"/>
      <c r="AP47" s="578"/>
      <c r="AQ47" s="578"/>
    </row>
    <row r="48" spans="1:58" s="157" customFormat="1" ht="14.85" hidden="1" customHeight="1">
      <c r="A48" s="140"/>
      <c r="B48" s="157" t="str">
        <v>BRW kašmír - maximální doporučená délka profilu 2500 mm</v>
      </c>
      <c r="T48" s="157" t="e">
        <f>VLOOKUP(AD42,kombinace_3!ER1:ES120,2,0)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3!AB40,$H$15=kombinace_3!AB7,$H$15=kombinace_3!AB15,$H$15=kombinace_3!AB20,$H$15=kombinace_3!AB21,$H$15=kombinace_3!AB22),'Translate&amp;Prices&amp;Logo'!$B$231:$B$233,IF($H$15=kombinace_3!AB41,'Translate&amp;Prices&amp;Logo'!$B$231:$B$233,'Translate&amp;Prices&amp;Logo'!$B$235:$B$239))</f>
        <v>Úzký ALU rámeček</v>
      </c>
      <c r="T54" s="157" t="str">
        <f t="array" ref="T54:T56">kombinace_3!$EN$3:$EN$5</f>
        <v>Bez úprav</v>
      </c>
      <c r="U54" s="157">
        <v>1</v>
      </c>
      <c r="X54" s="157" t="str">
        <f t="array" ref="X54:X56">kombinace_3!$X$3:$X$5</f>
        <v>Transparentní</v>
      </c>
      <c r="AD54" s="157" t="e">
        <f t="array" aca="1" ref="AD54:AD97" ca="1">IF(kombinace_3!FC2=FALSE,
INDIRECT(kombinace_3!S1),
IF(kombinace_3!FC2=TRUE,INDIRECT(VLOOKUP(Ram_3!H8,'závěsy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D55" s="157" t="e">
        <f ca="1"/>
        <v>#N/A</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c r="AD56" s="157" t="e">
        <f ca="1"/>
        <v>#N/A</v>
      </c>
    </row>
    <row r="57" spans="1:46" s="157" customFormat="1" ht="14.85" hidden="1" customHeight="1">
      <c r="A57" s="140"/>
      <c r="B57" s="157" t="str">
        <v>Imola bílá mat RAL 9003 - maximální doporučená délka profilu 2500 mm</v>
      </c>
      <c r="K57" s="157" t="str">
        <v>MDF tloušťky 18 mm</v>
      </c>
      <c r="AD57" s="157" t="e">
        <f ca="1"/>
        <v>#N/A</v>
      </c>
    </row>
    <row r="58" spans="1:46" s="157" customFormat="1" ht="14.85" hidden="1" customHeight="1">
      <c r="A58" s="140"/>
      <c r="B58" s="157" t="str">
        <v>Imola zlatá - maximální doporučená délka profilu 2150 mm</v>
      </c>
      <c r="K58" s="157" t="str">
        <v>DTDL tloušťky 18 mm</v>
      </c>
      <c r="AD58" s="157" t="e">
        <f ca="1"/>
        <v>#N/A</v>
      </c>
    </row>
    <row r="59" spans="1:46" s="157" customFormat="1" ht="14.85" hidden="1" customHeight="1">
      <c r="A59" s="140"/>
      <c r="B59" s="157" t="str">
        <v>Modena (elox.) - maximální doporučená délka profilu 2500 mm</v>
      </c>
      <c r="T59" s="157">
        <f>IFERROR(VLOOKUP($H$21,$T$54:$U$56,2,0),0)</f>
        <v>0</v>
      </c>
      <c r="AD59" s="157" t="e">
        <f ca="1"/>
        <v>#N/A</v>
      </c>
    </row>
    <row r="60" spans="1:46" s="157" customFormat="1" ht="14.85" hidden="1" customHeight="1">
      <c r="A60" s="140"/>
      <c r="B60" s="157" t="str">
        <v>Modena černá mat - maximální doporučená délka profilu 2500 mm</v>
      </c>
      <c r="K60" s="157" t="b">
        <f>K56=K61</f>
        <v>0</v>
      </c>
      <c r="AD60" s="157" t="e">
        <f ca="1"/>
        <v>#N/A</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c r="AD61" s="157" t="e">
        <f ca="1"/>
        <v>#N/A</v>
      </c>
    </row>
    <row r="62" spans="1:46" s="157" customFormat="1" ht="14.85" hidden="1" customHeight="1">
      <c r="A62" s="140"/>
      <c r="B62" s="157" t="str">
        <v>Modena tmavá nerez br. (inox lija) - maximální doporučená délka profilu 2500 mm</v>
      </c>
      <c r="AD62" s="157" t="e">
        <f ca="1"/>
        <v>#N/A</v>
      </c>
    </row>
    <row r="63" spans="1:46" s="157" customFormat="1" ht="14.85" hidden="1" customHeight="1">
      <c r="A63" s="140"/>
      <c r="B63" s="157" t="str">
        <v>Modena hnědá - maximální doporučená délka profilu 2500 mm</v>
      </c>
      <c r="AD63" s="157" t="e">
        <f ca="1"/>
        <v>#N/A</v>
      </c>
    </row>
    <row r="64" spans="1:46" s="157" customFormat="1" ht="14.85" hidden="1" customHeight="1">
      <c r="A64" s="140"/>
      <c r="B64" s="157" t="str">
        <v>Pisa (elox.) - maximální doporučená délka profilu 2500 mm</v>
      </c>
      <c r="AD64" s="157" t="e">
        <f ca="1"/>
        <v>#N/A</v>
      </c>
    </row>
    <row r="65" spans="1:30"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f t="array" ref="O65:O71">IF($H$15=kombinace_3!$AB$40,_strong_vzpera_horni,IF($H$15=kombinace_3!$AB$41,_stronglift_klopna,IF($H$12='závěsy dle výklopu'!$BQ$2,$J$65:$J$71,'Translate&amp;Prices&amp;Logo'!$B$187:$B$188)))</f>
        <v>horní dvířko</v>
      </c>
      <c r="AD65" s="157" t="e">
        <f ca="1"/>
        <v>#N/A</v>
      </c>
    </row>
    <row r="66" spans="1:30"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c r="AD66" s="157" t="e">
        <f ca="1"/>
        <v>#N/A</v>
      </c>
    </row>
    <row r="67" spans="1:30"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c r="O67" s="157" t="e">
        <v>#N/A</v>
      </c>
      <c r="AD67" s="157" t="e">
        <f ca="1"/>
        <v>#N/A</v>
      </c>
    </row>
    <row r="68" spans="1:30"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c r="O68" s="157" t="e">
        <v>#N/A</v>
      </c>
      <c r="AD68" s="157" t="e">
        <f ca="1"/>
        <v>#N/A</v>
      </c>
    </row>
    <row r="69" spans="1:30"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c r="O69" s="157" t="e">
        <v>#N/A</v>
      </c>
      <c r="AD69" s="157" t="e">
        <f ca="1"/>
        <v>#N/A</v>
      </c>
    </row>
    <row r="70" spans="1:30"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c r="O70" s="157" t="e">
        <v>#N/A</v>
      </c>
      <c r="AD70" s="157" t="e">
        <f ca="1"/>
        <v>#N/A</v>
      </c>
    </row>
    <row r="71" spans="1:30"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c r="O71" s="157" t="e">
        <v>#N/A</v>
      </c>
      <c r="AD71" s="157" t="e">
        <f ca="1"/>
        <v>#N/A</v>
      </c>
    </row>
    <row r="72" spans="1:30" s="157" customFormat="1" ht="14.85" hidden="1" customHeight="1">
      <c r="A72" s="140"/>
      <c r="B72" s="157" t="str">
        <v>Rimini zlatá - max délka profilu 1100 mm</v>
      </c>
      <c r="AD72" s="157" t="e">
        <f ca="1"/>
        <v>#N/A</v>
      </c>
    </row>
    <row r="73" spans="1:30" s="157" customFormat="1" ht="14.85" hidden="1" customHeight="1">
      <c r="A73" s="140"/>
      <c r="B73" s="157" t="str">
        <v>Rimini zlatá broušená - max délka profilu 1100 mm</v>
      </c>
      <c r="AD73" s="157" t="e">
        <f ca="1"/>
        <v>#N/A</v>
      </c>
    </row>
    <row r="74" spans="1:30" s="157" customFormat="1" ht="14.85" hidden="1" customHeight="1">
      <c r="A74" s="140"/>
      <c r="B74" s="157" t="str">
        <v>Rocca (elox.) - maximální doporučená délka profilu 2150 mm</v>
      </c>
      <c r="AD74" s="157" t="e">
        <f ca="1"/>
        <v>#N/A</v>
      </c>
    </row>
    <row r="75" spans="1:30" s="157" customFormat="1" ht="14.85" hidden="1" customHeight="1">
      <c r="A75" s="140"/>
      <c r="B75" s="157" t="str">
        <v>Rocca černá mat - maximální doporučená délka profilu 2150 mm</v>
      </c>
      <c r="AD75" s="157" t="e">
        <f ca="1"/>
        <v>#N/A</v>
      </c>
    </row>
    <row r="76" spans="1:30" s="157" customFormat="1" ht="14.85" hidden="1" customHeight="1">
      <c r="A76" s="140"/>
      <c r="B76" s="157" t="str">
        <v>Treviso černá mat - maximální doporučená délka profilu 2750 mm</v>
      </c>
      <c r="AD76" s="157" t="e">
        <f ca="1"/>
        <v>#N/A</v>
      </c>
    </row>
    <row r="77" spans="1:30" s="157" customFormat="1" ht="14.85" hidden="1" customHeight="1">
      <c r="A77" s="140"/>
      <c r="B77" s="157" t="str">
        <v>Verona (elox.) - maximální doporučená délka profilu 2500 mm</v>
      </c>
      <c r="AD77" s="157" t="e">
        <f ca="1"/>
        <v>#N/A</v>
      </c>
    </row>
    <row r="78" spans="1:30" s="157" customFormat="1" ht="14.85" hidden="1" customHeight="1">
      <c r="A78" s="140"/>
      <c r="B78" s="157" t="str">
        <v>Verona broušený hliník - maximální doporučená délka profilu 2500 mm</v>
      </c>
      <c r="AD78" s="157" t="e">
        <f ca="1"/>
        <v>#N/A</v>
      </c>
    </row>
    <row r="79" spans="1:30" s="157" customFormat="1" ht="14.85" hidden="1" customHeight="1">
      <c r="A79" s="140"/>
      <c r="B79" s="157" t="str">
        <v>Verona černá mat - maximální doporučená délka profilu 2500 mm</v>
      </c>
      <c r="AD79" s="157" t="e">
        <f ca="1"/>
        <v>#N/A</v>
      </c>
    </row>
    <row r="80" spans="1:30" s="157" customFormat="1" ht="14.85" hidden="1" customHeight="1">
      <c r="A80" s="140"/>
      <c r="B80" s="157" t="str">
        <v>Verona černá lesk - maximální doporučená délka profilu 2500 mm</v>
      </c>
      <c r="AD80" s="157" t="e">
        <f ca="1"/>
        <v>#N/A</v>
      </c>
    </row>
    <row r="81" spans="1:38" s="157" customFormat="1" ht="14.85" hidden="1" customHeight="1">
      <c r="A81" s="140"/>
      <c r="B81" s="157" t="str">
        <v>Verona hnědá - maximální doporučená délka profilu 2500 mm</v>
      </c>
      <c r="AD81" s="157" t="e">
        <f ca="1"/>
        <v>#N/A</v>
      </c>
    </row>
    <row r="82" spans="1:38" s="157" customFormat="1" ht="14.85" hidden="1" customHeight="1">
      <c r="A82" s="140"/>
      <c r="B82" s="157" t="str">
        <v>Verona champagne - maximální doporučená délka profilu 2500 mm</v>
      </c>
      <c r="P82" s="157" t="str" cm="1">
        <f t="array" ref="P82:P85">IF(OR(H8=kombinace_3!F18,H8=kombinace_3!F19,H8=kombinace_3!A60,H8=kombinace_3!A61,H8=kombinace_3!A62,H8=kombinace_3!A63),_2_strany,IF(H15=kombinace_3!AB8,_ramena_HL,_4_strany))</f>
        <v>Nahoře</v>
      </c>
      <c r="AD82" s="157" t="e">
        <f ca="1"/>
        <v>#N/A</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hoMxTam3djquXIdOPmmWYecogjZX0HlWC0CHWKJfaNoIIlW06QeQ33BzIJ5uxTcAKGwtsBuqru6i/Y9FDDQfTA==" saltValue="GTrnAzeJptdnYgw7YamAqQ==" spinCount="100000" sheet="1" objects="1" scenarios="1"/>
  <protectedRanges>
    <protectedRange sqref="G7 I7:R7" name="Oblast1"/>
  </protectedRanges>
  <mergeCells count="99">
    <mergeCell ref="B33:K34"/>
    <mergeCell ref="L33:Q34"/>
    <mergeCell ref="AC9:AD9"/>
    <mergeCell ref="AD21:AD23"/>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7:AE23"/>
    <mergeCell ref="AC8:AG8"/>
    <mergeCell ref="AJ7:AJ8"/>
    <mergeCell ref="AF9:AK9"/>
    <mergeCell ref="B14:F14"/>
    <mergeCell ref="B13:F13"/>
    <mergeCell ref="AD14:AD20"/>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350" priority="24" operator="equal">
      <formula>$A$2</formula>
    </cfRule>
  </conditionalFormatting>
  <conditionalFormatting sqref="B16:I16">
    <cfRule type="expression" dxfId="349" priority="45">
      <formula>$AU$19=0</formula>
    </cfRule>
  </conditionalFormatting>
  <conditionalFormatting sqref="B9:Q9">
    <cfRule type="expression" dxfId="348" priority="30">
      <formula>$B$9=0</formula>
    </cfRule>
  </conditionalFormatting>
  <conditionalFormatting sqref="B11:Q11">
    <cfRule type="expression" dxfId="347" priority="44">
      <formula>$AU$10=0</formula>
    </cfRule>
  </conditionalFormatting>
  <conditionalFormatting sqref="B14:Q14">
    <cfRule type="expression" dxfId="346" priority="29">
      <formula>$B$14=0</formula>
    </cfRule>
  </conditionalFormatting>
  <conditionalFormatting sqref="B17:Q17">
    <cfRule type="expression" dxfId="345" priority="28">
      <formula>$B$17=0</formula>
    </cfRule>
  </conditionalFormatting>
  <conditionalFormatting sqref="B18:Q18">
    <cfRule type="expression" dxfId="344" priority="14" stopIfTrue="1">
      <formula>$B$18=0</formula>
    </cfRule>
    <cfRule type="expression" dxfId="343" priority="17">
      <formula>$F$16=$H$61</formula>
    </cfRule>
  </conditionalFormatting>
  <conditionalFormatting sqref="B19:Q19">
    <cfRule type="expression" dxfId="342" priority="27">
      <formula>$B$19=0</formula>
    </cfRule>
  </conditionalFormatting>
  <conditionalFormatting sqref="B20:Q20">
    <cfRule type="expression" dxfId="341" priority="25">
      <formula>$B$20=0</formula>
    </cfRule>
    <cfRule type="expression" dxfId="340" priority="26">
      <formula>$B$19=0</formula>
    </cfRule>
  </conditionalFormatting>
  <conditionalFormatting sqref="B21:Q21">
    <cfRule type="expression" dxfId="339" priority="6">
      <formula>$B$21=" "</formula>
    </cfRule>
  </conditionalFormatting>
  <conditionalFormatting sqref="B24:Q24">
    <cfRule type="expression" dxfId="338" priority="19" stopIfTrue="1">
      <formula>$T$59&lt;3</formula>
    </cfRule>
  </conditionalFormatting>
  <conditionalFormatting sqref="H23">
    <cfRule type="expression" dxfId="337" priority="31">
      <formula>$H$25&gt;0</formula>
    </cfRule>
  </conditionalFormatting>
  <conditionalFormatting sqref="H10:L11">
    <cfRule type="expression" dxfId="336" priority="23">
      <formula>$AU$10=2</formula>
    </cfRule>
  </conditionalFormatting>
  <conditionalFormatting sqref="H10:Q10">
    <cfRule type="expression" dxfId="335" priority="22">
      <formula>$AU$10=0</formula>
    </cfRule>
  </conditionalFormatting>
  <conditionalFormatting sqref="H22:Q22 B22:G23">
    <cfRule type="expression" dxfId="334" priority="20">
      <formula>$AS$33=1</formula>
    </cfRule>
  </conditionalFormatting>
  <conditionalFormatting sqref="J16:M16">
    <cfRule type="expression" dxfId="333" priority="16" stopIfTrue="1">
      <formula>$K$60=TRUE</formula>
    </cfRule>
  </conditionalFormatting>
  <conditionalFormatting sqref="J16:N16">
    <cfRule type="expression" dxfId="332" priority="18" stopIfTrue="1">
      <formula>$AV$19=0</formula>
    </cfRule>
  </conditionalFormatting>
  <conditionalFormatting sqref="M10:Q11">
    <cfRule type="expression" dxfId="331" priority="21">
      <formula>$AU$10=1</formula>
    </cfRule>
  </conditionalFormatting>
  <conditionalFormatting sqref="N16:Q16">
    <cfRule type="expression" dxfId="330" priority="15" stopIfTrue="1">
      <formula>$K$60=TRUE</formula>
    </cfRule>
  </conditionalFormatting>
  <conditionalFormatting sqref="P29:Q29">
    <cfRule type="expression" dxfId="329" priority="1">
      <formula>$U$41=2</formula>
    </cfRule>
  </conditionalFormatting>
  <conditionalFormatting sqref="AA9:AA10 AA24:AA25">
    <cfRule type="expression" dxfId="328" priority="10" stopIfTrue="1">
      <formula>$AU$17=1</formula>
    </cfRule>
  </conditionalFormatting>
  <conditionalFormatting sqref="AA16:AA17">
    <cfRule type="expression" dxfId="327" priority="5" stopIfTrue="1">
      <formula>$AU$24="1_3"</formula>
    </cfRule>
  </conditionalFormatting>
  <conditionalFormatting sqref="AB6 AA6:AA7 AA27 AA28:AB28">
    <cfRule type="expression" dxfId="326" priority="4" stopIfTrue="1">
      <formula>$AV$17=1</formula>
    </cfRule>
  </conditionalFormatting>
  <conditionalFormatting sqref="AB29:AO29">
    <cfRule type="cellIs" dxfId="325" priority="2" operator="equal">
      <formula>0</formula>
    </cfRule>
  </conditionalFormatting>
  <conditionalFormatting sqref="AC6:AD6 AM6:AN6">
    <cfRule type="expression" dxfId="324" priority="12" stopIfTrue="1">
      <formula>$AU$17=3</formula>
    </cfRule>
  </conditionalFormatting>
  <conditionalFormatting sqref="AC25:AD25 AJ26:AJ27">
    <cfRule type="expression" dxfId="323" priority="39">
      <formula>$AU$25=4</formula>
    </cfRule>
  </conditionalFormatting>
  <conditionalFormatting sqref="AC28:AD28 AM28:AN28">
    <cfRule type="expression" dxfId="322" priority="11" stopIfTrue="1">
      <formula>$AU$17=4</formula>
    </cfRule>
  </conditionalFormatting>
  <conditionalFormatting sqref="AC8:AG8">
    <cfRule type="expression" dxfId="321" priority="43">
      <formula>$AU$25=3</formula>
    </cfRule>
  </conditionalFormatting>
  <conditionalFormatting sqref="AC24:AG24">
    <cfRule type="expression" dxfId="320" priority="40">
      <formula>$AU$25=4</formula>
    </cfRule>
  </conditionalFormatting>
  <conditionalFormatting sqref="AD21:AD23 AB19:AC19">
    <cfRule type="expression" dxfId="319" priority="33">
      <formula>$AU$25=1</formula>
    </cfRule>
  </conditionalFormatting>
  <conditionalFormatting sqref="AD14 AD20">
    <cfRule type="expression" dxfId="318" priority="32">
      <formula>$AU$25=1</formula>
    </cfRule>
  </conditionalFormatting>
  <conditionalFormatting sqref="AE17:AE23">
    <cfRule type="expression" dxfId="317" priority="41">
      <formula>$AU$25=1</formula>
    </cfRule>
  </conditionalFormatting>
  <conditionalFormatting sqref="AF9:AK9">
    <cfRule type="expression" dxfId="316" priority="36">
      <formula>$AU$25=3</formula>
    </cfRule>
  </conditionalFormatting>
  <conditionalFormatting sqref="AF25:AK25">
    <cfRule type="expression" dxfId="315" priority="38">
      <formula>$AU$25=4</formula>
    </cfRule>
  </conditionalFormatting>
  <conditionalFormatting sqref="AG6:AH6">
    <cfRule type="expression" dxfId="314" priority="8" stopIfTrue="1">
      <formula>$AU$24="3_3"</formula>
    </cfRule>
  </conditionalFormatting>
  <conditionalFormatting sqref="AG28:AH28">
    <cfRule type="expression" dxfId="313" priority="7" stopIfTrue="1">
      <formula>$AU$24="4_3"</formula>
    </cfRule>
  </conditionalFormatting>
  <conditionalFormatting sqref="AJ7:AJ8 AC9:AD9">
    <cfRule type="expression" dxfId="312" priority="37">
      <formula>$AU$25=3</formula>
    </cfRule>
  </conditionalFormatting>
  <conditionalFormatting sqref="AL19:AL25">
    <cfRule type="expression" dxfId="311" priority="42">
      <formula>$AU$25=2</formula>
    </cfRule>
  </conditionalFormatting>
  <conditionalFormatting sqref="AM14:AM21">
    <cfRule type="expression" dxfId="310" priority="34">
      <formula>$AU$25=2</formula>
    </cfRule>
  </conditionalFormatting>
  <conditionalFormatting sqref="AN19:AO19 AM23:AM25">
    <cfRule type="expression" dxfId="309" priority="35">
      <formula>$AU$25=2</formula>
    </cfRule>
  </conditionalFormatting>
  <conditionalFormatting sqref="AO6 AP6:AP7 AP27 AO28:AP28">
    <cfRule type="expression" dxfId="308" priority="3" stopIfTrue="1">
      <formula>$AV$17=2</formula>
    </cfRule>
  </conditionalFormatting>
  <conditionalFormatting sqref="AP9:AP10 AP24:AP25">
    <cfRule type="expression" dxfId="307" priority="9" stopIfTrue="1">
      <formula>$AU$17=2</formula>
    </cfRule>
  </conditionalFormatting>
  <conditionalFormatting sqref="AP16:AP17">
    <cfRule type="expression" dxfId="306" priority="13" stopIfTrue="1">
      <formula>$AU$24="2_3"</formula>
    </cfRule>
  </conditionalFormatting>
  <dataValidations count="20">
    <dataValidation type="whole" allowBlank="1" showInputMessage="1" showErrorMessage="1" sqref="H11:L11" xr:uid="{BC92C672-0A81-4470-B996-1DA4A9875870}">
      <formula1>1</formula1>
      <formula2>(AR14/100)-1</formula2>
    </dataValidation>
    <dataValidation type="whole" allowBlank="1" showInputMessage="1" showErrorMessage="1" sqref="M11:Q11" xr:uid="{75B47FD7-24A9-4480-9400-545C03848CA6}">
      <formula1>1</formula1>
      <formula2>(AI30/100)-1</formula2>
    </dataValidation>
    <dataValidation type="whole" allowBlank="1" showInputMessage="1" showErrorMessage="1" errorTitle="Minimum 80 mm" sqref="F20:I20 N20:Q20" xr:uid="{E50C9C43-FD12-432E-80FC-B46BA626A3FA}">
      <formula1>80</formula1>
      <formula2>1300</formula2>
    </dataValidation>
    <dataValidation type="whole" operator="greaterThanOrEqual" allowBlank="1" showInputMessage="1" showErrorMessage="1" sqref="H26:Q26" xr:uid="{AAD2C997-E031-424A-9D04-41F9F5924F8A}">
      <formula1>1</formula1>
    </dataValidation>
    <dataValidation type="list" allowBlank="1" showInputMessage="1" showErrorMessage="1" sqref="H12:Q12" xr:uid="{6694DCD8-2011-43F7-AEFF-932ADF412208}">
      <formula1>$L$36:$M$36</formula1>
    </dataValidation>
    <dataValidation type="list" allowBlank="1" showInputMessage="1" showErrorMessage="1" sqref="H14:Q14" xr:uid="{9C35A01C-25D6-4789-942F-9184CB305E1A}">
      <formula1>$P$36:$P$38</formula1>
    </dataValidation>
    <dataValidation type="list" allowBlank="1" showInputMessage="1" showErrorMessage="1" sqref="H21:Q21" xr:uid="{F8B3D276-C163-44E6-9CA0-490D60AE700E}">
      <formula1>$T$54:$T$56</formula1>
    </dataValidation>
    <dataValidation type="list" allowBlank="1" showInputMessage="1" showErrorMessage="1" sqref="H24:Q24" xr:uid="{67BABC9A-EA92-4139-A0FA-E0C484060550}">
      <formula1>$X$54:$X$56</formula1>
    </dataValidation>
    <dataValidation type="list" allowBlank="1" showInputMessage="1" showErrorMessage="1" sqref="H19:Q19" xr:uid="{620E1840-94AD-4245-AC98-E3A74966F42E}">
      <formula1>IF(H13="Salice",$AJ$36,($AJ$36:$AJ$40))</formula1>
    </dataValidation>
    <dataValidation type="list" allowBlank="1" showInputMessage="1" showErrorMessage="1" sqref="H18:Q18" xr:uid="{12480EEF-D204-4E2B-B26A-E79B60AF856B}">
      <formula1>$AF$36:$AF$41</formula1>
    </dataValidation>
    <dataValidation type="list" allowBlank="1" showInputMessage="1" showErrorMessage="1" sqref="N16:Q16" xr:uid="{EF74ED6A-FA00-424D-8411-C2D1C90D7F5E}">
      <formula1>$K$54:$K$58</formula1>
    </dataValidation>
    <dataValidation type="list" allowBlank="1" showInputMessage="1" showErrorMessage="1" sqref="H13:Q13" xr:uid="{F374E284-4841-40C6-88F0-F88FB2A2CBF1}">
      <formula1>IF(M38="Salice",$L$38,$L$38:$L$42)</formula1>
    </dataValidation>
    <dataValidation type="list" allowBlank="1" showInputMessage="1" showErrorMessage="1" sqref="H15:Q15" xr:uid="{A09ECA51-69B2-4AC6-B23B-E38D3AD0F9FC}">
      <formula1>$T$36:$T$44</formula1>
    </dataValidation>
    <dataValidation type="list" allowBlank="1" showInputMessage="1" showErrorMessage="1" sqref="F16:I16" xr:uid="{3AFC580C-FBC4-41B9-95FB-6FF6108EED04}">
      <formula1>$O$65:$O$68</formula1>
    </dataValidation>
    <dataValidation type="whole" operator="lessThan" showInputMessage="1" showErrorMessage="1" sqref="AI30:AK30" xr:uid="{7C556108-E87E-40A2-ADC9-1232A087884A}">
      <formula1>IF(AR14&lt;AI43+1,AJ43+1,AI43+1)</formula1>
    </dataValidation>
    <dataValidation type="whole" operator="lessThan" showErrorMessage="1" sqref="AR14:AR18" xr:uid="{249FCFDF-778A-489A-8A70-2124918F1EAF}">
      <formula1>IF(AI30&lt;AI43+1,AJ43+1,AI43+1)</formula1>
    </dataValidation>
    <dataValidation type="list" allowBlank="1" showInputMessage="1" showErrorMessage="1" sqref="P29:Q29" xr:uid="{56B44B76-9C0F-428B-90B4-6C2AE7B3A16B}">
      <formula1>$W$37:$W$38</formula1>
    </dataValidation>
    <dataValidation type="list" allowBlank="1" showInputMessage="1" showErrorMessage="1" sqref="H25:Q25" xr:uid="{84C0525C-2F5F-424C-A4A0-0BCDC74FB13E}">
      <formula1>$AD$54:$AD$97</formula1>
    </dataValidation>
    <dataValidation type="list" allowBlank="1" showInputMessage="1" showErrorMessage="1" sqref="H17:Q17" xr:uid="{2F3DA4CB-AC97-4123-9D64-3C6DB1D5C3C2}">
      <formula1>$P$82:$P$90</formula1>
    </dataValidation>
    <dataValidation type="list" allowBlank="1" showInputMessage="1" showErrorMessage="1" sqref="H8:Q8" xr:uid="{C6675D95-B6C1-4C07-82F8-FEB587012F24}">
      <formula1>B36:B101</formula1>
    </dataValidation>
  </dataValidations>
  <hyperlinks>
    <hyperlink ref="AP2:AS3" location="Hlavní!A1" display="Hlavní!A1" xr:uid="{E235EFAD-3DD3-45ED-833B-62671E3D5EF9}"/>
    <hyperlink ref="F5:H5" location="Ram_2!A1" display="Ram_2!A1" xr:uid="{CE8E9903-D5D5-401F-918B-5AC809582B55}"/>
    <hyperlink ref="N5:P5" location="Ram_4!A1" display="Ram_4!A1" xr:uid="{090D8F24-8F3D-41B6-B207-854E86397452}"/>
    <hyperlink ref="R5:T5" location="Ram_5!A1" display="Ram_5!A1" xr:uid="{9A5ED582-FCA6-4C73-B2D7-DE558B345687}"/>
    <hyperlink ref="V5:X5" location="Ram_6!A1" display="Ram_6!A1" xr:uid="{749C17B1-1822-4F4E-8C1A-AA0F58E52CCF}"/>
    <hyperlink ref="B5:D5" location="Ram_1!A1" display="Ram_1!A1" xr:uid="{CEB5013A-53BE-4FA2-B478-2B65817BAB84}"/>
    <hyperlink ref="AO31:AR32" location="_souhrn!A1" display="_souhrn!A1" xr:uid="{2BD87F31-B7AD-4D27-BAE3-A8B21DB894D7}"/>
    <hyperlink ref="J5:L5" location="Ram_3!A1" display="Ram_3!A1" xr:uid="{23D678BB-EF6E-492E-A958-3BF55541498A}"/>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782426" r:id="rId3" name="Check Box 1114">
              <controlPr defaultSize="0" autoFill="0" autoLine="0" autoPict="0">
                <anchor moveWithCells="1">
                  <from>
                    <xdr:col>5</xdr:col>
                    <xdr:colOff>57150</xdr:colOff>
                    <xdr:row>6</xdr:row>
                    <xdr:rowOff>171450</xdr:rowOff>
                  </from>
                  <to>
                    <xdr:col>5</xdr:col>
                    <xdr:colOff>314325</xdr:colOff>
                    <xdr:row>7</xdr:row>
                    <xdr:rowOff>238125</xdr:rowOff>
                  </to>
                </anchor>
              </controlPr>
            </control>
          </mc:Choice>
        </mc:AlternateContent>
        <mc:AlternateContent xmlns:mc="http://schemas.openxmlformats.org/markup-compatibility/2006">
          <mc:Choice Requires="x14">
            <control shapeId="783316" r:id="rId4" name="Check Box 2004">
              <controlPr defaultSize="0" autoFill="0" autoLine="0" autoPict="0">
                <anchor moveWithCells="1">
                  <from>
                    <xdr:col>5</xdr:col>
                    <xdr:colOff>57150</xdr:colOff>
                    <xdr:row>6</xdr:row>
                    <xdr:rowOff>0</xdr:rowOff>
                  </from>
                  <to>
                    <xdr:col>5</xdr:col>
                    <xdr:colOff>285750</xdr:colOff>
                    <xdr:row>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9AF8600-2527-4223-8A38-DBDBAA560F7E}">
          <x14:formula1>
            <xm:f>'závěsy dle výklopu'!$BW$2:$BW$5</xm:f>
          </x14:formula1>
          <xm:sqref>H27:Q27</xm:sqref>
        </x14:dataValidation>
        <x14:dataValidation type="list" allowBlank="1" showInputMessage="1" showErrorMessage="1" xr:uid="{31271053-AA2F-4A0E-83DF-351E50F377F4}">
          <x14:formula1>
            <xm:f>kombinace_1!$BY$13:$BY$15</xm:f>
          </x14:formula1>
          <xm:sqref>H9:Q9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08591-8006-4E8F-8D9A-551FCCCBF368}">
  <sheetPr codeName="List12"/>
  <dimension ref="A1:FC758"/>
  <sheetViews>
    <sheetView topLeftCell="A31" workbookViewId="0">
      <selection activeCell="A36" sqref="A36:A37"/>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VLOOKUP(Ram_3!H8,kombinace_3!$A$3:$C$75,3,0)</f>
        <v>#N/A</v>
      </c>
      <c r="S1" t="e">
        <f>CONCATENATE("_",R1,V1)</f>
        <v>#N/A</v>
      </c>
      <c r="U1" s="173" t="s">
        <v>996</v>
      </c>
      <c r="V1" s="2">
        <f>IFERROR(VLOOKUP(Ram_3!H21,$EN$3:$EO$5,2,0),1)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CONCATENATE("_",Ram_3!H12,"_",Ram_3!H13)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IF(OR(Ram_3!$H$13&amp;Ram_3!$AU$7=Ram_3!$M$44,
Ram_3!$H$13&amp;Ram_3!$AU$7=Ram_3!$M$45,
Ram_3!$H$13&amp;Ram_3!$AU$7=Ram_3!$M$46,
Ram_3!$H$13&amp;Ram_3!$AU$7=Ram_3!$M$47),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IF(OR(Ram_3!$H$13&amp;Ram_3!$AU$7=Ram_3!$M$44,
Ram_3!$H$13&amp;Ram_3!$AU$7=Ram_3!$M$45,
Ram_3!$H$13&amp;Ram_3!$AU$7=Ram_3!$M$46,
Ram_3!$H$13&amp;Ram_3!$AU$7=Ram_3!$M$47),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IF(Ram_3!H25="",'Translate&amp;Prices&amp;Logo'!B642,"")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IF(Ram_3!$H$9=kombinace_3!M10,1,0)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IF(Ram_3!$H$9=kombinace_3!M11,2,0)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IF(Ram_3!$H$9=kombinace_3!M12,3,0)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IF(Ram_3!AU7=2,"FREEspace","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D36" t="s">
        <v>1620</v>
      </c>
      <c r="EE36" t="s">
        <v>1776</v>
      </c>
      <c r="ER36" t="s">
        <v>2172</v>
      </c>
      <c r="ES36" t="s">
        <v>2172</v>
      </c>
    </row>
    <row r="37" spans="1:149">
      <c r="A37" t="str">
        <f>'Translate&amp;Prices&amp;Logo'!$B$67</f>
        <v>Rimini černý mat - max délka profilu 1100 mm</v>
      </c>
      <c r="B37">
        <v>1</v>
      </c>
      <c r="C37" t="s">
        <v>651</v>
      </c>
      <c r="D37">
        <v>0</v>
      </c>
      <c r="BY37" t="s">
        <v>1332</v>
      </c>
      <c r="ED37" t="s">
        <v>1621</v>
      </c>
      <c r="EE37" t="s">
        <v>1777</v>
      </c>
      <c r="ER37" t="s">
        <v>2215</v>
      </c>
      <c r="ES37" t="s">
        <v>2209</v>
      </c>
    </row>
    <row r="38" spans="1:149">
      <c r="A38" t="str">
        <f>'Translate&amp;Prices&amp;Logo'!$B$68</f>
        <v>Rimini champagne - max délka profilu 1100 mm</v>
      </c>
      <c r="B38">
        <v>1</v>
      </c>
      <c r="C38" t="s">
        <v>651</v>
      </c>
      <c r="D38">
        <v>0</v>
      </c>
      <c r="ED38" t="s">
        <v>1622</v>
      </c>
      <c r="EE38" t="s">
        <v>1778</v>
      </c>
      <c r="ER38" t="s">
        <v>2216</v>
      </c>
      <c r="ES38" t="s">
        <v>2210</v>
      </c>
    </row>
    <row r="39" spans="1:149">
      <c r="A39" t="str">
        <f>'Translate&amp;Prices&amp;Logo'!$B$69</f>
        <v>Rimini zlatá - max délka profilu 1100 mm</v>
      </c>
      <c r="B39">
        <v>1</v>
      </c>
      <c r="C39" t="s">
        <v>651</v>
      </c>
      <c r="D39">
        <v>0</v>
      </c>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98143E1C-DC15-4632-B3B7-4F5F368253A3}">
            <xm:f>OR(Ram_3!$AU$10=1,Ram_3!$AU$10=3)</xm:f>
            <x14:dxf>
              <fill>
                <patternFill patternType="darkDown"/>
              </fill>
            </x14:dxf>
          </x14:cfRule>
          <xm:sqref>CH13</xm:sqref>
        </x14:conditionalFormatting>
        <x14:conditionalFormatting xmlns:xm="http://schemas.microsoft.com/office/excel/2006/main">
          <x14:cfRule type="expression" priority="2" id="{1C1FE276-0774-473F-9DE1-C22001D0147B}">
            <xm:f>OR(Ram_3!$AU$10=2,Ram_3!$AU$10=3)</xm:f>
            <x14:dxf>
              <fill>
                <patternFill patternType="darkDown"/>
              </fill>
            </x14:dxf>
          </x14:cfRule>
          <xm:sqref>CH14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2A8E-39A8-4DED-8F4C-6FFBF018D0D1}">
  <sheetPr codeName="List15">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3" width="6.2851562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"&amp;4</f>
        <v>Rámeček  4</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Úvod</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IFERROR(IF(kombinace_4!FC2=TRUE,'Translate&amp;Prices&amp;Logo'!B656,IF(VLOOKUP(H8,kombinace_4!$A:$E,5,0)=3,'Translate&amp;Prices&amp;Logo'!B644,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40" t="str">
        <f>'Translate&amp;Prices&amp;Logo'!$B$171&amp;" "&amp;" "&amp;1</f>
        <v>Rámeček  1</v>
      </c>
      <c r="C5" s="540"/>
      <c r="D5" s="540"/>
      <c r="E5" s="106"/>
      <c r="F5" s="540" t="str">
        <f>'Translate&amp;Prices&amp;Logo'!$B$171&amp;" "&amp;" "&amp;2</f>
        <v>Rámeček  2</v>
      </c>
      <c r="G5" s="540"/>
      <c r="H5" s="540"/>
      <c r="I5" s="9"/>
      <c r="J5" s="540" t="str">
        <f>'Translate&amp;Prices&amp;Logo'!$B$171&amp;" "&amp;" "&amp;3</f>
        <v>Rámeček  3</v>
      </c>
      <c r="K5" s="540"/>
      <c r="L5" s="540"/>
      <c r="M5" s="9"/>
      <c r="N5" s="571" t="str">
        <f>'Translate&amp;Prices&amp;Logo'!$B$171&amp;" "&amp;" "&amp;4</f>
        <v>Rámeček  4</v>
      </c>
      <c r="O5" s="571"/>
      <c r="P5" s="571"/>
      <c r="Q5" s="9"/>
      <c r="R5" s="540" t="str">
        <f>'Translate&amp;Prices&amp;Logo'!$B$171&amp;" "&amp;" "&amp;5</f>
        <v>Rámeček  5</v>
      </c>
      <c r="S5" s="540"/>
      <c r="T5" s="540"/>
      <c r="U5" s="9"/>
      <c r="V5" s="540" t="str">
        <f>'Translate&amp;Prices&amp;Logo'!$B$171&amp;" "&amp;" "&amp;6</f>
        <v>Rámeček  6</v>
      </c>
      <c r="W5" s="540"/>
      <c r="X5" s="540"/>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Kombinace 2 profilů</v>
      </c>
      <c r="C7" s="575"/>
      <c r="D7" s="575"/>
      <c r="E7" s="575"/>
      <c r="F7" s="575"/>
      <c r="G7" s="521" t="str">
        <f>IF(kombinace_4!FC2=TRUE,AB4,"")</f>
        <v/>
      </c>
      <c r="H7" s="521"/>
      <c r="I7" s="521"/>
      <c r="J7" s="521"/>
      <c r="K7" s="521"/>
      <c r="L7" s="521"/>
      <c r="M7" s="521"/>
      <c r="N7" s="521"/>
      <c r="O7" s="521"/>
      <c r="P7" s="521"/>
      <c r="Q7" s="522"/>
      <c r="R7" s="224"/>
      <c r="S7" s="506" t="str">
        <f>'Translate&amp;Prices&amp;Logo'!$B$574</f>
        <v>Upozornění:</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VLOOKUP(H8,kombinace_4!$A3:$B100,2,0)</f>
        <v>#N/A</v>
      </c>
      <c r="AV7" s="140" t="e">
        <f>IF(AU7=2,"Široký",IF(AU7=1,"Úzký",IF(AU7=3,"kombo")))</f>
        <v>#N/A</v>
      </c>
    </row>
    <row r="8" spans="1:65" ht="45.6" customHeight="1">
      <c r="A8" s="61"/>
      <c r="B8" s="216" t="str">
        <f>'Translate&amp;Prices&amp;Logo'!$B$655</f>
        <v>Výplň rámečku síťka</v>
      </c>
      <c r="C8" s="217"/>
      <c r="D8" s="217"/>
      <c r="E8" s="218" t="str">
        <f>'Translate&amp;Prices&amp;Logo'!$B$174</f>
        <v>Typ profilu</v>
      </c>
      <c r="F8" s="218"/>
      <c r="G8" s="223"/>
      <c r="H8" s="576"/>
      <c r="I8" s="576"/>
      <c r="J8" s="576"/>
      <c r="K8" s="576"/>
      <c r="L8" s="576"/>
      <c r="M8" s="576"/>
      <c r="N8" s="576"/>
      <c r="O8" s="576"/>
      <c r="P8" s="576"/>
      <c r="Q8" s="577"/>
      <c r="R8" s="225"/>
      <c r="S8" s="559" t="str">
        <f>IF(AU10&gt;0,'Translate&amp;Prices&amp;Logo'!B305,IF(OR(H8=kombinace_4!A64,H8=kombinace_4!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Vzdálenost od levého okraje</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IFERROR(IF(AND(VLOOKUP(H8,kombinace_4!$A:$D,4,0)=1,kombinace_4!FC2=FALSE),'Translate&amp;Prices&amp;Logo'!$B$545,0),0)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Rozteč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IFERROR((VLOOKUP(H12,kombinace_4!$DP$2:$DQ$3,2,0)),"")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F10" s="9"/>
      <c r="AG10" s="9"/>
      <c r="AH10" s="9"/>
      <c r="AI10" s="60"/>
      <c r="AJ10" s="61"/>
      <c r="AK10" s="9"/>
      <c r="AL10" s="9"/>
      <c r="AM10" s="9"/>
      <c r="AN10" s="9"/>
      <c r="AO10" s="9"/>
      <c r="AP10" s="77"/>
      <c r="AQ10" s="307"/>
      <c r="AR10" s="9"/>
      <c r="AS10" s="9"/>
      <c r="AT10" s="139" t="s">
        <v>1196</v>
      </c>
      <c r="AU10" s="140">
        <f>IFERROR(VLOOKUP(H9,kombinace_4!$BY$13:$BZ$15,2,0),0)</f>
        <v>0</v>
      </c>
      <c r="AV10" s="140"/>
    </row>
    <row r="11" spans="1:65" ht="18" customHeight="1">
      <c r="A11" s="61"/>
      <c r="B11" s="548" t="str">
        <f>('Translate&amp;Prices&amp;Logo'!$B$545)&amp;" "&amp;"("&amp;'Translate&amp;Prices&amp;Logo'!$B$176&amp;")"</f>
        <v>Dělící lišty (Počet kusů)</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F11" s="9"/>
      <c r="AG11" s="9"/>
      <c r="AH11" s="9"/>
      <c r="AI11" s="60"/>
      <c r="AJ11" s="61"/>
      <c r="AK11" s="9"/>
      <c r="AL11" s="9"/>
      <c r="AM11" s="9"/>
      <c r="AN11" s="9"/>
      <c r="AO11" s="80"/>
      <c r="AP11" s="74"/>
      <c r="AQ11" s="307"/>
      <c r="AR11" s="9"/>
      <c r="AS11" s="9"/>
      <c r="AT11" s="146">
        <f>IFERROR(IF(kombinace_4!$H$1=TRUE,BA2+AY3,0),0)</f>
        <v>0</v>
      </c>
      <c r="AU11" s="146"/>
      <c r="AV11" s="140"/>
    </row>
    <row r="12" spans="1:65" ht="18" customHeight="1">
      <c r="A12" s="61"/>
      <c r="B12" s="489" t="str">
        <f>'Translate&amp;Prices&amp;Logo'!$B$260</f>
        <v>Typ kování</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Značka kování</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Rozteč  mm</v>
      </c>
      <c r="AF14" s="9"/>
      <c r="AG14" s="9"/>
      <c r="AH14" s="9"/>
      <c r="AI14" s="60"/>
      <c r="AJ14" s="61"/>
      <c r="AK14" s="9"/>
      <c r="AL14" s="9"/>
      <c r="AM14" s="534" t="str">
        <f>('Translate&amp;Prices&amp;Logo'!$B$550)&amp;" "&amp;H26&amp;" "&amp;"mm"</f>
        <v>Rozteč  mm</v>
      </c>
      <c r="AN14" s="9"/>
      <c r="AO14" s="81"/>
      <c r="AP14" s="74"/>
      <c r="AQ14" s="307"/>
      <c r="AR14" s="584"/>
      <c r="AS14" s="9"/>
      <c r="AT14" s="146"/>
      <c r="AU14" s="140"/>
      <c r="AV14" s="140"/>
      <c r="AW14" s="165" t="s">
        <v>2197</v>
      </c>
    </row>
    <row r="15" spans="1:65" ht="18" customHeight="1" thickBot="1">
      <c r="A15" s="61"/>
      <c r="B15" s="489" t="str">
        <f>'Translate&amp;Prices&amp;Logo'!$B$547</f>
        <v>Varianta kování</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IF(H15=kombinace_4!AB40,'Translate&amp;Prices&amp;Logo'!$B$226,IF(H15=kombinace_4!AB41,'Translate&amp;Prices&amp;Logo'!$B$226,IF(H12='závěsy dle výklopu'!BQ2,'Translate&amp;Prices&amp;Logo'!$B$224,'Translate&amp;Prices&amp;Logo'!$B$220)))</f>
        <v>Výběr pozice rámečku</v>
      </c>
      <c r="C16" s="547"/>
      <c r="D16" s="547"/>
      <c r="E16" s="547"/>
      <c r="F16" s="545"/>
      <c r="G16" s="545"/>
      <c r="H16" s="545"/>
      <c r="I16" s="545"/>
      <c r="J16" s="565" t="str">
        <f>IF(OR(H15=kombinace_4!AB40,H15=kombinace_4!AB7,H15=kombinace_4!AB15,H15=kombinace_4!AB20,H15=kombinace_4!AB21,H15=kombinace_4!AB22),'Translate&amp;Prices&amp;Logo'!$B$228,IF(H15=kombinace_4!AB41,'Translate&amp;Prices&amp;Logo'!$B$228,'Translate&amp;Prices&amp;Logo'!$B$234))</f>
        <v>Provedení druhého dvířka</v>
      </c>
      <c r="K16" s="565"/>
      <c r="L16" s="565"/>
      <c r="M16" s="565"/>
      <c r="N16" s="563"/>
      <c r="O16" s="563"/>
      <c r="P16" s="563"/>
      <c r="Q16" s="564"/>
      <c r="R16" s="61"/>
      <c r="S16" s="553"/>
      <c r="T16" s="554"/>
      <c r="U16" s="554"/>
      <c r="V16" s="554"/>
      <c r="W16" s="554"/>
      <c r="X16" s="554"/>
      <c r="Y16" s="555"/>
      <c r="Z16" s="80"/>
      <c r="AA16" s="78"/>
      <c r="AB16" s="82"/>
      <c r="AC16" s="9"/>
      <c r="AD16" s="55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IF(H12='Translate&amp;Prices&amp;Logo'!B553,'Translate&amp;Prices&amp;Logo'!B240,IF(H15=kombinace_4!AB8,'Translate&amp;Prices&amp;Logo'!B286,0))</f>
        <v>0</v>
      </c>
      <c r="C17" s="490"/>
      <c r="D17" s="490"/>
      <c r="E17" s="490"/>
      <c r="F17" s="490"/>
      <c r="G17" s="98"/>
      <c r="H17" s="491"/>
      <c r="I17" s="491"/>
      <c r="J17" s="491"/>
      <c r="K17" s="491"/>
      <c r="L17" s="491"/>
      <c r="M17" s="491"/>
      <c r="N17" s="491"/>
      <c r="O17" s="491"/>
      <c r="P17" s="491"/>
      <c r="Q17" s="492"/>
      <c r="R17" s="61"/>
      <c r="S17" s="553"/>
      <c r="T17" s="554"/>
      <c r="U17" s="554"/>
      <c r="V17" s="554"/>
      <c r="W17" s="554"/>
      <c r="X17" s="554"/>
      <c r="Y17" s="555"/>
      <c r="Z17" s="80"/>
      <c r="AA17" s="78"/>
      <c r="AB17" s="82"/>
      <c r="AC17" s="9"/>
      <c r="AD17" s="552"/>
      <c r="AE17" s="496" t="str">
        <f>'Translate&amp;Prices&amp;Logo'!$B$638</f>
        <v>Vzdálenost od spodního okraje</v>
      </c>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IF(H13="Salice",VLOOKUP(H17,kombinace_4!$BY:$BZ,2,0),0)</f>
        <v>0</v>
      </c>
    </row>
    <row r="18" spans="1:52" ht="18" customHeight="1">
      <c r="A18" s="61"/>
      <c r="B18" s="489">
        <f>IFERROR(IF(VLOOKUP(H15,kombinace_4!CD:CE,2,0)=1,'Translate&amp;Prices&amp;Logo'!$B$549,0),0)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496"/>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IFERROR(IF(H12='Translate&amp;Prices&amp;Logo'!B553,'Translate&amp;Prices&amp;Logo'!$B$225,IF(VLOOKUP(H15,kombinace_4!CD:CE,2,0)=1,'Translate&amp;Prices&amp;Logo'!$B$225,)),0)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v>0</v>
      </c>
      <c r="AC19" s="525"/>
      <c r="AD19" s="552"/>
      <c r="AE19" s="496"/>
      <c r="AF19" s="9"/>
      <c r="AG19" s="9"/>
      <c r="AH19" s="9"/>
      <c r="AI19" s="157"/>
      <c r="AJ19" s="61"/>
      <c r="AK19" s="9"/>
      <c r="AL19" s="532" t="str">
        <f>'Translate&amp;Prices&amp;Logo'!$B$638</f>
        <v>Vzdálenost od spodního okraje</v>
      </c>
      <c r="AM19" s="534"/>
      <c r="AN19" s="525">
        <v>0</v>
      </c>
      <c r="AO19" s="525"/>
      <c r="AP19" s="76"/>
      <c r="AQ19" s="307"/>
      <c r="AR19" s="583" t="str">
        <f>'Translate&amp;Prices&amp;Logo'!$B$178</f>
        <v>Výška</v>
      </c>
      <c r="AS19" s="9"/>
      <c r="AT19" s="146"/>
      <c r="AU19" s="138">
        <f>IFERROR(IF(H12='závěsy dle výklopu'!BR2,VLOOKUP(H15,kombinace_4!$CD$3:$CF$18,3,0),IF(H12='závěsy dle výklopu'!BQ2,1,0)),0)</f>
        <v>0</v>
      </c>
      <c r="AV19" s="140">
        <f>IFERROR(VLOOKUP(H15,kombinace_4!$CD:$CF,3,0),0)</f>
        <v>0</v>
      </c>
    </row>
    <row r="20" spans="1:52" ht="18" customHeight="1">
      <c r="A20" s="61"/>
      <c r="B20" s="550">
        <f>IF(H13&lt;&gt;"Salice",(IFERROR(VLOOKUP(H17,kombinace_4!$BY$32:$CA$35,2,0),0)),0)</f>
        <v>0</v>
      </c>
      <c r="C20" s="487"/>
      <c r="D20" s="487"/>
      <c r="E20" s="487"/>
      <c r="F20" s="544">
        <v>100</v>
      </c>
      <c r="G20" s="544"/>
      <c r="H20" s="544"/>
      <c r="I20" s="544"/>
      <c r="J20" s="487">
        <f>IFERROR(VLOOKUP(H17,kombinace_4!$BY$32:$CA$35,3,0),0)</f>
        <v>0</v>
      </c>
      <c r="K20" s="487"/>
      <c r="L20" s="487"/>
      <c r="M20" s="487"/>
      <c r="N20" s="544">
        <v>100</v>
      </c>
      <c r="O20" s="544"/>
      <c r="P20" s="544"/>
      <c r="Q20" s="562"/>
      <c r="R20" s="61"/>
      <c r="S20" s="553"/>
      <c r="T20" s="554"/>
      <c r="U20" s="554"/>
      <c r="V20" s="554"/>
      <c r="W20" s="554"/>
      <c r="X20" s="554"/>
      <c r="Y20" s="555"/>
      <c r="Z20" s="80"/>
      <c r="AA20" s="78"/>
      <c r="AB20" s="79"/>
      <c r="AC20" s="9"/>
      <c r="AD20" s="552"/>
      <c r="AE20" s="496"/>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IF(kombinace_4!FC2=FALSE,'Translate&amp;Prices&amp;Logo'!$B$175," ")</f>
        <v>Typ úpravy skla</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c r="AE21" s="496"/>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496"/>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Již neměnit po tom co vyberete typ skla/síťky  ↥↥</v>
      </c>
      <c r="I23" s="538"/>
      <c r="J23" s="538"/>
      <c r="K23" s="538"/>
      <c r="L23" s="538"/>
      <c r="M23" s="538"/>
      <c r="N23" s="538"/>
      <c r="O23" s="538"/>
      <c r="P23" s="538"/>
      <c r="Q23" s="539"/>
      <c r="R23" s="61"/>
      <c r="S23" s="556"/>
      <c r="T23" s="557"/>
      <c r="U23" s="557"/>
      <c r="V23" s="557"/>
      <c r="W23" s="557"/>
      <c r="X23" s="557"/>
      <c r="Y23" s="558"/>
      <c r="Z23" s="80"/>
      <c r="AA23" s="78"/>
      <c r="AB23" s="79"/>
      <c r="AC23" s="9"/>
      <c r="AD23" s="524"/>
      <c r="AE23" s="496"/>
      <c r="AF23" s="9"/>
      <c r="AG23" s="9"/>
      <c r="AH23" s="9"/>
      <c r="AI23" s="60"/>
      <c r="AJ23" s="61"/>
      <c r="AK23" s="9"/>
      <c r="AL23" s="532"/>
      <c r="AM23" s="533">
        <v>0</v>
      </c>
      <c r="AN23" s="9"/>
      <c r="AO23" s="80"/>
      <c r="AP23" s="74"/>
      <c r="AQ23" s="307"/>
      <c r="AR23" s="583"/>
      <c r="AS23" s="9"/>
      <c r="AT23" s="146"/>
      <c r="AU23" s="140" t="e">
        <f>VLOOKUP(H17,kombinace_4!$BY$3:$BZ$6,2,0)</f>
        <v>#N/A</v>
      </c>
      <c r="AV23" s="140"/>
    </row>
    <row r="24" spans="1:52" ht="18" customHeight="1">
      <c r="A24" s="61"/>
      <c r="B24" s="519" t="str">
        <f>'Translate&amp;Prices&amp;Logo'!$B$564</f>
        <v>Typ folie</v>
      </c>
      <c r="C24" s="520"/>
      <c r="D24" s="520"/>
      <c r="E24" s="520"/>
      <c r="F24" s="520"/>
      <c r="G24" s="98"/>
      <c r="H24" s="536"/>
      <c r="I24" s="536"/>
      <c r="J24" s="536"/>
      <c r="K24" s="536"/>
      <c r="L24" s="536"/>
      <c r="M24" s="536"/>
      <c r="N24" s="536"/>
      <c r="O24" s="536"/>
      <c r="P24" s="536"/>
      <c r="Q24" s="537"/>
      <c r="R24" s="61"/>
      <c r="S24" s="506" t="str">
        <f>'Translate&amp;Prices&amp;Logo'!$B$179</f>
        <v>Poznámky</v>
      </c>
      <c r="T24" s="506"/>
      <c r="U24" s="506"/>
      <c r="Z24" s="80"/>
      <c r="AA24" s="78"/>
      <c r="AB24" s="79"/>
      <c r="AC24" s="488" t="str">
        <f>'Translate&amp;Prices&amp;Logo'!$B$244</f>
        <v>Vzdálenost od levého okraje</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Typ skla/síťky</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Rozteč  mm</v>
      </c>
      <c r="AG25" s="535"/>
      <c r="AH25" s="535"/>
      <c r="AI25" s="535"/>
      <c r="AJ25" s="535"/>
      <c r="AK25" s="535"/>
      <c r="AL25" s="532"/>
      <c r="AM25" s="533"/>
      <c r="AN25" s="9"/>
      <c r="AO25" s="80"/>
      <c r="AP25" s="83"/>
      <c r="AQ25" s="307"/>
      <c r="AR25" s="9"/>
      <c r="AS25" s="9"/>
      <c r="AT25" s="146"/>
      <c r="AU25" s="140" t="e">
        <f>VLOOKUP(H27,kombinace_4!$BY3:$BZ6,2,0)</f>
        <v>#N/A</v>
      </c>
      <c r="AV25" s="140"/>
    </row>
    <row r="26" spans="1:52" ht="18" customHeight="1">
      <c r="A26" s="61"/>
      <c r="B26" s="489" t="str">
        <f>'Translate&amp;Prices&amp;Logo'!$B$551</f>
        <v>Rozteč úchytky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Umístění úchytky</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Počet kusů</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Dodat včetně uvedeného kování -&gt; vyberte ze seznamu:</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VLOOKUP(H14,kombinace_4!$DN$7:$DO$24,2,0)</f>
        <v>#N/A</v>
      </c>
      <c r="AB29" s="531">
        <f>IF(kombinace_4!FC2=TRUE,AB4,IF(H12='závěsy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Cena rámečků celkem</v>
      </c>
      <c r="C30" s="512"/>
      <c r="D30" s="512"/>
      <c r="E30" s="512"/>
      <c r="F30" s="512"/>
      <c r="G30" s="512"/>
      <c r="H30" s="512"/>
      <c r="I30" s="512"/>
      <c r="J30" s="512"/>
      <c r="K30" s="517"/>
      <c r="L30" s="526">
        <f>IF(OR((AI30&gt;AI43),(AR14&gt;AJ43)),"",((((AT11+AT13+AT15+AT17+AT33+AT35+AT37)*AT43)*(1-(Zakaznik!K21/100)))*AW24))</f>
        <v>0</v>
      </c>
      <c r="M30" s="526"/>
      <c r="N30" s="526"/>
      <c r="O30" s="526"/>
      <c r="P30" s="507" t="str">
        <f>VLOOKUP('Translate&amp;Prices&amp;Logo'!D1,'závěsy dle výklopu'!A204:B209,2,0)</f>
        <v>Kč</v>
      </c>
      <c r="Q30" s="508"/>
      <c r="R30" s="61"/>
      <c r="S30" s="500"/>
      <c r="T30" s="501"/>
      <c r="U30" s="501"/>
      <c r="V30" s="501"/>
      <c r="W30" s="501"/>
      <c r="X30" s="501"/>
      <c r="Y30" s="502"/>
      <c r="Z30" s="9"/>
      <c r="AA30" s="9"/>
      <c r="AB30" s="61"/>
      <c r="AC30" s="9"/>
      <c r="AD30" s="9"/>
      <c r="AE30" s="9"/>
      <c r="AF30" s="530" t="str">
        <f>'Translate&amp;Prices&amp;Logo'!$B$177</f>
        <v xml:space="preserve">Šířka </v>
      </c>
      <c r="AG30" s="530"/>
      <c r="AH30" s="530"/>
      <c r="AI30" s="523"/>
      <c r="AJ30" s="523"/>
      <c r="AK30" s="523"/>
      <c r="AL30" s="9"/>
      <c r="AM30" s="9"/>
      <c r="AN30" s="9"/>
      <c r="AO30" s="9"/>
      <c r="AP30" s="9"/>
      <c r="AQ30" s="9"/>
      <c r="AR30" s="9"/>
      <c r="AS30" s="9"/>
      <c r="AT30" s="146"/>
      <c r="AU30" s="138" t="e">
        <f>HLOOKUP("_Úzký_dolny_K12",kombinace_4!CV2:CW19,3,FALSE)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Souhrn</v>
      </c>
      <c r="AP31" s="582"/>
      <c r="AQ31" s="582"/>
      <c r="AR31" s="582"/>
      <c r="AS31" s="9"/>
      <c r="AT31" s="146"/>
      <c r="AU31" s="138" t="e">
        <f>AD44</f>
        <v>#N/A</v>
      </c>
    </row>
    <row r="32" spans="1:52" ht="17.25" customHeight="1">
      <c r="A32" s="61"/>
      <c r="B32" s="541" t="str">
        <f>'Translate&amp;Prices&amp;Logo'!$B$173</f>
        <v>Uvedené ceny jsou bez DPH a nezahrnují cenu požadovaného kování!</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 xml:space="preserve">Rámečky bez skla se dodávají v demontovaném stavu. </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IF(kombinace_4!V1=2,((AR14/1000)*(AI30/1000))*'Translate&amp;Prices&amp;Logo'!C96,0)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IF(kombinace_4!$V$1=3,IFERROR(((VLOOKUP(H24,'Translate&amp;Prices&amp;Logo'!B93:C95,2,0))*(AR14/1000)),0),0)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IF(kombinace_4!FC2=TRUE,_profily_síťka,IF(kombinace_4!H1=TRUE,_kombinovane_profily,_vše_profily))</f>
        <v>BRW (elox.) - maximální doporučená délka profilu 2500 mm</v>
      </c>
      <c r="L36" s="157" t="str">
        <f t="array" ref="L36:M36">IF(kombinace_4!H1=TRUE,'závěsy dle výklopu'!$BQ$2:$BR$2,
IF(H8=kombinace_4!A41,'závěsy dle výklopu'!$BQ$2,IF(H8=kombinace_4!A42,'závěsy dle výklopu'!$BQ$2,IF(H8=kombinace_4!A65,'závěsy dle výklopu'!$BQ$2,IF(H8=kombinace_4!A66,'závěsy dle výklopu'!$BQ$2,IF(H8=kombinace_4!A67,'závěsy dle výklopu'!$BQ$2,IF(H8=kombinace_4!A68,'závěsy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IF(H13=kombinace_4!BQ11,kombinace_4!$DN$2,kombinace_4!$DN$2:$DN$4)</f>
        <v>Naložený</v>
      </c>
      <c r="T36" s="157">
        <f t="array" aca="1" ref="T36:T44" ca="1">IF(H13=kombinace_4!BQ11,
  kombinace_4!$FA$2:$FA$9,
  IF(AND(OR(H8=kombinace_4!A41,H8=kombinace_4!A42),H13='závěsy dle výklopu'!BQ4),
    INDIRECT(VLOOKUP(AD42&amp;"_Rocca",kombinace_4!$ER$1:$ES$108,2,0)),
    IF($AU$9=2,
      INDIRECT(VLOOKUP(AD42,kombinace_4!$ER$1:$ES$108,2,0)),
      IF($AU$9=3,
        INDIRECT(VLOOKUP($T$47,kombinace_4!$AA$1:$AB$100,2,0)),
      $Y$48)
    )
  )
)</f>
        <v>0</v>
      </c>
      <c r="AF36" s="157" t="e">
        <f>HLOOKUP($AD$44,'závěsy dle výklopu'!$CG$4:$EZ$10,2,0)</f>
        <v>#N/A</v>
      </c>
      <c r="AJ36" s="157">
        <f t="array" ref="AJ36:AJ40">IF(AM19&lt;2100,kombinace_4!BY8:BY12,kombinace_4!BY8:BY12)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4!FC2=TRUE,500,AJ43))),"")</f>
        <v/>
      </c>
      <c r="AJ43" s="277" t="str">
        <f>IFERROR((IF(kombinace_4!FC2=TRUE,1000,VLOOKUP(H8,'Translate&amp;Prices&amp;Logo'!B6:U84,20,0))),"")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CONCATENATE(H13,"_",VLOOKUP(kombinace_4!H1,kombinace_4!$J$14:$K$15,2,0))</f>
        <v>_2</v>
      </c>
      <c r="AD47" s="157" t="s">
        <v>4253</v>
      </c>
      <c r="AI47" s="112"/>
      <c r="AJ47" s="270"/>
      <c r="AN47" s="578"/>
      <c r="AO47" s="578"/>
      <c r="AP47" s="578"/>
      <c r="AQ47" s="578"/>
    </row>
    <row r="48" spans="1:58" s="157" customFormat="1" ht="14.85" hidden="1" customHeight="1">
      <c r="A48" s="140"/>
      <c r="B48" s="157" t="str">
        <v>BRW kašmír - maximální doporučená délka profilu 2500 mm</v>
      </c>
      <c r="T48" s="157" t="e">
        <f>VLOOKUP(AD42,kombinace_4!ER1:ES120,2,0)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4!AB40,$H$15=kombinace_4!AB7,$H$15=kombinace_4!AB15,$H$15=kombinace_4!AB20,$H$15=kombinace_4!AB21,$H$15=kombinace_4!AB22),'Translate&amp;Prices&amp;Logo'!$B$231:$B$233,IF($H$15=kombinace_4!AB41,'Translate&amp;Prices&amp;Logo'!$B$231:$B$233,'Translate&amp;Prices&amp;Logo'!$B$235:$B$239))</f>
        <v>Úzký ALU rámeček</v>
      </c>
      <c r="T54" s="157" t="str">
        <f t="array" ref="T54:T56">kombinace_4!$EN$3:$EN$5</f>
        <v>Bez úprav</v>
      </c>
      <c r="U54" s="157">
        <v>1</v>
      </c>
      <c r="X54" s="157" t="str">
        <f t="array" ref="X54:X56">kombinace_4!$X$3:$X$5</f>
        <v>Transparentní</v>
      </c>
      <c r="AD54" s="273" t="e">
        <f t="array" aca="1" ref="AD54:AD97" ca="1">IF(kombinace_4!FC2=FALSE,
INDIRECT(kombinace_4!S1),
IF(kombinace_4!FC2=TRUE,INDIRECT(VLOOKUP(Ram_4!H8,'závěsy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D55" s="157" t="e">
        <f ca="1"/>
        <v>#N/A</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c r="AD56" s="157" t="e">
        <f ca="1"/>
        <v>#N/A</v>
      </c>
    </row>
    <row r="57" spans="1:46" s="157" customFormat="1" ht="14.85" hidden="1" customHeight="1">
      <c r="A57" s="140"/>
      <c r="B57" s="157" t="str">
        <v>Imola bílá mat RAL 9003 - maximální doporučená délka profilu 2500 mm</v>
      </c>
      <c r="K57" s="157" t="str">
        <v>MDF tloušťky 18 mm</v>
      </c>
      <c r="AD57" s="157" t="e">
        <f ca="1"/>
        <v>#N/A</v>
      </c>
    </row>
    <row r="58" spans="1:46" s="157" customFormat="1" ht="14.85" hidden="1" customHeight="1">
      <c r="A58" s="140"/>
      <c r="B58" s="157" t="str">
        <v>Imola zlatá - maximální doporučená délka profilu 2150 mm</v>
      </c>
      <c r="K58" s="157" t="str">
        <v>DTDL tloušťky 18 mm</v>
      </c>
      <c r="AD58" s="157" t="e">
        <f ca="1"/>
        <v>#N/A</v>
      </c>
    </row>
    <row r="59" spans="1:46" s="157" customFormat="1" ht="14.85" hidden="1" customHeight="1">
      <c r="A59" s="140"/>
      <c r="B59" s="157" t="str">
        <v>Modena (elox.) - maximální doporučená délka profilu 2500 mm</v>
      </c>
      <c r="T59" s="157">
        <f>IFERROR(VLOOKUP($H$21,$T$54:$U$56,2,0),0)</f>
        <v>0</v>
      </c>
      <c r="AD59" s="157" t="e">
        <f ca="1"/>
        <v>#N/A</v>
      </c>
    </row>
    <row r="60" spans="1:46" s="157" customFormat="1" ht="14.85" hidden="1" customHeight="1">
      <c r="A60" s="140"/>
      <c r="B60" s="157" t="str">
        <v>Modena černá mat - maximální doporučená délka profilu 2500 mm</v>
      </c>
      <c r="K60" s="157" t="b">
        <f>K56=K61</f>
        <v>0</v>
      </c>
      <c r="AD60" s="157" t="e">
        <f ca="1"/>
        <v>#N/A</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c r="AD61" s="157" t="e">
        <f ca="1"/>
        <v>#N/A</v>
      </c>
    </row>
    <row r="62" spans="1:46" s="157" customFormat="1" ht="14.85" hidden="1" customHeight="1">
      <c r="A62" s="140"/>
      <c r="B62" s="157" t="str">
        <v>Modena tmavá nerez br. (inox lija) - maximální doporučená délka profilu 2500 mm</v>
      </c>
      <c r="AD62" s="157" t="e">
        <f ca="1"/>
        <v>#N/A</v>
      </c>
    </row>
    <row r="63" spans="1:46" s="157" customFormat="1" ht="14.85" hidden="1" customHeight="1">
      <c r="A63" s="140"/>
      <c r="B63" s="157" t="str">
        <v>Modena hnědá - maximální doporučená délka profilu 2500 mm</v>
      </c>
      <c r="AD63" s="157" t="e">
        <f ca="1"/>
        <v>#N/A</v>
      </c>
    </row>
    <row r="64" spans="1:46" s="157" customFormat="1" ht="14.85" hidden="1" customHeight="1">
      <c r="A64" s="140"/>
      <c r="B64" s="157" t="str">
        <v>Pisa (elox.) - maximální doporučená délka profilu 2500 mm</v>
      </c>
      <c r="AD64" s="157" t="e">
        <f ca="1"/>
        <v>#N/A</v>
      </c>
    </row>
    <row r="65" spans="1:30"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f t="array" ref="O65:O71">IF($H$15=kombinace_4!$AB$40,_strong_vzpera_horni,IF($H$15=kombinace_4!$AB$41,_stronglift_klopna,IF($H$12='závěsy dle výklopu'!$BQ$2,$J$65:$J$71,'Translate&amp;Prices&amp;Logo'!$B$187:$B$188)))</f>
        <v>horní dvířko</v>
      </c>
      <c r="AD65" s="157" t="e">
        <f ca="1"/>
        <v>#N/A</v>
      </c>
    </row>
    <row r="66" spans="1:30"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c r="AD66" s="157" t="e">
        <f ca="1"/>
        <v>#N/A</v>
      </c>
    </row>
    <row r="67" spans="1:30"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c r="O67" s="157" t="e">
        <v>#N/A</v>
      </c>
      <c r="AD67" s="157" t="e">
        <f ca="1"/>
        <v>#N/A</v>
      </c>
    </row>
    <row r="68" spans="1:30"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c r="O68" s="157" t="e">
        <v>#N/A</v>
      </c>
      <c r="AD68" s="157" t="e">
        <f ca="1"/>
        <v>#N/A</v>
      </c>
    </row>
    <row r="69" spans="1:30"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c r="O69" s="157" t="e">
        <v>#N/A</v>
      </c>
      <c r="AD69" s="157" t="e">
        <f ca="1"/>
        <v>#N/A</v>
      </c>
    </row>
    <row r="70" spans="1:30"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c r="O70" s="157" t="e">
        <v>#N/A</v>
      </c>
      <c r="AD70" s="157" t="e">
        <f ca="1"/>
        <v>#N/A</v>
      </c>
    </row>
    <row r="71" spans="1:30"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c r="O71" s="157" t="e">
        <v>#N/A</v>
      </c>
      <c r="AD71" s="157" t="e">
        <f ca="1"/>
        <v>#N/A</v>
      </c>
    </row>
    <row r="72" spans="1:30" s="157" customFormat="1" ht="14.85" hidden="1" customHeight="1">
      <c r="A72" s="140"/>
      <c r="B72" s="157" t="str">
        <v>Rimini zlatá - max délka profilu 1100 mm</v>
      </c>
      <c r="AD72" s="157" t="e">
        <f ca="1"/>
        <v>#N/A</v>
      </c>
    </row>
    <row r="73" spans="1:30" s="157" customFormat="1" ht="14.85" hidden="1" customHeight="1">
      <c r="A73" s="140"/>
      <c r="B73" s="157" t="str">
        <v>Rimini zlatá broušená - max délka profilu 1100 mm</v>
      </c>
      <c r="AD73" s="157" t="e">
        <f ca="1"/>
        <v>#N/A</v>
      </c>
    </row>
    <row r="74" spans="1:30" s="157" customFormat="1" ht="14.85" hidden="1" customHeight="1">
      <c r="A74" s="140"/>
      <c r="B74" s="157" t="str">
        <v>Rocca (elox.) - maximální doporučená délka profilu 2150 mm</v>
      </c>
      <c r="AD74" s="157" t="e">
        <f ca="1"/>
        <v>#N/A</v>
      </c>
    </row>
    <row r="75" spans="1:30" s="157" customFormat="1" ht="14.85" hidden="1" customHeight="1">
      <c r="A75" s="140"/>
      <c r="B75" s="157" t="str">
        <v>Rocca černá mat - maximální doporučená délka profilu 2150 mm</v>
      </c>
      <c r="AD75" s="157" t="e">
        <f ca="1"/>
        <v>#N/A</v>
      </c>
    </row>
    <row r="76" spans="1:30" s="157" customFormat="1" ht="14.85" hidden="1" customHeight="1">
      <c r="A76" s="140"/>
      <c r="B76" s="157" t="str">
        <v>Treviso černá mat - maximální doporučená délka profilu 2750 mm</v>
      </c>
      <c r="AD76" s="157" t="e">
        <f ca="1"/>
        <v>#N/A</v>
      </c>
    </row>
    <row r="77" spans="1:30" s="157" customFormat="1" ht="14.85" hidden="1" customHeight="1">
      <c r="A77" s="140"/>
      <c r="B77" s="157" t="str">
        <v>Verona (elox.) - maximální doporučená délka profilu 2500 mm</v>
      </c>
      <c r="AD77" s="157" t="e">
        <f ca="1"/>
        <v>#N/A</v>
      </c>
    </row>
    <row r="78" spans="1:30" s="157" customFormat="1" ht="14.85" hidden="1" customHeight="1">
      <c r="A78" s="140"/>
      <c r="B78" s="157" t="str">
        <v>Verona broušený hliník - maximální doporučená délka profilu 2500 mm</v>
      </c>
      <c r="AD78" s="157" t="e">
        <f ca="1"/>
        <v>#N/A</v>
      </c>
    </row>
    <row r="79" spans="1:30" s="157" customFormat="1" ht="14.85" hidden="1" customHeight="1">
      <c r="A79" s="140"/>
      <c r="B79" s="157" t="str">
        <v>Verona černá mat - maximální doporučená délka profilu 2500 mm</v>
      </c>
      <c r="AD79" s="157" t="e">
        <f ca="1"/>
        <v>#N/A</v>
      </c>
    </row>
    <row r="80" spans="1:30" s="157" customFormat="1" ht="14.85" hidden="1" customHeight="1">
      <c r="A80" s="140"/>
      <c r="B80" s="157" t="str">
        <v>Verona černá lesk - maximální doporučená délka profilu 2500 mm</v>
      </c>
      <c r="AD80" s="157" t="e">
        <f ca="1"/>
        <v>#N/A</v>
      </c>
    </row>
    <row r="81" spans="1:38" s="157" customFormat="1" ht="14.85" hidden="1" customHeight="1">
      <c r="A81" s="140"/>
      <c r="B81" s="157" t="str">
        <v>Verona hnědá - maximální doporučená délka profilu 2500 mm</v>
      </c>
      <c r="AD81" s="157" t="e">
        <f ca="1"/>
        <v>#N/A</v>
      </c>
    </row>
    <row r="82" spans="1:38" s="157" customFormat="1" ht="14.85" hidden="1" customHeight="1">
      <c r="A82" s="140"/>
      <c r="B82" s="157" t="str">
        <v>Verona champagne - maximální doporučená délka profilu 2500 mm</v>
      </c>
      <c r="P82" s="157" t="str" cm="1">
        <f t="array" ref="P82:P85">IF(OR(H8=kombinace_4!F18,H8=kombinace_4!F19,H8=kombinace_4!A60,H8=kombinace_4!A61,H8=kombinace_4!A62,H8=kombinace_4!A63),_2_strany,IF(H15=kombinace_4!AB8,_ramena_HL,_4_strany))</f>
        <v>Nahoře</v>
      </c>
      <c r="AD82" s="157" t="e">
        <f ca="1"/>
        <v>#N/A</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9pge31KMkgsd/uSOprQgEeyL52fZ2Pr0i1jRihAv2ZMvhZAaJKlSkEaKco0ULs86pEHYTg9Z8SdQMwMBOlRKzQ==" saltValue="D0gSU41/KjZig7ExN8vgxA==" spinCount="100000" sheet="1" objects="1" scenarios="1"/>
  <protectedRanges>
    <protectedRange sqref="G7 I7:R7" name="Oblast1"/>
  </protectedRanges>
  <mergeCells count="99">
    <mergeCell ref="B33:K34"/>
    <mergeCell ref="L33:Q34"/>
    <mergeCell ref="AC9:AD9"/>
    <mergeCell ref="AD21:AD23"/>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7:AE23"/>
    <mergeCell ref="AC8:AG8"/>
    <mergeCell ref="AJ7:AJ8"/>
    <mergeCell ref="AF9:AK9"/>
    <mergeCell ref="B14:F14"/>
    <mergeCell ref="B13:F13"/>
    <mergeCell ref="AD14:AD20"/>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303" priority="24" operator="equal">
      <formula>$A$2</formula>
    </cfRule>
  </conditionalFormatting>
  <conditionalFormatting sqref="B16:I16">
    <cfRule type="expression" dxfId="302" priority="45">
      <formula>$AU$19=0</formula>
    </cfRule>
  </conditionalFormatting>
  <conditionalFormatting sqref="B9:Q9">
    <cfRule type="expression" dxfId="301" priority="30">
      <formula>$B$9=0</formula>
    </cfRule>
  </conditionalFormatting>
  <conditionalFormatting sqref="B11:Q11">
    <cfRule type="expression" dxfId="300" priority="44">
      <formula>$AU$10=0</formula>
    </cfRule>
  </conditionalFormatting>
  <conditionalFormatting sqref="B14:Q14">
    <cfRule type="expression" dxfId="299" priority="29">
      <formula>$B$14=0</formula>
    </cfRule>
  </conditionalFormatting>
  <conditionalFormatting sqref="B17:Q17">
    <cfRule type="expression" dxfId="298" priority="28">
      <formula>$B$17=0</formula>
    </cfRule>
  </conditionalFormatting>
  <conditionalFormatting sqref="B18:Q18">
    <cfRule type="expression" dxfId="297" priority="14" stopIfTrue="1">
      <formula>$B$18=0</formula>
    </cfRule>
    <cfRule type="expression" dxfId="296" priority="17">
      <formula>$F$16=$H$61</formula>
    </cfRule>
  </conditionalFormatting>
  <conditionalFormatting sqref="B19:Q19">
    <cfRule type="expression" dxfId="295" priority="27">
      <formula>$B$19=0</formula>
    </cfRule>
  </conditionalFormatting>
  <conditionalFormatting sqref="B20:Q20">
    <cfRule type="expression" dxfId="294" priority="25">
      <formula>$B$20=0</formula>
    </cfRule>
    <cfRule type="expression" dxfId="293" priority="26">
      <formula>$B$19=0</formula>
    </cfRule>
  </conditionalFormatting>
  <conditionalFormatting sqref="B21:Q21">
    <cfRule type="expression" dxfId="292" priority="6">
      <formula>$B$21=" "</formula>
    </cfRule>
  </conditionalFormatting>
  <conditionalFormatting sqref="B24:Q24">
    <cfRule type="expression" dxfId="291" priority="19" stopIfTrue="1">
      <formula>$T$59&lt;3</formula>
    </cfRule>
  </conditionalFormatting>
  <conditionalFormatting sqref="H23">
    <cfRule type="expression" dxfId="290" priority="31">
      <formula>$H$25&gt;0</formula>
    </cfRule>
  </conditionalFormatting>
  <conditionalFormatting sqref="H10:L11">
    <cfRule type="expression" dxfId="289" priority="23">
      <formula>$AU$10=2</formula>
    </cfRule>
  </conditionalFormatting>
  <conditionalFormatting sqref="H10:Q10">
    <cfRule type="expression" dxfId="288" priority="22">
      <formula>$AU$10=0</formula>
    </cfRule>
  </conditionalFormatting>
  <conditionalFormatting sqref="H22:Q22 B22:G23">
    <cfRule type="expression" dxfId="287" priority="20">
      <formula>$AS$33=1</formula>
    </cfRule>
  </conditionalFormatting>
  <conditionalFormatting sqref="J16:M16">
    <cfRule type="expression" dxfId="286" priority="16" stopIfTrue="1">
      <formula>$K$60=TRUE</formula>
    </cfRule>
  </conditionalFormatting>
  <conditionalFormatting sqref="J16:N16">
    <cfRule type="expression" dxfId="285" priority="18" stopIfTrue="1">
      <formula>$AV$19=0</formula>
    </cfRule>
  </conditionalFormatting>
  <conditionalFormatting sqref="M10:Q11">
    <cfRule type="expression" dxfId="284" priority="21">
      <formula>$AU$10=1</formula>
    </cfRule>
  </conditionalFormatting>
  <conditionalFormatting sqref="N16:Q16">
    <cfRule type="expression" dxfId="283" priority="15" stopIfTrue="1">
      <formula>$K$60=TRUE</formula>
    </cfRule>
  </conditionalFormatting>
  <conditionalFormatting sqref="P29:Q29">
    <cfRule type="expression" dxfId="282" priority="1">
      <formula>$U$41=2</formula>
    </cfRule>
  </conditionalFormatting>
  <conditionalFormatting sqref="AA9:AA10 AA24:AA25">
    <cfRule type="expression" dxfId="281" priority="10" stopIfTrue="1">
      <formula>$AU$17=1</formula>
    </cfRule>
  </conditionalFormatting>
  <conditionalFormatting sqref="AA16:AA17">
    <cfRule type="expression" dxfId="280" priority="5" stopIfTrue="1">
      <formula>$AU$24="1_3"</formula>
    </cfRule>
  </conditionalFormatting>
  <conditionalFormatting sqref="AB6 AA6:AA7 AA27 AA28:AB28">
    <cfRule type="expression" dxfId="279" priority="4" stopIfTrue="1">
      <formula>$AV$17=1</formula>
    </cfRule>
  </conditionalFormatting>
  <conditionalFormatting sqref="AB29:AO29">
    <cfRule type="cellIs" dxfId="278" priority="2" operator="equal">
      <formula>0</formula>
    </cfRule>
  </conditionalFormatting>
  <conditionalFormatting sqref="AC6:AD6 AM6:AN6">
    <cfRule type="expression" dxfId="277" priority="12" stopIfTrue="1">
      <formula>$AU$17=3</formula>
    </cfRule>
  </conditionalFormatting>
  <conditionalFormatting sqref="AC25:AD25 AJ26:AJ27">
    <cfRule type="expression" dxfId="276" priority="39">
      <formula>$AU$25=4</formula>
    </cfRule>
  </conditionalFormatting>
  <conditionalFormatting sqref="AC28:AD28 AM28:AN28">
    <cfRule type="expression" dxfId="275" priority="11" stopIfTrue="1">
      <formula>$AU$17=4</formula>
    </cfRule>
  </conditionalFormatting>
  <conditionalFormatting sqref="AC8:AG8">
    <cfRule type="expression" dxfId="274" priority="43">
      <formula>$AU$25=3</formula>
    </cfRule>
  </conditionalFormatting>
  <conditionalFormatting sqref="AC24:AG24">
    <cfRule type="expression" dxfId="273" priority="40">
      <formula>$AU$25=4</formula>
    </cfRule>
  </conditionalFormatting>
  <conditionalFormatting sqref="AD21:AD23 AB19:AC19">
    <cfRule type="expression" dxfId="272" priority="33">
      <formula>$AU$25=1</formula>
    </cfRule>
  </conditionalFormatting>
  <conditionalFormatting sqref="AD14 AD20">
    <cfRule type="expression" dxfId="271" priority="32">
      <formula>$AU$25=1</formula>
    </cfRule>
  </conditionalFormatting>
  <conditionalFormatting sqref="AE17:AE23">
    <cfRule type="expression" dxfId="270" priority="41">
      <formula>$AU$25=1</formula>
    </cfRule>
  </conditionalFormatting>
  <conditionalFormatting sqref="AF9:AK9">
    <cfRule type="expression" dxfId="269" priority="36">
      <formula>$AU$25=3</formula>
    </cfRule>
  </conditionalFormatting>
  <conditionalFormatting sqref="AF25:AK25">
    <cfRule type="expression" dxfId="268" priority="38">
      <formula>$AU$25=4</formula>
    </cfRule>
  </conditionalFormatting>
  <conditionalFormatting sqref="AG6:AH6">
    <cfRule type="expression" dxfId="267" priority="8" stopIfTrue="1">
      <formula>$AU$24="3_3"</formula>
    </cfRule>
  </conditionalFormatting>
  <conditionalFormatting sqref="AG28:AH28">
    <cfRule type="expression" dxfId="266" priority="7" stopIfTrue="1">
      <formula>$AU$24="4_3"</formula>
    </cfRule>
  </conditionalFormatting>
  <conditionalFormatting sqref="AJ7:AJ8 AC9:AD9">
    <cfRule type="expression" dxfId="265" priority="37">
      <formula>$AU$25=3</formula>
    </cfRule>
  </conditionalFormatting>
  <conditionalFormatting sqref="AL19:AL25">
    <cfRule type="expression" dxfId="264" priority="42">
      <formula>$AU$25=2</formula>
    </cfRule>
  </conditionalFormatting>
  <conditionalFormatting sqref="AM14:AM21">
    <cfRule type="expression" dxfId="263" priority="34">
      <formula>$AU$25=2</formula>
    </cfRule>
  </conditionalFormatting>
  <conditionalFormatting sqref="AN19:AO19 AM23:AM25">
    <cfRule type="expression" dxfId="262" priority="35">
      <formula>$AU$25=2</formula>
    </cfRule>
  </conditionalFormatting>
  <conditionalFormatting sqref="AO6 AP6:AP7 AP27 AO28:AP28">
    <cfRule type="expression" dxfId="261" priority="3" stopIfTrue="1">
      <formula>$AV$17=2</formula>
    </cfRule>
  </conditionalFormatting>
  <conditionalFormatting sqref="AP9:AP10 AP24:AP25">
    <cfRule type="expression" dxfId="260" priority="9" stopIfTrue="1">
      <formula>$AU$17=2</formula>
    </cfRule>
  </conditionalFormatting>
  <conditionalFormatting sqref="AP16:AP17">
    <cfRule type="expression" dxfId="259" priority="13" stopIfTrue="1">
      <formula>$AU$24="2_3"</formula>
    </cfRule>
  </conditionalFormatting>
  <dataValidations count="20">
    <dataValidation type="whole" allowBlank="1" showInputMessage="1" showErrorMessage="1" sqref="H11:L11" xr:uid="{8E63AD02-0B0D-477A-9FD2-B9858453F227}">
      <formula1>1</formula1>
      <formula2>(AR14/100)-1</formula2>
    </dataValidation>
    <dataValidation type="whole" allowBlank="1" showInputMessage="1" showErrorMessage="1" sqref="M11:Q11" xr:uid="{5087F7DF-ED2F-4F91-8FC3-7148C6C91966}">
      <formula1>1</formula1>
      <formula2>(AI30/100)-1</formula2>
    </dataValidation>
    <dataValidation type="whole" allowBlank="1" showInputMessage="1" showErrorMessage="1" errorTitle="Minimum 80 mm" sqref="F20:I20 N20:Q20" xr:uid="{B4CC0CFE-7B28-4802-BB7A-129ADC6127E2}">
      <formula1>80</formula1>
      <formula2>1300</formula2>
    </dataValidation>
    <dataValidation type="whole" operator="greaterThanOrEqual" allowBlank="1" showInputMessage="1" showErrorMessage="1" sqref="H26:Q26" xr:uid="{80B253A3-C1A2-4B0C-8770-5A54EF1959ED}">
      <formula1>1</formula1>
    </dataValidation>
    <dataValidation type="list" allowBlank="1" showInputMessage="1" showErrorMessage="1" sqref="H12:Q12" xr:uid="{252786E0-3854-482A-A600-FE2FCF7C2E39}">
      <formula1>$L$36:$M$36</formula1>
    </dataValidation>
    <dataValidation type="list" allowBlank="1" showInputMessage="1" showErrorMessage="1" sqref="H24:Q24" xr:uid="{3FD5F1A8-7CD9-446E-BA36-6B3C2C32D274}">
      <formula1>$X$54:$X$56</formula1>
    </dataValidation>
    <dataValidation type="list" allowBlank="1" showInputMessage="1" showErrorMessage="1" sqref="H21:Q21" xr:uid="{C2CF979C-374B-4F35-91E1-4409C01C70F1}">
      <formula1>$T$54:$T$56</formula1>
    </dataValidation>
    <dataValidation type="list" allowBlank="1" showInputMessage="1" showErrorMessage="1" sqref="H14:Q14" xr:uid="{66D743C4-43A4-41B3-9DF6-D390C4FF24BB}">
      <formula1>$P$36:$P$38</formula1>
    </dataValidation>
    <dataValidation type="list" allowBlank="1" showInputMessage="1" showErrorMessage="1" sqref="H19:Q19" xr:uid="{91BB977E-742C-423D-9E18-1003B504FAB1}">
      <formula1>IF(H13="Salice",$AJ$36,($AJ$36:$AJ$40))</formula1>
    </dataValidation>
    <dataValidation type="list" allowBlank="1" showInputMessage="1" showErrorMessage="1" sqref="H18:Q18" xr:uid="{36E022B6-77C1-4FD8-B9D7-729B0AAB08CC}">
      <formula1>$AF$36:$AF$41</formula1>
    </dataValidation>
    <dataValidation type="list" allowBlank="1" showInputMessage="1" showErrorMessage="1" sqref="N16:Q16" xr:uid="{5FD845CB-93C7-4EBA-AF05-7B4E40C2580F}">
      <formula1>$K$54:$K$58</formula1>
    </dataValidation>
    <dataValidation type="list" allowBlank="1" showInputMessage="1" showErrorMessage="1" sqref="H13:Q13" xr:uid="{EF38A3E5-13CB-4C66-BD05-9F958B824CD4}">
      <formula1>IF(M38="Salice",$L$38,$L$38:$L$42)</formula1>
    </dataValidation>
    <dataValidation type="list" allowBlank="1" showInputMessage="1" showErrorMessage="1" sqref="H15:Q15" xr:uid="{4878FF7D-CF0F-40BF-8BDE-84FE07D3A058}">
      <formula1>$T$36:$T$44</formula1>
    </dataValidation>
    <dataValidation type="whole" operator="lessThan" showInputMessage="1" showErrorMessage="1" sqref="AI30:AK30" xr:uid="{26B799DC-76F4-4F73-AC47-382683ACD584}">
      <formula1>IF(AR14&lt;AI43+1,AJ43+1,AI43+1)</formula1>
    </dataValidation>
    <dataValidation type="whole" operator="lessThan" showErrorMessage="1" sqref="AR14:AR18" xr:uid="{FA1680BE-511E-4E53-AF70-AFF1A8DC0BEC}">
      <formula1>IF(AI30&lt;AI43+1,AJ43+1,AI43+1)</formula1>
    </dataValidation>
    <dataValidation type="list" allowBlank="1" showInputMessage="1" showErrorMessage="1" sqref="P29:Q29" xr:uid="{4AE64F3B-7E3E-402A-9843-17E90A1C94B0}">
      <formula1>$W$37:$W$38</formula1>
    </dataValidation>
    <dataValidation type="list" allowBlank="1" showInputMessage="1" showErrorMessage="1" sqref="H25:Q25" xr:uid="{3AFE8B7F-9649-446E-9D13-D9B1F8D42539}">
      <formula1>$AD$54:$AD$97</formula1>
    </dataValidation>
    <dataValidation type="list" allowBlank="1" showInputMessage="1" showErrorMessage="1" sqref="H17:Q17" xr:uid="{45201975-9280-44AB-8B88-819AE2B8D53D}">
      <formula1>$P$82:$P$90</formula1>
    </dataValidation>
    <dataValidation type="list" allowBlank="1" showInputMessage="1" showErrorMessage="1" sqref="H8:Q8" xr:uid="{3240459C-FBC9-4CCC-9B32-0D3C476BE87E}">
      <formula1>B36:B101</formula1>
    </dataValidation>
    <dataValidation type="list" allowBlank="1" showInputMessage="1" showErrorMessage="1" sqref="F16:I16" xr:uid="{40F676F4-F0F9-4398-97BB-29E30392C51C}">
      <formula1>$O$65:$O$84</formula1>
    </dataValidation>
  </dataValidations>
  <hyperlinks>
    <hyperlink ref="AP2:AS3" location="Hlavní!A1" display="Hlavní!A1" xr:uid="{D8B801DE-CDE9-4263-9205-C9D725AAA132}"/>
    <hyperlink ref="F5:H5" location="Ram_2!A1" display="Ram_2!A1" xr:uid="{6FB91B59-38EC-4BCC-8ECE-68D5414E7337}"/>
    <hyperlink ref="N5:P5" location="Ram_4!A1" display="Ram_4!A1" xr:uid="{392A3866-EB81-46B2-B756-D80560179878}"/>
    <hyperlink ref="R5:T5" location="Ram_5!A1" display="Ram_5!A1" xr:uid="{D73E3B8E-5B79-448B-84D0-055665EAAC85}"/>
    <hyperlink ref="V5:X5" location="Ram_6!A1" display="Ram_6!A1" xr:uid="{857F34E2-944A-4180-A351-AE5895DA2042}"/>
    <hyperlink ref="B5:D5" location="Ram_1!A1" display="Ram_1!A1" xr:uid="{DC69541A-2863-46B3-A701-F7984066CC89}"/>
    <hyperlink ref="AO31:AR32" location="_souhrn!A1" display="_souhrn!A1" xr:uid="{8E6C7FEA-840B-48F8-A1D7-D8B7E70672CF}"/>
    <hyperlink ref="J5:L5" location="Ram_3!A1" display="Ram_3!A1" xr:uid="{35F3F648-8A95-4361-8E36-648E4C742E10}"/>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2805" r:id="rId3" name="Check Box 5">
              <controlPr defaultSize="0" autoFill="0" autoLine="0" autoPict="0">
                <anchor moveWithCells="1">
                  <from>
                    <xdr:col>5</xdr:col>
                    <xdr:colOff>57150</xdr:colOff>
                    <xdr:row>6</xdr:row>
                    <xdr:rowOff>0</xdr:rowOff>
                  </from>
                  <to>
                    <xdr:col>5</xdr:col>
                    <xdr:colOff>371475</xdr:colOff>
                    <xdr:row>7</xdr:row>
                    <xdr:rowOff>0</xdr:rowOff>
                  </to>
                </anchor>
              </controlPr>
            </control>
          </mc:Choice>
        </mc:AlternateContent>
        <mc:AlternateContent xmlns:mc="http://schemas.openxmlformats.org/markup-compatibility/2006">
          <mc:Choice Requires="x14">
            <control shapeId="783450" r:id="rId4" name="Check Box 1114">
              <controlPr defaultSize="0" autoFill="0" autoLine="0" autoPict="0">
                <anchor moveWithCells="1">
                  <from>
                    <xdr:col>5</xdr:col>
                    <xdr:colOff>57150</xdr:colOff>
                    <xdr:row>6</xdr:row>
                    <xdr:rowOff>171450</xdr:rowOff>
                  </from>
                  <to>
                    <xdr:col>5</xdr:col>
                    <xdr:colOff>276225</xdr:colOff>
                    <xdr:row>7</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1FD33D0-0077-4E1F-81AE-F1E34A1BC771}">
          <x14:formula1>
            <xm:f>'závěsy dle výklopu'!$BW$2:$BW$5</xm:f>
          </x14:formula1>
          <xm:sqref>H27:Q27</xm:sqref>
        </x14:dataValidation>
        <x14:dataValidation type="list" allowBlank="1" showInputMessage="1" showErrorMessage="1" xr:uid="{EA3E6498-EDE4-44AD-82FA-16BC2144887C}">
          <x14:formula1>
            <xm:f>kombinace_1!$BY$13:$BY$15</xm:f>
          </x14:formula1>
          <xm:sqref>H9:Q9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3DBDE-8AE9-4B37-A627-DCF2D0023C1A}">
  <sheetPr codeName="List16"/>
  <dimension ref="A1:FC758"/>
  <sheetViews>
    <sheetView topLeftCell="A19"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VLOOKUP(Ram_4!H8,kombinace_4!$A$3:$C$75,3,0)</f>
        <v>#N/A</v>
      </c>
      <c r="S1" t="e">
        <f>CONCATENATE("_",R1,V1)</f>
        <v>#N/A</v>
      </c>
      <c r="U1" s="173" t="s">
        <v>996</v>
      </c>
      <c r="V1" s="2">
        <f>IFERROR(VLOOKUP(Ram_4!H21,$EN$3:$EO$5,2,0),1)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CONCATENATE("_",Ram_4!H12,"_",Ram_4!H13)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IF(OR(Ram_4!$H$13&amp;Ram_4!$AU$7=Ram_4!$M$44,
Ram_4!$H$13&amp;Ram_4!$AU$7=Ram_4!$M$45,
Ram_4!$H$13&amp;Ram_4!$AU$7=Ram_4!$M$46,
Ram_4!$H$13&amp;Ram_4!$AU$7=Ram_4!$M$47),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IF(OR(Ram_4!$H$13&amp;Ram_4!$AU$7=Ram_4!$M$44,
Ram_4!$H$13&amp;Ram_4!$AU$7=Ram_4!$M$45,
Ram_4!$H$13&amp;Ram_4!$AU$7=Ram_4!$M$46,
Ram_4!$H$13&amp;Ram_4!$AU$7=Ram_4!$M$47),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IF(Ram_4!H25="",'Translate&amp;Prices&amp;Logo'!B642,"")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IF(Ram_4!$H$9=kombinace_4!M10,1,0)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IF(Ram_4!$H$9=kombinace_4!M11,2,0)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IF(Ram_4!$H$9=kombinace_4!M12,3,0)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IF(Ram_4!AU7=2,"FREEspace","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D36" t="s">
        <v>1620</v>
      </c>
      <c r="EE36" t="s">
        <v>1776</v>
      </c>
      <c r="ER36" t="s">
        <v>2172</v>
      </c>
      <c r="ES36" t="s">
        <v>2172</v>
      </c>
    </row>
    <row r="37" spans="1:149">
      <c r="A37" t="str">
        <f>'Translate&amp;Prices&amp;Logo'!$B$67</f>
        <v>Rimini černý mat - max délka profilu 1100 mm</v>
      </c>
      <c r="B37">
        <v>1</v>
      </c>
      <c r="C37" t="s">
        <v>651</v>
      </c>
      <c r="D37">
        <v>0</v>
      </c>
      <c r="BY37" t="s">
        <v>1332</v>
      </c>
      <c r="ED37" t="s">
        <v>1621</v>
      </c>
      <c r="EE37" t="s">
        <v>1777</v>
      </c>
      <c r="ER37" t="s">
        <v>2215</v>
      </c>
      <c r="ES37" t="s">
        <v>2209</v>
      </c>
    </row>
    <row r="38" spans="1:149">
      <c r="A38" t="str">
        <f>'Translate&amp;Prices&amp;Logo'!$B$68</f>
        <v>Rimini champagne - max délka profilu 1100 mm</v>
      </c>
      <c r="B38">
        <v>1</v>
      </c>
      <c r="C38" t="s">
        <v>651</v>
      </c>
      <c r="D38">
        <v>0</v>
      </c>
      <c r="ED38" t="s">
        <v>1622</v>
      </c>
      <c r="EE38" t="s">
        <v>1778</v>
      </c>
      <c r="ER38" t="s">
        <v>2216</v>
      </c>
      <c r="ES38" t="s">
        <v>2210</v>
      </c>
    </row>
    <row r="39" spans="1:149">
      <c r="A39" t="str">
        <f>'Translate&amp;Prices&amp;Logo'!$B$69</f>
        <v>Rimini zlatá - max délka profilu 1100 mm</v>
      </c>
      <c r="B39">
        <v>1</v>
      </c>
      <c r="C39" t="s">
        <v>651</v>
      </c>
      <c r="D39">
        <v>0</v>
      </c>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86DBBCE8-8588-4109-A051-3B533BC8817A}">
            <xm:f>OR(Ram_4!$AU$10=1,Ram_4!$AU$10=3)</xm:f>
            <x14:dxf>
              <fill>
                <patternFill patternType="darkDown"/>
              </fill>
            </x14:dxf>
          </x14:cfRule>
          <xm:sqref>CH13</xm:sqref>
        </x14:conditionalFormatting>
        <x14:conditionalFormatting xmlns:xm="http://schemas.microsoft.com/office/excel/2006/main">
          <x14:cfRule type="expression" priority="2" id="{6031F979-4BF5-4E32-A283-8DB6F925B85B}">
            <xm:f>OR(Ram_4!$AU$10=2,Ram_4!$AU$10=3)</xm:f>
            <x14:dxf>
              <fill>
                <patternFill patternType="darkDown"/>
              </fill>
            </x14:dxf>
          </x14:cfRule>
          <xm:sqref>CH14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1996-F553-4F1C-A063-FA80D6FCEC94}">
  <sheetPr codeName="List17">
    <tabColor rgb="FF00B0F0"/>
    <pageSetUpPr fitToPage="1"/>
  </sheetPr>
  <dimension ref="A1:BM150"/>
  <sheetViews>
    <sheetView showGridLines="0" showRowColHeaders="0" showZeros="0"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"&amp;5</f>
        <v>Rámeček  5</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Úvod</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IFERROR(IF(kombinace_5!FC2=TRUE,'Translate&amp;Prices&amp;Logo'!B656,IF(VLOOKUP(H8,kombinace_5!$A:$E,5,0)=3,'Translate&amp;Prices&amp;Logo'!B644,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40" t="str">
        <f>'Translate&amp;Prices&amp;Logo'!$B$171&amp;" "&amp;" "&amp;1</f>
        <v>Rámeček  1</v>
      </c>
      <c r="C5" s="540"/>
      <c r="D5" s="540"/>
      <c r="E5" s="106"/>
      <c r="F5" s="540" t="str">
        <f>'Translate&amp;Prices&amp;Logo'!$B$171&amp;" "&amp;" "&amp;2</f>
        <v>Rámeček  2</v>
      </c>
      <c r="G5" s="540"/>
      <c r="H5" s="540"/>
      <c r="I5" s="9"/>
      <c r="J5" s="540" t="str">
        <f>'Translate&amp;Prices&amp;Logo'!$B$171&amp;" "&amp;" "&amp;3</f>
        <v>Rámeček  3</v>
      </c>
      <c r="K5" s="540"/>
      <c r="L5" s="540"/>
      <c r="M5" s="9"/>
      <c r="N5" s="540" t="str">
        <f>'Translate&amp;Prices&amp;Logo'!$B$171&amp;" "&amp;" "&amp;4</f>
        <v>Rámeček  4</v>
      </c>
      <c r="O5" s="540"/>
      <c r="P5" s="540"/>
      <c r="Q5" s="9"/>
      <c r="R5" s="571" t="str">
        <f>'Translate&amp;Prices&amp;Logo'!$B$171&amp;" "&amp;" "&amp;5</f>
        <v>Rámeček  5</v>
      </c>
      <c r="S5" s="571"/>
      <c r="T5" s="571"/>
      <c r="U5" s="9"/>
      <c r="V5" s="540" t="str">
        <f>'Translate&amp;Prices&amp;Logo'!$B$171&amp;" "&amp;" "&amp;6</f>
        <v>Rámeček  6</v>
      </c>
      <c r="W5" s="540"/>
      <c r="X5" s="540"/>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Kombinace 2 profilů</v>
      </c>
      <c r="C7" s="575"/>
      <c r="D7" s="575"/>
      <c r="E7" s="575"/>
      <c r="F7" s="575"/>
      <c r="G7" s="521" t="str">
        <f>IF(kombinace_5!FC2=TRUE,AB4,"")</f>
        <v/>
      </c>
      <c r="H7" s="521"/>
      <c r="I7" s="521"/>
      <c r="J7" s="521"/>
      <c r="K7" s="521"/>
      <c r="L7" s="521"/>
      <c r="M7" s="521"/>
      <c r="N7" s="521"/>
      <c r="O7" s="521"/>
      <c r="P7" s="521"/>
      <c r="Q7" s="522"/>
      <c r="R7" s="224"/>
      <c r="S7" s="506" t="str">
        <f>'Translate&amp;Prices&amp;Logo'!$B$574</f>
        <v>Upozornění:</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VLOOKUP(H8,kombinace_5!$A3:$B100,2,0)</f>
        <v>#N/A</v>
      </c>
      <c r="AV7" s="140" t="e">
        <f>IF(AU7=2,"Široký",IF(AU7=1,"Úzký",IF(AU7=3,"kombo")))</f>
        <v>#N/A</v>
      </c>
    </row>
    <row r="8" spans="1:65" ht="45.6" customHeight="1">
      <c r="A8" s="61"/>
      <c r="B8" s="216" t="str">
        <f>'Translate&amp;Prices&amp;Logo'!$B$655</f>
        <v>Výplň rámečku síťka</v>
      </c>
      <c r="C8" s="217"/>
      <c r="D8" s="217"/>
      <c r="E8" s="218" t="str">
        <f>'Translate&amp;Prices&amp;Logo'!$B$174</f>
        <v>Typ profilu</v>
      </c>
      <c r="F8" s="218"/>
      <c r="G8" s="223"/>
      <c r="H8" s="576"/>
      <c r="I8" s="576"/>
      <c r="J8" s="576"/>
      <c r="K8" s="576"/>
      <c r="L8" s="576"/>
      <c r="M8" s="576"/>
      <c r="N8" s="576"/>
      <c r="O8" s="576"/>
      <c r="P8" s="576"/>
      <c r="Q8" s="577"/>
      <c r="R8" s="225"/>
      <c r="S8" s="559" t="str">
        <f>IF(AU10&gt;0,'Translate&amp;Prices&amp;Logo'!B305,IF(OR(H8=kombinace_5!A64,H8=kombinace_5!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Vzdálenost od levého okraje</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IFERROR(IF(AND(VLOOKUP(H8,kombinace_5!$A:$D,4,0)=1,kombinace_5!FC2=FALSE),'Translate&amp;Prices&amp;Logo'!$B$545,0),0)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Rozteč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IFERROR((VLOOKUP(H12,kombinace_5!$DP$2:$DQ$3,2,0)),"")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F10" s="9"/>
      <c r="AG10" s="9"/>
      <c r="AH10" s="9"/>
      <c r="AI10" s="60"/>
      <c r="AJ10" s="61"/>
      <c r="AK10" s="9"/>
      <c r="AL10" s="9"/>
      <c r="AM10" s="9"/>
      <c r="AN10" s="9"/>
      <c r="AO10" s="9"/>
      <c r="AP10" s="77"/>
      <c r="AQ10" s="307"/>
      <c r="AR10" s="9"/>
      <c r="AS10" s="9"/>
      <c r="AT10" s="139" t="s">
        <v>1196</v>
      </c>
      <c r="AU10" s="140">
        <f>IFERROR(VLOOKUP(H9,kombinace_5!$BY$13:$BZ$15,2,0),0)</f>
        <v>0</v>
      </c>
      <c r="AV10" s="140"/>
    </row>
    <row r="11" spans="1:65" ht="18" customHeight="1">
      <c r="A11" s="61"/>
      <c r="B11" s="548" t="str">
        <f>('Translate&amp;Prices&amp;Logo'!$B$545)&amp;" "&amp;"("&amp;'Translate&amp;Prices&amp;Logo'!$B$176&amp;")"</f>
        <v>Dělící lišty (Počet kusů)</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F11" s="9"/>
      <c r="AG11" s="9"/>
      <c r="AH11" s="9"/>
      <c r="AI11" s="60"/>
      <c r="AJ11" s="61"/>
      <c r="AK11" s="9"/>
      <c r="AL11" s="9"/>
      <c r="AM11" s="9"/>
      <c r="AN11" s="9"/>
      <c r="AO11" s="80"/>
      <c r="AP11" s="74"/>
      <c r="AQ11" s="307"/>
      <c r="AR11" s="9"/>
      <c r="AS11" s="9"/>
      <c r="AT11" s="146">
        <f>IFERROR(IF(kombinace_5!$H$1=TRUE,BA2+AY3,0),0)</f>
        <v>0</v>
      </c>
      <c r="AU11" s="146"/>
      <c r="AV11" s="140"/>
    </row>
    <row r="12" spans="1:65" ht="18" customHeight="1">
      <c r="A12" s="61"/>
      <c r="B12" s="489" t="str">
        <f>'Translate&amp;Prices&amp;Logo'!$B$260</f>
        <v>Typ kování</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Značka kování</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Rozteč  mm</v>
      </c>
      <c r="AF14" s="9"/>
      <c r="AG14" s="9"/>
      <c r="AH14" s="9"/>
      <c r="AI14" s="60"/>
      <c r="AJ14" s="61"/>
      <c r="AK14" s="9"/>
      <c r="AL14" s="9"/>
      <c r="AM14" s="534" t="str">
        <f>('Translate&amp;Prices&amp;Logo'!$B$550)&amp;" "&amp;H26&amp;" "&amp;"mm"</f>
        <v>Rozteč  mm</v>
      </c>
      <c r="AN14" s="9"/>
      <c r="AO14" s="81"/>
      <c r="AP14" s="74"/>
      <c r="AQ14" s="307"/>
      <c r="AR14" s="584"/>
      <c r="AS14" s="9"/>
      <c r="AT14" s="146"/>
      <c r="AU14" s="140"/>
      <c r="AV14" s="140"/>
      <c r="AW14" s="165" t="s">
        <v>2197</v>
      </c>
    </row>
    <row r="15" spans="1:65" ht="18" customHeight="1" thickBot="1">
      <c r="A15" s="61"/>
      <c r="B15" s="489" t="str">
        <f>'Translate&amp;Prices&amp;Logo'!$B$547</f>
        <v>Varianta kování</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IF(H15=kombinace_5!AB40,'Translate&amp;Prices&amp;Logo'!$B$226,IF(H15=kombinace_5!AB41,'Translate&amp;Prices&amp;Logo'!$B$226,IF(H12='závěsy dle výklopu'!BQ2,'Translate&amp;Prices&amp;Logo'!$B$224,'Translate&amp;Prices&amp;Logo'!$B$220)))</f>
        <v>Výběr pozice rámečku</v>
      </c>
      <c r="C16" s="547"/>
      <c r="D16" s="547"/>
      <c r="E16" s="547"/>
      <c r="F16" s="545"/>
      <c r="G16" s="545"/>
      <c r="H16" s="545"/>
      <c r="I16" s="545"/>
      <c r="J16" s="565" t="str">
        <f>IF(OR(H15=kombinace_5!AB40,H15=kombinace_5!AB7,H15=kombinace_5!AB15,H15=kombinace_5!AB20,H15=kombinace_5!AB21,H15=kombinace_5!AB22),'Translate&amp;Prices&amp;Logo'!$B$228,IF(H15=kombinace_5!AB41,'Translate&amp;Prices&amp;Logo'!$B$228,'Translate&amp;Prices&amp;Logo'!$B$234))</f>
        <v>Provedení druhého dvířka</v>
      </c>
      <c r="K16" s="565"/>
      <c r="L16" s="565"/>
      <c r="M16" s="565"/>
      <c r="N16" s="563"/>
      <c r="O16" s="563"/>
      <c r="P16" s="563"/>
      <c r="Q16" s="564"/>
      <c r="R16" s="61"/>
      <c r="S16" s="553"/>
      <c r="T16" s="554"/>
      <c r="U16" s="554"/>
      <c r="V16" s="554"/>
      <c r="W16" s="554"/>
      <c r="X16" s="554"/>
      <c r="Y16" s="555"/>
      <c r="Z16" s="80"/>
      <c r="AA16" s="78"/>
      <c r="AB16" s="82"/>
      <c r="AC16" s="9"/>
      <c r="AD16" s="55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IF(H12='Translate&amp;Prices&amp;Logo'!B553,'Translate&amp;Prices&amp;Logo'!B240,IF(H15=kombinace_5!AB8,'Translate&amp;Prices&amp;Logo'!B286,0))</f>
        <v>0</v>
      </c>
      <c r="C17" s="490"/>
      <c r="D17" s="490"/>
      <c r="E17" s="490"/>
      <c r="F17" s="490"/>
      <c r="G17" s="98"/>
      <c r="H17" s="491"/>
      <c r="I17" s="491"/>
      <c r="J17" s="491"/>
      <c r="K17" s="491"/>
      <c r="L17" s="491"/>
      <c r="M17" s="491"/>
      <c r="N17" s="491"/>
      <c r="O17" s="491"/>
      <c r="P17" s="491"/>
      <c r="Q17" s="492"/>
      <c r="R17" s="61"/>
      <c r="S17" s="553"/>
      <c r="T17" s="554"/>
      <c r="U17" s="554"/>
      <c r="V17" s="554"/>
      <c r="W17" s="554"/>
      <c r="X17" s="554"/>
      <c r="Y17" s="555"/>
      <c r="Z17" s="80"/>
      <c r="AA17" s="78"/>
      <c r="AB17" s="82"/>
      <c r="AC17" s="9"/>
      <c r="AD17" s="552"/>
      <c r="AE17" s="496" t="str">
        <f>'Translate&amp;Prices&amp;Logo'!$B$638</f>
        <v>Vzdálenost od spodního okraje</v>
      </c>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IF(H13="Salice",VLOOKUP(H17,kombinace_5!$BY:$BZ,2,0),0)</f>
        <v>0</v>
      </c>
    </row>
    <row r="18" spans="1:52" ht="18" customHeight="1">
      <c r="A18" s="61"/>
      <c r="B18" s="489">
        <f>IFERROR(IF(VLOOKUP(H15,kombinace_5!CD:CE,2,0)=1,'Translate&amp;Prices&amp;Logo'!$B$549,0),0)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496"/>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IFERROR(IF(H12='Translate&amp;Prices&amp;Logo'!B553,'Translate&amp;Prices&amp;Logo'!$B$225,IF(VLOOKUP(H15,kombinace_5!CD:CE,2,0)=1,'Translate&amp;Prices&amp;Logo'!$B$225,)),0)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v>0</v>
      </c>
      <c r="AC19" s="525"/>
      <c r="AD19" s="552"/>
      <c r="AE19" s="496"/>
      <c r="AF19" s="9"/>
      <c r="AG19" s="9"/>
      <c r="AH19" s="9"/>
      <c r="AI19" s="157"/>
      <c r="AJ19" s="61"/>
      <c r="AK19" s="9"/>
      <c r="AL19" s="532" t="str">
        <f>'Translate&amp;Prices&amp;Logo'!$B$638</f>
        <v>Vzdálenost od spodního okraje</v>
      </c>
      <c r="AM19" s="534"/>
      <c r="AN19" s="525">
        <v>0</v>
      </c>
      <c r="AO19" s="525"/>
      <c r="AP19" s="76"/>
      <c r="AQ19" s="307"/>
      <c r="AR19" s="583" t="str">
        <f>'Translate&amp;Prices&amp;Logo'!$B$178</f>
        <v>Výška</v>
      </c>
      <c r="AS19" s="9"/>
      <c r="AT19" s="146"/>
      <c r="AU19" s="138">
        <f>IFERROR(IF(H12='závěsy dle výklopu'!BR2,VLOOKUP(H15,kombinace_5!$CD$3:$CF$18,3,0),IF(H12='závěsy dle výklopu'!BQ2,1,0)),0)</f>
        <v>0</v>
      </c>
      <c r="AV19" s="140">
        <f>IFERROR(VLOOKUP(H15,kombinace_5!$CD:$CF,3,0),0)</f>
        <v>0</v>
      </c>
    </row>
    <row r="20" spans="1:52" ht="18" customHeight="1">
      <c r="A20" s="61"/>
      <c r="B20" s="550">
        <f>IF(H13&lt;&gt;"Salice",(IFERROR(VLOOKUP(H17,kombinace_5!$BY$32:$CA$35,2,0),0)),0)</f>
        <v>0</v>
      </c>
      <c r="C20" s="487"/>
      <c r="D20" s="487"/>
      <c r="E20" s="487"/>
      <c r="F20" s="544">
        <v>100</v>
      </c>
      <c r="G20" s="544"/>
      <c r="H20" s="544"/>
      <c r="I20" s="544"/>
      <c r="J20" s="487">
        <f>IFERROR(VLOOKUP(H17,kombinace_5!$BY$32:$CA$35,3,0),0)</f>
        <v>0</v>
      </c>
      <c r="K20" s="487"/>
      <c r="L20" s="487"/>
      <c r="M20" s="487"/>
      <c r="N20" s="544">
        <v>100</v>
      </c>
      <c r="O20" s="544"/>
      <c r="P20" s="544"/>
      <c r="Q20" s="562"/>
      <c r="R20" s="61"/>
      <c r="S20" s="553"/>
      <c r="T20" s="554"/>
      <c r="U20" s="554"/>
      <c r="V20" s="554"/>
      <c r="W20" s="554"/>
      <c r="X20" s="554"/>
      <c r="Y20" s="555"/>
      <c r="Z20" s="80"/>
      <c r="AA20" s="78"/>
      <c r="AB20" s="79"/>
      <c r="AC20" s="9"/>
      <c r="AD20" s="552"/>
      <c r="AE20" s="496"/>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IF(kombinace_5!FC2=FALSE,'Translate&amp;Prices&amp;Logo'!$B$175," ")</f>
        <v>Typ úpravy skla</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v>0</v>
      </c>
      <c r="AE21" s="496"/>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496"/>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Již neměnit po tom co vyberete typ skla/síťky  ↥↥</v>
      </c>
      <c r="I23" s="538"/>
      <c r="J23" s="538"/>
      <c r="K23" s="538"/>
      <c r="L23" s="538"/>
      <c r="M23" s="538"/>
      <c r="N23" s="538"/>
      <c r="O23" s="538"/>
      <c r="P23" s="538"/>
      <c r="Q23" s="539"/>
      <c r="R23" s="61"/>
      <c r="S23" s="556"/>
      <c r="T23" s="557"/>
      <c r="U23" s="557"/>
      <c r="V23" s="557"/>
      <c r="W23" s="557"/>
      <c r="X23" s="557"/>
      <c r="Y23" s="558"/>
      <c r="Z23" s="80"/>
      <c r="AA23" s="78"/>
      <c r="AB23" s="79"/>
      <c r="AC23" s="9"/>
      <c r="AD23" s="524"/>
      <c r="AE23" s="496"/>
      <c r="AF23" s="9"/>
      <c r="AG23" s="9"/>
      <c r="AH23" s="9"/>
      <c r="AI23" s="60"/>
      <c r="AJ23" s="61"/>
      <c r="AK23" s="9"/>
      <c r="AL23" s="532"/>
      <c r="AM23" s="533">
        <v>0</v>
      </c>
      <c r="AN23" s="9"/>
      <c r="AO23" s="80"/>
      <c r="AP23" s="74"/>
      <c r="AQ23" s="307"/>
      <c r="AR23" s="583"/>
      <c r="AS23" s="9"/>
      <c r="AT23" s="146"/>
      <c r="AU23" s="140" t="e">
        <f>VLOOKUP(H17,kombinace_5!$BY$3:$BZ$6,2,0)</f>
        <v>#N/A</v>
      </c>
      <c r="AV23" s="140"/>
    </row>
    <row r="24" spans="1:52" ht="18" customHeight="1">
      <c r="A24" s="61"/>
      <c r="B24" s="519" t="str">
        <f>'Translate&amp;Prices&amp;Logo'!$B$564</f>
        <v>Typ folie</v>
      </c>
      <c r="C24" s="520"/>
      <c r="D24" s="520"/>
      <c r="E24" s="520"/>
      <c r="F24" s="520"/>
      <c r="G24" s="98"/>
      <c r="H24" s="536"/>
      <c r="I24" s="536"/>
      <c r="J24" s="536"/>
      <c r="K24" s="536"/>
      <c r="L24" s="536"/>
      <c r="M24" s="536"/>
      <c r="N24" s="536"/>
      <c r="O24" s="536"/>
      <c r="P24" s="536"/>
      <c r="Q24" s="537"/>
      <c r="R24" s="61"/>
      <c r="S24" s="506" t="str">
        <f>'Translate&amp;Prices&amp;Logo'!$B$179</f>
        <v>Poznámky</v>
      </c>
      <c r="T24" s="506"/>
      <c r="U24" s="506"/>
      <c r="Z24" s="80"/>
      <c r="AA24" s="78"/>
      <c r="AB24" s="79"/>
      <c r="AC24" s="488" t="str">
        <f>'Translate&amp;Prices&amp;Logo'!$B$244</f>
        <v>Vzdálenost od levého okraje</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Typ skla/síťky</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Rozteč  mm</v>
      </c>
      <c r="AG25" s="535"/>
      <c r="AH25" s="535"/>
      <c r="AI25" s="535"/>
      <c r="AJ25" s="535"/>
      <c r="AK25" s="535"/>
      <c r="AL25" s="532"/>
      <c r="AM25" s="533"/>
      <c r="AN25" s="9"/>
      <c r="AO25" s="80"/>
      <c r="AP25" s="83"/>
      <c r="AQ25" s="307"/>
      <c r="AR25" s="9"/>
      <c r="AS25" s="9"/>
      <c r="AT25" s="146"/>
      <c r="AU25" s="140" t="e">
        <f>VLOOKUP(H27,kombinace_5!$BY3:$BZ6,2,0)</f>
        <v>#N/A</v>
      </c>
      <c r="AV25" s="140"/>
    </row>
    <row r="26" spans="1:52" ht="18" customHeight="1">
      <c r="A26" s="61"/>
      <c r="B26" s="489" t="str">
        <f>'Translate&amp;Prices&amp;Logo'!$B$551</f>
        <v>Rozteč úchytky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Umístění úchytky</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Počet kusů</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Dodat včetně uvedeného kování -&gt; vyberte ze seznamu:</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VLOOKUP(H14,kombinace_5!$DN$7:$DO$24,2,0)</f>
        <v>#N/A</v>
      </c>
      <c r="AB29" s="531">
        <f>IF(kombinace_5!FC2=TRUE,AB4,IF(H12='závěsy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Cena rámečků celkem</v>
      </c>
      <c r="C30" s="512"/>
      <c r="D30" s="512"/>
      <c r="E30" s="512"/>
      <c r="F30" s="512"/>
      <c r="G30" s="512"/>
      <c r="H30" s="512"/>
      <c r="I30" s="512"/>
      <c r="J30" s="512"/>
      <c r="K30" s="517"/>
      <c r="L30" s="526">
        <f>IF(OR((AI30&gt;AI43),(AR14&gt;AJ43)),"",((((AT11+AT13+AT15+AT17+AT33+AT35+AT37)*AT43)*(1-(Zakaznik!K21/100)))*AW24))</f>
        <v>0</v>
      </c>
      <c r="M30" s="526"/>
      <c r="N30" s="526"/>
      <c r="O30" s="526"/>
      <c r="P30" s="507" t="str">
        <f>VLOOKUP('Translate&amp;Prices&amp;Logo'!D1,'závěsy dle výklopu'!A204:B209,2,0)</f>
        <v>Kč</v>
      </c>
      <c r="Q30" s="508"/>
      <c r="R30" s="61"/>
      <c r="S30" s="500"/>
      <c r="T30" s="501"/>
      <c r="U30" s="501"/>
      <c r="V30" s="501"/>
      <c r="W30" s="501"/>
      <c r="X30" s="501"/>
      <c r="Y30" s="502"/>
      <c r="Z30" s="9"/>
      <c r="AA30" s="9"/>
      <c r="AB30" s="61"/>
      <c r="AC30" s="9"/>
      <c r="AD30" s="9"/>
      <c r="AE30" s="9"/>
      <c r="AF30" s="530" t="str">
        <f>'Translate&amp;Prices&amp;Logo'!$B$177</f>
        <v xml:space="preserve">Šířka </v>
      </c>
      <c r="AG30" s="530"/>
      <c r="AH30" s="530"/>
      <c r="AI30" s="523"/>
      <c r="AJ30" s="523"/>
      <c r="AK30" s="523"/>
      <c r="AL30" s="9"/>
      <c r="AM30" s="9"/>
      <c r="AN30" s="9"/>
      <c r="AO30" s="9"/>
      <c r="AP30" s="9"/>
      <c r="AQ30" s="9"/>
      <c r="AR30" s="9"/>
      <c r="AS30" s="9"/>
      <c r="AT30" s="146"/>
      <c r="AU30" s="138" t="e">
        <f>HLOOKUP("_Úzký_dolny_K12",kombinace_5!CV2:CW19,3,FALSE)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Souhrn</v>
      </c>
      <c r="AP31" s="582"/>
      <c r="AQ31" s="582"/>
      <c r="AR31" s="582"/>
      <c r="AS31" s="9"/>
      <c r="AT31" s="146"/>
      <c r="AU31" s="138" t="e">
        <f>AD44</f>
        <v>#N/A</v>
      </c>
    </row>
    <row r="32" spans="1:52" ht="17.25" customHeight="1">
      <c r="A32" s="61"/>
      <c r="B32" s="541" t="str">
        <f>'Translate&amp;Prices&amp;Logo'!$B$173</f>
        <v>Uvedené ceny jsou bez DPH a nezahrnují cenu požadovaného kování!</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 xml:space="preserve">Rámečky bez skla se dodávají v demontovaném stavu. </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IF(kombinace_5!V1=2,((AR14/1000)*(AI30/1000))*'Translate&amp;Prices&amp;Logo'!C96,0)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B35" s="112"/>
      <c r="R35" s="140"/>
      <c r="S35" s="140"/>
      <c r="T35" s="149"/>
      <c r="AD35" s="112"/>
      <c r="AE35" s="112"/>
      <c r="AN35" s="148"/>
      <c r="AO35" s="148"/>
      <c r="AP35" s="148"/>
      <c r="AQ35" s="148"/>
      <c r="AS35" s="146"/>
      <c r="AT35" s="146">
        <f>IF(kombinace_5!$V$1=3,IFERROR(((VLOOKUP(H24,'Translate&amp;Prices&amp;Logo'!B93:C95,2,0))*(AR14/1000)),0),0)</f>
        <v>0</v>
      </c>
      <c r="AV35" s="271" t="s">
        <v>3467</v>
      </c>
      <c r="AW35" s="272"/>
      <c r="AX35" s="272"/>
      <c r="AY35" s="248"/>
    </row>
    <row r="36" spans="1:58" s="157" customFormat="1" ht="18.600000000000001" hidden="1" customHeight="1">
      <c r="A36" s="149"/>
      <c r="B36" s="157" t="str" cm="1">
        <f t="array" ref="B36:B101">IF(kombinace_5!FC2=TRUE,_profily_síťka,IF(kombinace_5!H1=TRUE,_kombinovane_profily,_vše_profily))</f>
        <v>BRW (elox.) - maximální doporučená délka profilu 2500 mm</v>
      </c>
      <c r="L36" s="157" t="str">
        <f t="array" ref="L36:M36">IF(kombinace_5!H1=TRUE,'závěsy dle výklopu'!$BQ$2:$BR$2,
IF(H8=kombinace_5!A41,'závěsy dle výklopu'!$BQ$2,IF(H8=kombinace_5!A42,'závěsy dle výklopu'!$BQ$2,IF(H8=kombinace_5!A65,'závěsy dle výklopu'!$BQ$2,IF(H8=kombinace_5!A66,'závěsy dle výklopu'!$BQ$2,IF(H8=kombinace_5!A67,'závěsy dle výklopu'!$BQ$2,IF(H8=kombinace_5!A68,'závěsy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IF(H13=kombinace_5!BQ11,kombinace_5!$DN$2,kombinace_5!$DN$2:$DN$4)</f>
        <v>Naložený</v>
      </c>
      <c r="T36" s="157">
        <f t="array" aca="1" ref="T36:T44" ca="1">IF(H13=kombinace_5!BQ11,
  kombinace_5!$FA$2:$FA$9,
  IF(AND(OR(H8=kombinace_5!A41,H8=kombinace_5!A42),H13='závěsy dle výklopu'!BQ4),
    INDIRECT(VLOOKUP(AD42&amp;"_Rocca",kombinace_5!$ER$1:$ES$108,2,0)),
    IF($AU$9=2,
      INDIRECT(VLOOKUP(AD42,kombinace_5!$ER$1:$ES$108,2,0)),
      IF($AU$9=3,
        INDIRECT(VLOOKUP($T$47,kombinace_5!$AA$1:$AB$100,2,0)),
      $Y$48)
    )
  )
)</f>
        <v>0</v>
      </c>
      <c r="AF36" s="157" t="e">
        <f>HLOOKUP($AD$44,'závěsy dle výklopu'!$CG$4:$EZ$10,2,0)</f>
        <v>#N/A</v>
      </c>
      <c r="AJ36" s="157">
        <f t="array" ref="AJ36:AJ40">IF(AM19&lt;2100,kombinace_5!BY8:BY12,kombinace_5!BY8:BY12)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5!FC2=TRUE,500,AJ43))),"")</f>
        <v/>
      </c>
      <c r="AJ43" s="277" t="str">
        <f>IFERROR((IF(kombinace_5!FC2=TRUE,1000,VLOOKUP(H8,'Translate&amp;Prices&amp;Logo'!B6:U84,20,0))),"")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CONCATENATE(H13,"_",VLOOKUP(kombinace_5!H1,kombinace_5!$J$14:$K$15,2,0))</f>
        <v>_2</v>
      </c>
      <c r="AD47" s="157" t="s">
        <v>4253</v>
      </c>
      <c r="AI47" s="112"/>
      <c r="AJ47" s="270"/>
      <c r="AN47" s="578"/>
      <c r="AO47" s="578"/>
      <c r="AP47" s="578"/>
      <c r="AQ47" s="578"/>
    </row>
    <row r="48" spans="1:58" s="157" customFormat="1" ht="14.85" hidden="1" customHeight="1">
      <c r="A48" s="140"/>
      <c r="B48" s="157" t="str">
        <v>BRW kašmír - maximální doporučená délka profilu 2500 mm</v>
      </c>
      <c r="T48" s="157" t="e">
        <f>VLOOKUP(AD42,kombinace_5!ER1:ES120,2,0)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5!AB40,$H$15=kombinace_5!AB7,$H$15=kombinace_5!AB15,$H$15=kombinace_5!AB20,$H$15=kombinace_5!AB21,$H$15=kombinace_5!AB22),'Translate&amp;Prices&amp;Logo'!$B$231:$B$233,IF($H$15=kombinace_5!AB41,'Translate&amp;Prices&amp;Logo'!$B$231:$B$233,'Translate&amp;Prices&amp;Logo'!$B$235:$B$239))</f>
        <v>Úzký ALU rámeček</v>
      </c>
      <c r="T54" s="157" t="str">
        <f t="array" ref="T54:T56">kombinace_5!$EN$3:$EN$5</f>
        <v>Bez úprav</v>
      </c>
      <c r="U54" s="157">
        <v>1</v>
      </c>
      <c r="X54" s="157" t="str">
        <f t="array" ref="X54:X56">kombinace_5!$X$3:$X$5</f>
        <v>Transparentní</v>
      </c>
      <c r="AD54" s="157" t="e">
        <f t="array" aca="1" ref="AD54:AD97" ca="1">IF(kombinace_5!FC2=FALSE,
INDIRECT(kombinace_5!S1),
IF(kombinace_5!FC2=TRUE,INDIRECT(VLOOKUP(Ram_5!H8,'závěsy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D55" s="157" t="e">
        <f ca="1"/>
        <v>#N/A</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c r="AD56" s="157" t="e">
        <f ca="1"/>
        <v>#N/A</v>
      </c>
    </row>
    <row r="57" spans="1:46" s="157" customFormat="1" ht="14.85" hidden="1" customHeight="1">
      <c r="A57" s="140"/>
      <c r="B57" s="157" t="str">
        <v>Imola bílá mat RAL 9003 - maximální doporučená délka profilu 2500 mm</v>
      </c>
      <c r="K57" s="157" t="str">
        <v>MDF tloušťky 18 mm</v>
      </c>
      <c r="AD57" s="157" t="e">
        <f ca="1"/>
        <v>#N/A</v>
      </c>
    </row>
    <row r="58" spans="1:46" s="157" customFormat="1" ht="14.85" hidden="1" customHeight="1">
      <c r="A58" s="140"/>
      <c r="B58" s="157" t="str">
        <v>Imola zlatá - maximální doporučená délka profilu 2150 mm</v>
      </c>
      <c r="K58" s="157" t="str">
        <v>DTDL tloušťky 18 mm</v>
      </c>
      <c r="AD58" s="157" t="e">
        <f ca="1"/>
        <v>#N/A</v>
      </c>
    </row>
    <row r="59" spans="1:46" s="157" customFormat="1" ht="14.85" hidden="1" customHeight="1">
      <c r="A59" s="140"/>
      <c r="B59" s="157" t="str">
        <v>Modena (elox.) - maximální doporučená délka profilu 2500 mm</v>
      </c>
      <c r="T59" s="157">
        <f>IFERROR(VLOOKUP($H$21,$T$54:$U$56,2,0),0)</f>
        <v>0</v>
      </c>
      <c r="AD59" s="157" t="e">
        <f ca="1"/>
        <v>#N/A</v>
      </c>
    </row>
    <row r="60" spans="1:46" s="157" customFormat="1" ht="14.85" hidden="1" customHeight="1">
      <c r="A60" s="140"/>
      <c r="B60" s="157" t="str">
        <v>Modena černá mat - maximální doporučená délka profilu 2500 mm</v>
      </c>
      <c r="K60" s="157" t="b">
        <f>K56=K61</f>
        <v>0</v>
      </c>
      <c r="AD60" s="157" t="e">
        <f ca="1"/>
        <v>#N/A</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c r="AD61" s="157" t="e">
        <f ca="1"/>
        <v>#N/A</v>
      </c>
    </row>
    <row r="62" spans="1:46" s="157" customFormat="1" ht="14.85" hidden="1" customHeight="1">
      <c r="A62" s="140"/>
      <c r="B62" s="157" t="str">
        <v>Modena tmavá nerez br. (inox lija) - maximální doporučená délka profilu 2500 mm</v>
      </c>
      <c r="AD62" s="157" t="e">
        <f ca="1"/>
        <v>#N/A</v>
      </c>
    </row>
    <row r="63" spans="1:46" s="157" customFormat="1" ht="14.85" hidden="1" customHeight="1">
      <c r="A63" s="140"/>
      <c r="B63" s="157" t="str">
        <v>Modena hnědá - maximální doporučená délka profilu 2500 mm</v>
      </c>
      <c r="AD63" s="157" t="e">
        <f ca="1"/>
        <v>#N/A</v>
      </c>
    </row>
    <row r="64" spans="1:46" s="157" customFormat="1" ht="14.85" hidden="1" customHeight="1">
      <c r="A64" s="140"/>
      <c r="B64" s="157" t="str">
        <v>Pisa (elox.) - maximální doporučená délka profilu 2500 mm</v>
      </c>
      <c r="AD64" s="157" t="e">
        <f ca="1"/>
        <v>#N/A</v>
      </c>
    </row>
    <row r="65" spans="1:30"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f t="array" ref="O65:O71">IF($H$15=kombinace_5!$AB$40,_strong_vzpera_horni,IF($H$15=kombinace_5!$AB$41,_stronglift_klopna,IF($H$12='závěsy dle výklopu'!$BQ$2,$J$65:$J$71,'Translate&amp;Prices&amp;Logo'!$B$187:$B$188)))</f>
        <v>horní dvířko</v>
      </c>
      <c r="AD65" s="157" t="e">
        <f ca="1"/>
        <v>#N/A</v>
      </c>
    </row>
    <row r="66" spans="1:30"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c r="AD66" s="157" t="e">
        <f ca="1"/>
        <v>#N/A</v>
      </c>
    </row>
    <row r="67" spans="1:30"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c r="O67" s="157" t="e">
        <v>#N/A</v>
      </c>
      <c r="AD67" s="157" t="e">
        <f ca="1"/>
        <v>#N/A</v>
      </c>
    </row>
    <row r="68" spans="1:30"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c r="O68" s="157" t="e">
        <v>#N/A</v>
      </c>
      <c r="AD68" s="157" t="e">
        <f ca="1"/>
        <v>#N/A</v>
      </c>
    </row>
    <row r="69" spans="1:30"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c r="O69" s="157" t="e">
        <v>#N/A</v>
      </c>
      <c r="AD69" s="157" t="e">
        <f ca="1"/>
        <v>#N/A</v>
      </c>
    </row>
    <row r="70" spans="1:30"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c r="O70" s="157" t="e">
        <v>#N/A</v>
      </c>
      <c r="AD70" s="157" t="e">
        <f ca="1"/>
        <v>#N/A</v>
      </c>
    </row>
    <row r="71" spans="1:30"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c r="O71" s="157" t="e">
        <v>#N/A</v>
      </c>
      <c r="AD71" s="157" t="e">
        <f ca="1"/>
        <v>#N/A</v>
      </c>
    </row>
    <row r="72" spans="1:30" s="157" customFormat="1" ht="14.85" hidden="1" customHeight="1">
      <c r="A72" s="140"/>
      <c r="B72" s="157" t="str">
        <v>Rimini zlatá - max délka profilu 1100 mm</v>
      </c>
      <c r="AD72" s="157" t="e">
        <f ca="1"/>
        <v>#N/A</v>
      </c>
    </row>
    <row r="73" spans="1:30" s="157" customFormat="1" ht="14.85" hidden="1" customHeight="1">
      <c r="A73" s="140"/>
      <c r="B73" s="157" t="str">
        <v>Rimini zlatá broušená - max délka profilu 1100 mm</v>
      </c>
      <c r="AD73" s="157" t="e">
        <f ca="1"/>
        <v>#N/A</v>
      </c>
    </row>
    <row r="74" spans="1:30" s="157" customFormat="1" ht="14.85" hidden="1" customHeight="1">
      <c r="A74" s="140"/>
      <c r="B74" s="157" t="str">
        <v>Rocca (elox.) - maximální doporučená délka profilu 2150 mm</v>
      </c>
      <c r="AD74" s="157" t="e">
        <f ca="1"/>
        <v>#N/A</v>
      </c>
    </row>
    <row r="75" spans="1:30" s="157" customFormat="1" ht="14.85" hidden="1" customHeight="1">
      <c r="A75" s="140"/>
      <c r="B75" s="157" t="str">
        <v>Rocca černá mat - maximální doporučená délka profilu 2150 mm</v>
      </c>
      <c r="AD75" s="157" t="e">
        <f ca="1"/>
        <v>#N/A</v>
      </c>
    </row>
    <row r="76" spans="1:30" s="157" customFormat="1" ht="14.85" hidden="1" customHeight="1">
      <c r="A76" s="140"/>
      <c r="B76" s="157" t="str">
        <v>Treviso černá mat - maximální doporučená délka profilu 2750 mm</v>
      </c>
      <c r="AD76" s="157" t="e">
        <f ca="1"/>
        <v>#N/A</v>
      </c>
    </row>
    <row r="77" spans="1:30" s="157" customFormat="1" ht="14.85" hidden="1" customHeight="1">
      <c r="A77" s="140"/>
      <c r="B77" s="157" t="str">
        <v>Verona (elox.) - maximální doporučená délka profilu 2500 mm</v>
      </c>
      <c r="AD77" s="157" t="e">
        <f ca="1"/>
        <v>#N/A</v>
      </c>
    </row>
    <row r="78" spans="1:30" s="157" customFormat="1" ht="14.85" hidden="1" customHeight="1">
      <c r="A78" s="140"/>
      <c r="B78" s="157" t="str">
        <v>Verona broušený hliník - maximální doporučená délka profilu 2500 mm</v>
      </c>
      <c r="AD78" s="157" t="e">
        <f ca="1"/>
        <v>#N/A</v>
      </c>
    </row>
    <row r="79" spans="1:30" s="157" customFormat="1" ht="14.85" hidden="1" customHeight="1">
      <c r="A79" s="140"/>
      <c r="B79" s="157" t="str">
        <v>Verona černá mat - maximální doporučená délka profilu 2500 mm</v>
      </c>
      <c r="AD79" s="157" t="e">
        <f ca="1"/>
        <v>#N/A</v>
      </c>
    </row>
    <row r="80" spans="1:30" s="157" customFormat="1" ht="14.85" hidden="1" customHeight="1">
      <c r="A80" s="140"/>
      <c r="B80" s="157" t="str">
        <v>Verona černá lesk - maximální doporučená délka profilu 2500 mm</v>
      </c>
      <c r="AD80" s="157" t="e">
        <f ca="1"/>
        <v>#N/A</v>
      </c>
    </row>
    <row r="81" spans="1:38" s="157" customFormat="1" ht="14.85" hidden="1" customHeight="1">
      <c r="A81" s="140"/>
      <c r="B81" s="157" t="str">
        <v>Verona hnědá - maximální doporučená délka profilu 2500 mm</v>
      </c>
      <c r="AD81" s="157" t="e">
        <f ca="1"/>
        <v>#N/A</v>
      </c>
    </row>
    <row r="82" spans="1:38" s="157" customFormat="1" ht="14.85" hidden="1" customHeight="1">
      <c r="A82" s="140"/>
      <c r="B82" s="157" t="str">
        <v>Verona champagne - maximální doporučená délka profilu 2500 mm</v>
      </c>
      <c r="P82" s="157" t="str" cm="1">
        <f t="array" ref="P82:P85">IF(OR(H8=kombinace_5!F18,H8=kombinace_5!F19,H8=kombinace_5!A60,H8=kombinace_5!A61,H8=kombinace_5!A62,H8=kombinace_5!A63),_2_strany,IF(H15=kombinace_5!AB8,_ramena_HL,_4_strany))</f>
        <v>Nahoře</v>
      </c>
      <c r="AD82" s="157" t="e">
        <f ca="1"/>
        <v>#N/A</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ZaOA45fLQ8JNmYrPynt2IML8F3NSRgV/RGOvWvkmrPdBmVGYZvKu+yolR9HuLjSEyt1cTGJfRQdj1IVOToUAaQ==" saltValue="F8iejde7z3cvil3v46BnsA==" spinCount="100000" sheet="1" objects="1" scenarios="1"/>
  <protectedRanges>
    <protectedRange sqref="G7 I7:R7" name="Oblast1"/>
  </protectedRanges>
  <mergeCells count="99">
    <mergeCell ref="B33:K34"/>
    <mergeCell ref="L33:Q34"/>
    <mergeCell ref="AC9:AD9"/>
    <mergeCell ref="AD21:AD23"/>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7:AE23"/>
    <mergeCell ref="AC8:AG8"/>
    <mergeCell ref="AJ7:AJ8"/>
    <mergeCell ref="AF9:AK9"/>
    <mergeCell ref="B14:F14"/>
    <mergeCell ref="B13:F13"/>
    <mergeCell ref="AD14:AD20"/>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256" priority="24" operator="equal">
      <formula>$A$2</formula>
    </cfRule>
  </conditionalFormatting>
  <conditionalFormatting sqref="B16:I16">
    <cfRule type="expression" dxfId="255" priority="45">
      <formula>$AU$19=0</formula>
    </cfRule>
  </conditionalFormatting>
  <conditionalFormatting sqref="B9:Q9">
    <cfRule type="expression" dxfId="254" priority="30">
      <formula>$B$9=0</formula>
    </cfRule>
  </conditionalFormatting>
  <conditionalFormatting sqref="B11:Q11">
    <cfRule type="expression" dxfId="253" priority="44">
      <formula>$AU$10=0</formula>
    </cfRule>
  </conditionalFormatting>
  <conditionalFormatting sqref="B14:Q14">
    <cfRule type="expression" dxfId="252" priority="29">
      <formula>$B$14=0</formula>
    </cfRule>
  </conditionalFormatting>
  <conditionalFormatting sqref="B17:Q17">
    <cfRule type="expression" dxfId="251" priority="28">
      <formula>$B$17=0</formula>
    </cfRule>
  </conditionalFormatting>
  <conditionalFormatting sqref="B18:Q18">
    <cfRule type="expression" dxfId="250" priority="14" stopIfTrue="1">
      <formula>$B$18=0</formula>
    </cfRule>
    <cfRule type="expression" dxfId="249" priority="17">
      <formula>$F$16=$H$61</formula>
    </cfRule>
  </conditionalFormatting>
  <conditionalFormatting sqref="B19:Q19">
    <cfRule type="expression" dxfId="248" priority="27">
      <formula>$B$19=0</formula>
    </cfRule>
  </conditionalFormatting>
  <conditionalFormatting sqref="B20:Q20">
    <cfRule type="expression" dxfId="247" priority="25">
      <formula>$B$20=0</formula>
    </cfRule>
    <cfRule type="expression" dxfId="246" priority="26">
      <formula>$B$19=0</formula>
    </cfRule>
  </conditionalFormatting>
  <conditionalFormatting sqref="B21:Q21">
    <cfRule type="expression" dxfId="245" priority="6">
      <formula>$B$21=" "</formula>
    </cfRule>
  </conditionalFormatting>
  <conditionalFormatting sqref="B24:Q24">
    <cfRule type="expression" dxfId="244" priority="19" stopIfTrue="1">
      <formula>$T$59&lt;3</formula>
    </cfRule>
  </conditionalFormatting>
  <conditionalFormatting sqref="H23">
    <cfRule type="expression" dxfId="243" priority="31">
      <formula>$H$25&gt;0</formula>
    </cfRule>
  </conditionalFormatting>
  <conditionalFormatting sqref="H10:L11">
    <cfRule type="expression" dxfId="242" priority="23">
      <formula>$AU$10=2</formula>
    </cfRule>
  </conditionalFormatting>
  <conditionalFormatting sqref="H10:Q10">
    <cfRule type="expression" dxfId="241" priority="22">
      <formula>$AU$10=0</formula>
    </cfRule>
  </conditionalFormatting>
  <conditionalFormatting sqref="H22:Q22 B22:G23">
    <cfRule type="expression" dxfId="240" priority="20">
      <formula>$AS$33=1</formula>
    </cfRule>
  </conditionalFormatting>
  <conditionalFormatting sqref="J16:M16">
    <cfRule type="expression" dxfId="239" priority="16" stopIfTrue="1">
      <formula>$K$60=TRUE</formula>
    </cfRule>
  </conditionalFormatting>
  <conditionalFormatting sqref="J16:N16">
    <cfRule type="expression" dxfId="238" priority="18" stopIfTrue="1">
      <formula>$AV$19=0</formula>
    </cfRule>
  </conditionalFormatting>
  <conditionalFormatting sqref="M10:Q11">
    <cfRule type="expression" dxfId="237" priority="21">
      <formula>$AU$10=1</formula>
    </cfRule>
  </conditionalFormatting>
  <conditionalFormatting sqref="N16:Q16">
    <cfRule type="expression" dxfId="236" priority="15" stopIfTrue="1">
      <formula>$K$60=TRUE</formula>
    </cfRule>
  </conditionalFormatting>
  <conditionalFormatting sqref="P29:Q29">
    <cfRule type="expression" dxfId="235" priority="1">
      <formula>$U$41=2</formula>
    </cfRule>
  </conditionalFormatting>
  <conditionalFormatting sqref="AA9:AA10 AA24:AA25">
    <cfRule type="expression" dxfId="234" priority="10" stopIfTrue="1">
      <formula>$AU$17=1</formula>
    </cfRule>
  </conditionalFormatting>
  <conditionalFormatting sqref="AA16:AA17">
    <cfRule type="expression" dxfId="233" priority="5" stopIfTrue="1">
      <formula>$AU$24="1_3"</formula>
    </cfRule>
  </conditionalFormatting>
  <conditionalFormatting sqref="AB6 AA6:AA7 AA27 AA28:AB28">
    <cfRule type="expression" dxfId="232" priority="4" stopIfTrue="1">
      <formula>$AV$17=1</formula>
    </cfRule>
  </conditionalFormatting>
  <conditionalFormatting sqref="AB29:AO29">
    <cfRule type="cellIs" dxfId="231" priority="2" operator="equal">
      <formula>0</formula>
    </cfRule>
  </conditionalFormatting>
  <conditionalFormatting sqref="AC6:AD6 AM6:AN6">
    <cfRule type="expression" dxfId="230" priority="12" stopIfTrue="1">
      <formula>$AU$17=3</formula>
    </cfRule>
  </conditionalFormatting>
  <conditionalFormatting sqref="AC25:AD25 AJ26:AJ27">
    <cfRule type="expression" dxfId="229" priority="39">
      <formula>$AU$25=4</formula>
    </cfRule>
  </conditionalFormatting>
  <conditionalFormatting sqref="AC28:AD28 AM28:AN28">
    <cfRule type="expression" dxfId="228" priority="11" stopIfTrue="1">
      <formula>$AU$17=4</formula>
    </cfRule>
  </conditionalFormatting>
  <conditionalFormatting sqref="AC8:AG8">
    <cfRule type="expression" dxfId="227" priority="43">
      <formula>$AU$25=3</formula>
    </cfRule>
  </conditionalFormatting>
  <conditionalFormatting sqref="AC24:AG24">
    <cfRule type="expression" dxfId="226" priority="40">
      <formula>$AU$25=4</formula>
    </cfRule>
  </conditionalFormatting>
  <conditionalFormatting sqref="AD21:AD23 AB19:AC19">
    <cfRule type="expression" dxfId="225" priority="33">
      <formula>$AU$25=1</formula>
    </cfRule>
  </conditionalFormatting>
  <conditionalFormatting sqref="AD14 AD20">
    <cfRule type="expression" dxfId="224" priority="32">
      <formula>$AU$25=1</formula>
    </cfRule>
  </conditionalFormatting>
  <conditionalFormatting sqref="AE17:AE23">
    <cfRule type="expression" dxfId="223" priority="41">
      <formula>$AU$25=1</formula>
    </cfRule>
  </conditionalFormatting>
  <conditionalFormatting sqref="AF9:AK9">
    <cfRule type="expression" dxfId="222" priority="36">
      <formula>$AU$25=3</formula>
    </cfRule>
  </conditionalFormatting>
  <conditionalFormatting sqref="AF25:AK25">
    <cfRule type="expression" dxfId="221" priority="38">
      <formula>$AU$25=4</formula>
    </cfRule>
  </conditionalFormatting>
  <conditionalFormatting sqref="AG6:AH6">
    <cfRule type="expression" dxfId="220" priority="8" stopIfTrue="1">
      <formula>$AU$24="3_3"</formula>
    </cfRule>
  </conditionalFormatting>
  <conditionalFormatting sqref="AG28:AH28">
    <cfRule type="expression" dxfId="219" priority="7" stopIfTrue="1">
      <formula>$AU$24="4_3"</formula>
    </cfRule>
  </conditionalFormatting>
  <conditionalFormatting sqref="AJ7:AJ8 AC9:AD9">
    <cfRule type="expression" dxfId="218" priority="37">
      <formula>$AU$25=3</formula>
    </cfRule>
  </conditionalFormatting>
  <conditionalFormatting sqref="AL19:AL25">
    <cfRule type="expression" dxfId="217" priority="42">
      <formula>$AU$25=2</formula>
    </cfRule>
  </conditionalFormatting>
  <conditionalFormatting sqref="AM14:AM21">
    <cfRule type="expression" dxfId="216" priority="34">
      <formula>$AU$25=2</formula>
    </cfRule>
  </conditionalFormatting>
  <conditionalFormatting sqref="AN19:AO19 AM23:AM25">
    <cfRule type="expression" dxfId="215" priority="35">
      <formula>$AU$25=2</formula>
    </cfRule>
  </conditionalFormatting>
  <conditionalFormatting sqref="AO6 AP6:AP7 AP27 AO28:AP28">
    <cfRule type="expression" dxfId="214" priority="3" stopIfTrue="1">
      <formula>$AV$17=2</formula>
    </cfRule>
  </conditionalFormatting>
  <conditionalFormatting sqref="AP9:AP10 AP24:AP25">
    <cfRule type="expression" dxfId="213" priority="9" stopIfTrue="1">
      <formula>$AU$17=2</formula>
    </cfRule>
  </conditionalFormatting>
  <conditionalFormatting sqref="AP16:AP17">
    <cfRule type="expression" dxfId="212" priority="13" stopIfTrue="1">
      <formula>$AU$24="2_3"</formula>
    </cfRule>
  </conditionalFormatting>
  <dataValidations count="20">
    <dataValidation type="whole" allowBlank="1" showInputMessage="1" showErrorMessage="1" sqref="H11:L11" xr:uid="{C0B79514-ACD3-49F8-84CF-03E56F78F60A}">
      <formula1>1</formula1>
      <formula2>(AR14/100)-1</formula2>
    </dataValidation>
    <dataValidation type="whole" allowBlank="1" showInputMessage="1" showErrorMessage="1" sqref="M11:Q11" xr:uid="{FD11F0E6-7B73-46E1-8169-61FEABA8A056}">
      <formula1>1</formula1>
      <formula2>(AI30/100)-1</formula2>
    </dataValidation>
    <dataValidation type="whole" allowBlank="1" showInputMessage="1" showErrorMessage="1" errorTitle="Minimum 80 mm" sqref="F20:I20 N20:Q20" xr:uid="{45594404-B246-4EA0-8D88-2139B04DC45D}">
      <formula1>80</formula1>
      <formula2>1300</formula2>
    </dataValidation>
    <dataValidation type="whole" operator="greaterThanOrEqual" allowBlank="1" showInputMessage="1" showErrorMessage="1" sqref="H26:Q26" xr:uid="{F0F4E80F-D7FA-4023-932E-499B945CBCAB}">
      <formula1>1</formula1>
    </dataValidation>
    <dataValidation type="list" allowBlank="1" showInputMessage="1" showErrorMessage="1" sqref="H12:Q12" xr:uid="{A6AD8ED3-82CD-4D9B-B6D2-9D9AD31CCE74}">
      <formula1>$L$36:$M$36</formula1>
    </dataValidation>
    <dataValidation type="list" allowBlank="1" showInputMessage="1" showErrorMessage="1" sqref="H14:Q14" xr:uid="{60AD8451-81BB-43C0-A22F-3C27371D8299}">
      <formula1>$P$36:$P$38</formula1>
    </dataValidation>
    <dataValidation type="list" allowBlank="1" showInputMessage="1" showErrorMessage="1" sqref="H21:Q21" xr:uid="{5DD1C5D0-BD41-44F4-A4F4-B93A05A792D7}">
      <formula1>$T$54:$T$56</formula1>
    </dataValidation>
    <dataValidation type="list" allowBlank="1" showInputMessage="1" showErrorMessage="1" sqref="H24:Q24" xr:uid="{38DD3E91-A82C-41FA-A015-F7D0A88F3990}">
      <formula1>$X$54:$X$56</formula1>
    </dataValidation>
    <dataValidation type="list" allowBlank="1" showInputMessage="1" showErrorMessage="1" sqref="H19:Q19" xr:uid="{3DAB321F-6682-42CB-B7C3-E9961A566D7F}">
      <formula1>IF(H13="Salice",$AJ$36,($AJ$36:$AJ$40))</formula1>
    </dataValidation>
    <dataValidation type="list" allowBlank="1" showInputMessage="1" showErrorMessage="1" sqref="H18:Q18" xr:uid="{E72F1286-BBFC-4FAA-8391-EA4F9143CC50}">
      <formula1>$AF$36:$AF$41</formula1>
    </dataValidation>
    <dataValidation type="list" allowBlank="1" showInputMessage="1" showErrorMessage="1" sqref="N16:Q16" xr:uid="{997669C0-7507-4177-90C3-5E9E1ACA2C47}">
      <formula1>$K$54:$K$58</formula1>
    </dataValidation>
    <dataValidation type="list" allowBlank="1" showInputMessage="1" showErrorMessage="1" sqref="H13:Q13" xr:uid="{18574B62-38DD-4931-BDCD-D52E18D78B6C}">
      <formula1>IF(M38="Salice",$L$38,$L$38:$L$42)</formula1>
    </dataValidation>
    <dataValidation type="list" allowBlank="1" showInputMessage="1" showErrorMessage="1" sqref="H15:Q15" xr:uid="{078F96A8-C23C-4F1C-8051-21F96B932048}">
      <formula1>$T$36:$T$44</formula1>
    </dataValidation>
    <dataValidation type="whole" operator="lessThan" showInputMessage="1" showErrorMessage="1" sqref="AI30:AK30" xr:uid="{0D8AF1BA-786B-4CC3-B71F-6F0C7256D5BC}">
      <formula1>IF(AR14&lt;AI43+1,AJ43+1,AI43+1)</formula1>
    </dataValidation>
    <dataValidation type="whole" operator="lessThan" showErrorMessage="1" sqref="AR14:AR18" xr:uid="{0B39577A-2525-4F90-B866-07B92911598D}">
      <formula1>IF(AI30&lt;AI43+1,AJ43+1,AI43+1)</formula1>
    </dataValidation>
    <dataValidation type="list" allowBlank="1" showInputMessage="1" showErrorMessage="1" sqref="P29:Q29" xr:uid="{C1EB85E4-ED7B-4FD6-B5A1-536EC80BD83F}">
      <formula1>$W$37:$W$38</formula1>
    </dataValidation>
    <dataValidation type="list" allowBlank="1" showInputMessage="1" showErrorMessage="1" sqref="H25:Q25" xr:uid="{747BCC24-3CB0-451B-94A5-C53C45BE2883}">
      <formula1>$AD$54:$AD$97</formula1>
    </dataValidation>
    <dataValidation type="list" allowBlank="1" showInputMessage="1" showErrorMessage="1" sqref="H17:Q17" xr:uid="{3021D0B4-48D2-4915-B9CF-E6DF85578058}">
      <formula1>$P$82:$P$90</formula1>
    </dataValidation>
    <dataValidation type="list" allowBlank="1" showInputMessage="1" showErrorMessage="1" sqref="F16:I16" xr:uid="{FC69B65A-4DAB-4D31-B865-0567886B9A33}">
      <formula1>$O$65:$O$84</formula1>
    </dataValidation>
    <dataValidation type="list" allowBlank="1" showInputMessage="1" showErrorMessage="1" sqref="H8:Q8" xr:uid="{A664A019-737E-44D0-A4A8-267AA100350B}">
      <formula1>B36:B101</formula1>
    </dataValidation>
  </dataValidations>
  <hyperlinks>
    <hyperlink ref="AP2:AS3" location="Hlavní!A1" display="Hlavní!A1" xr:uid="{135465CD-1DAA-4D22-A8B2-56775F15CE34}"/>
    <hyperlink ref="F5:H5" location="Ram_2!A1" display="Ram_2!A1" xr:uid="{F42431E3-EC70-4F3F-815B-442F4D41392E}"/>
    <hyperlink ref="N5:P5" location="Ram_4!A1" display="Ram_4!A1" xr:uid="{05956C96-D7BA-49A0-867A-78145F07B466}"/>
    <hyperlink ref="R5:T5" location="Ram_5!A1" display="Ram_5!A1" xr:uid="{75E81E59-B0F4-4E61-85F6-17F937B4B1A4}"/>
    <hyperlink ref="V5:X5" location="Ram_6!A1" display="Ram_6!A1" xr:uid="{A2CD81C6-7C50-41CE-A340-A32876A3E6A8}"/>
    <hyperlink ref="B5:D5" location="Ram_1!A1" display="Ram_1!A1" xr:uid="{9FDD8810-9F8A-42E6-8A04-F3139C87E55B}"/>
    <hyperlink ref="AO31:AR32" location="_souhrn!A1" display="_souhrn!A1" xr:uid="{FBAEF654-BC16-447A-BF52-EE6829276EAE}"/>
    <hyperlink ref="J5:L5" location="Ram_3!A1" display="Ram_3!A1" xr:uid="{FA65FF30-99ED-442D-9C07-7DCB53BDB0C3}"/>
  </hyperlinks>
  <pageMargins left="0.7" right="0.7" top="0.78740157499999996" bottom="0.78740157499999996" header="0.3" footer="0.3"/>
  <pageSetup paperSize="9" scale="58"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333829" r:id="rId3"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784473" r:id="rId4" name="Check Box 1113">
              <controlPr defaultSize="0" autoFill="0" autoLine="0" autoPict="0">
                <anchor moveWithCells="1">
                  <from>
                    <xdr:col>5</xdr:col>
                    <xdr:colOff>57150</xdr:colOff>
                    <xdr:row>6</xdr:row>
                    <xdr:rowOff>161925</xdr:rowOff>
                  </from>
                  <to>
                    <xdr:col>5</xdr:col>
                    <xdr:colOff>285750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81D35D1-8AAE-43C5-8E10-AC9F008B9D3E}">
          <x14:formula1>
            <xm:f>'závěsy dle výklopu'!$BW$2:$BW$5</xm:f>
          </x14:formula1>
          <xm:sqref>H27:Q27</xm:sqref>
        </x14:dataValidation>
        <x14:dataValidation type="list" allowBlank="1" showInputMessage="1" showErrorMessage="1" xr:uid="{9B9DA976-0508-4A81-B7BD-F471D43A6F87}">
          <x14:formula1>
            <xm:f>kombinace_1!$BY$13:$BY$15</xm:f>
          </x14:formula1>
          <xm:sqref>H9:Q9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923F9-76E1-41A9-A2FB-89D855C44CD0}">
  <sheetPr codeName="List18"/>
  <dimension ref="A1:FC758"/>
  <sheetViews>
    <sheetView topLeftCell="A16"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VLOOKUP(Ram_5!H8,kombinace_5!$A$3:$C$75,3,0)</f>
        <v>#N/A</v>
      </c>
      <c r="S1" t="e">
        <f>CONCATENATE("_",R1,V1)</f>
        <v>#N/A</v>
      </c>
      <c r="U1" s="173" t="s">
        <v>996</v>
      </c>
      <c r="V1" s="2">
        <f>IFERROR(VLOOKUP(Ram_5!H21,$EN$3:$EO$5,2,0),1)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CONCATENATE("_",Ram_5!H12,"_",Ram_5!H13)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IF(OR(Ram_5!$H$13&amp;Ram_5!$AU$7=Ram_5!$M$44,
Ram_5!$H$13&amp;Ram_5!$AU$7=Ram_5!$M$45,
Ram_5!$H$13&amp;Ram_5!$AU$7=Ram_5!$M$46,
Ram_5!$H$13&amp;Ram_5!$AU$7=Ram_5!$M$47),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IF(OR(Ram_5!$H$13&amp;Ram_5!$AU$7=Ram_5!$M$44,
Ram_5!$H$13&amp;Ram_5!$AU$7=Ram_5!$M$45,
Ram_5!$H$13&amp;Ram_5!$AU$7=Ram_5!$M$46,
Ram_5!$H$13&amp;Ram_5!$AU$7=Ram_5!$M$47),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IF(Ram_5!H25="",'Translate&amp;Prices&amp;Logo'!B642,"")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IF(Ram_5!$H$9=kombinace_5!M10,1,0)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IF(Ram_5!$H$9=kombinace_5!M11,2,0)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IF(Ram_5!$H$9=kombinace_5!M12,3,0)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IF(Ram_5!AU7=2,"FREEspace","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D36" t="s">
        <v>1620</v>
      </c>
      <c r="EE36" t="s">
        <v>1776</v>
      </c>
      <c r="ER36" t="s">
        <v>2172</v>
      </c>
      <c r="ES36" t="s">
        <v>2172</v>
      </c>
    </row>
    <row r="37" spans="1:149">
      <c r="A37" t="str">
        <f>'Translate&amp;Prices&amp;Logo'!$B$67</f>
        <v>Rimini černý mat - max délka profilu 1100 mm</v>
      </c>
      <c r="B37">
        <v>1</v>
      </c>
      <c r="C37" t="s">
        <v>651</v>
      </c>
      <c r="D37">
        <v>0</v>
      </c>
      <c r="BY37" t="s">
        <v>1332</v>
      </c>
      <c r="ED37" t="s">
        <v>1621</v>
      </c>
      <c r="EE37" t="s">
        <v>1777</v>
      </c>
      <c r="ER37" t="s">
        <v>2215</v>
      </c>
      <c r="ES37" t="s">
        <v>2209</v>
      </c>
    </row>
    <row r="38" spans="1:149">
      <c r="A38" t="str">
        <f>'Translate&amp;Prices&amp;Logo'!$B$68</f>
        <v>Rimini champagne - max délka profilu 1100 mm</v>
      </c>
      <c r="B38">
        <v>1</v>
      </c>
      <c r="C38" t="s">
        <v>651</v>
      </c>
      <c r="D38">
        <v>0</v>
      </c>
      <c r="ED38" t="s">
        <v>1622</v>
      </c>
      <c r="EE38" t="s">
        <v>1778</v>
      </c>
      <c r="ER38" t="s">
        <v>2216</v>
      </c>
      <c r="ES38" t="s">
        <v>2210</v>
      </c>
    </row>
    <row r="39" spans="1:149">
      <c r="A39" t="str">
        <f>'Translate&amp;Prices&amp;Logo'!$B$69</f>
        <v>Rimini zlatá - max délka profilu 1100 mm</v>
      </c>
      <c r="B39">
        <v>1</v>
      </c>
      <c r="C39" t="s">
        <v>651</v>
      </c>
      <c r="D39">
        <v>0</v>
      </c>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764D7293-8A69-4072-92F4-7194C677DE3E}">
            <xm:f>OR(Ram_1!$AU$10=1,Ram_1!$AU$10=3)</xm:f>
            <x14:dxf>
              <fill>
                <patternFill patternType="darkDown"/>
              </fill>
            </x14:dxf>
          </x14:cfRule>
          <xm:sqref>CH13</xm:sqref>
        </x14:conditionalFormatting>
        <x14:conditionalFormatting xmlns:xm="http://schemas.microsoft.com/office/excel/2006/main">
          <x14:cfRule type="expression" priority="2" id="{9611114B-E10F-4A4A-B255-BF2A74461F73}">
            <xm:f>OR(Ram_1!$AU$10=2,Ram_1!$AU$10=3)</xm:f>
            <x14:dxf>
              <fill>
                <patternFill patternType="darkDown"/>
              </fill>
            </x14:dxf>
          </x14:cfRule>
          <xm:sqref>CH14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97158-4DA5-4537-A8FA-FB5FEB1ACBFD}">
  <sheetPr codeName="List19">
    <tabColor rgb="FF00B0F0"/>
    <pageSetUpPr fitToPage="1"/>
  </sheetPr>
  <dimension ref="A1:BM150"/>
  <sheetViews>
    <sheetView showGridLines="0" showRowColHeaders="0" showZeros="0" tabSelected="1" workbookViewId="0">
      <selection activeCell="H8" sqref="H8:Q8"/>
    </sheetView>
  </sheetViews>
  <sheetFormatPr defaultColWidth="0" defaultRowHeight="14.45" customHeight="1" zeroHeight="1"/>
  <cols>
    <col min="1" max="1" width="3.42578125" style="140" customWidth="1"/>
    <col min="2" max="2" width="5.5703125" style="140" customWidth="1"/>
    <col min="3" max="3" width="5.5703125" style="112" customWidth="1"/>
    <col min="4" max="4" width="14.7109375" style="112" customWidth="1"/>
    <col min="5" max="5" width="5.42578125" style="112" customWidth="1"/>
    <col min="6" max="6" width="8.7109375" style="112" customWidth="1"/>
    <col min="7" max="7" width="5.5703125" style="112" customWidth="1"/>
    <col min="8" max="8" width="6" style="112" customWidth="1"/>
    <col min="9" max="12" width="6.28515625" style="112" customWidth="1"/>
    <col min="13" max="13" width="7.7109375" style="112" customWidth="1"/>
    <col min="14" max="16" width="6.140625" style="112" customWidth="1"/>
    <col min="17" max="17" width="6.28515625" style="112" customWidth="1"/>
    <col min="18" max="25" width="5.5703125" style="112" customWidth="1"/>
    <col min="26" max="26" width="5.42578125" style="112" customWidth="1"/>
    <col min="27" max="27" width="3.5703125" style="112" customWidth="1"/>
    <col min="28" max="28" width="4.5703125" style="112" customWidth="1"/>
    <col min="29" max="29" width="3.42578125" style="112" customWidth="1"/>
    <col min="30" max="30" width="5.42578125" style="141" customWidth="1"/>
    <col min="31" max="31" width="5.42578125" style="140" customWidth="1"/>
    <col min="32" max="32" width="16" style="112" customWidth="1"/>
    <col min="33" max="33" width="5.42578125" style="112" customWidth="1"/>
    <col min="34" max="34" width="4.140625" style="112" customWidth="1"/>
    <col min="35" max="36" width="5.42578125" style="112" customWidth="1"/>
    <col min="37" max="37" width="3.42578125" style="112" customWidth="1"/>
    <col min="38" max="38" width="5.42578125" style="112" customWidth="1"/>
    <col min="39" max="39" width="3.42578125" style="112" customWidth="1"/>
    <col min="40" max="40" width="5.42578125" style="112" customWidth="1"/>
    <col min="41" max="41" width="2.5703125" style="112" customWidth="1"/>
    <col min="42" max="42" width="3.5703125" style="112" customWidth="1"/>
    <col min="43" max="43" width="5.42578125" style="112" customWidth="1"/>
    <col min="44" max="44" width="6.140625" style="112" customWidth="1"/>
    <col min="45" max="45" width="25.28515625" style="112" customWidth="1"/>
    <col min="46" max="46" width="14.140625" style="112" hidden="1" customWidth="1"/>
    <col min="47" max="48" width="14.140625" style="138" hidden="1" customWidth="1"/>
    <col min="49" max="49" width="33.42578125" style="112" hidden="1" customWidth="1"/>
    <col min="50" max="55" width="14.140625" style="112" hidden="1" customWidth="1"/>
    <col min="56" max="16384" width="9.140625" style="112" hidden="1"/>
  </cols>
  <sheetData>
    <row r="1" spans="1:65" ht="8.85" customHeight="1">
      <c r="A1" s="105"/>
      <c r="B1" s="104"/>
      <c r="C1" s="59"/>
      <c r="D1" s="59"/>
      <c r="E1" s="59"/>
      <c r="F1" s="59"/>
      <c r="G1" s="59"/>
      <c r="H1" s="59"/>
      <c r="I1" s="59"/>
      <c r="J1" s="59"/>
      <c r="K1" s="59"/>
      <c r="L1" s="59"/>
      <c r="M1" s="59"/>
      <c r="N1" s="59"/>
      <c r="O1" s="59"/>
      <c r="P1" s="59"/>
      <c r="Q1" s="59"/>
      <c r="R1" s="59"/>
      <c r="S1" s="59"/>
      <c r="T1" s="59"/>
      <c r="U1" s="59"/>
      <c r="V1" s="9"/>
      <c r="W1" s="9"/>
      <c r="X1" s="9"/>
      <c r="Y1" s="9"/>
      <c r="Z1" s="9"/>
      <c r="AA1" s="9"/>
      <c r="AB1" s="9"/>
      <c r="AC1" s="9"/>
      <c r="AD1" s="60"/>
      <c r="AE1" s="61"/>
      <c r="AF1" s="9"/>
      <c r="AG1" s="9"/>
      <c r="AH1" s="9"/>
      <c r="AI1" s="9"/>
      <c r="AJ1" s="9"/>
      <c r="AK1" s="9"/>
      <c r="AL1" s="9"/>
      <c r="AM1" s="9"/>
      <c r="AN1" s="9"/>
      <c r="AO1" s="9"/>
      <c r="AP1" s="9"/>
      <c r="AQ1" s="9"/>
      <c r="AR1" s="9"/>
      <c r="AS1" s="9"/>
    </row>
    <row r="2" spans="1:65" ht="11.85" customHeight="1">
      <c r="A2" s="566" t="str">
        <f>'Translate&amp;Prices&amp;Logo'!$B$171&amp;" "&amp;" "&amp;6</f>
        <v>Rámeček  6</v>
      </c>
      <c r="B2" s="566"/>
      <c r="C2" s="566"/>
      <c r="D2" s="566"/>
      <c r="E2" s="566"/>
      <c r="F2" s="566"/>
      <c r="G2" s="566"/>
      <c r="H2" s="566"/>
      <c r="I2" s="566"/>
      <c r="J2" s="566"/>
      <c r="K2" s="566"/>
      <c r="L2" s="566"/>
      <c r="M2" s="566"/>
      <c r="N2" s="566"/>
      <c r="O2" s="566"/>
      <c r="P2" s="566"/>
      <c r="Q2" s="566"/>
      <c r="R2" s="566"/>
      <c r="S2" s="566"/>
      <c r="T2" s="566"/>
      <c r="U2" s="566"/>
      <c r="V2" s="566"/>
      <c r="W2" s="566"/>
      <c r="X2" s="566"/>
      <c r="Y2" s="566"/>
      <c r="Z2" s="566"/>
      <c r="AA2" s="566"/>
      <c r="AB2" s="566"/>
      <c r="AC2" s="566"/>
      <c r="AD2" s="566"/>
      <c r="AE2" s="566"/>
      <c r="AF2" s="566"/>
      <c r="AG2" s="566"/>
      <c r="AH2" s="566"/>
      <c r="AI2" s="566"/>
      <c r="AJ2" s="566"/>
      <c r="AK2" s="213"/>
      <c r="AL2" s="213"/>
      <c r="AM2" s="213"/>
      <c r="AN2" s="213"/>
      <c r="AO2" s="213"/>
      <c r="AP2" s="580" t="str">
        <f>'Translate&amp;Prices&amp;Logo'!$B$542</f>
        <v>Úvod</v>
      </c>
      <c r="AQ2" s="581"/>
      <c r="AR2" s="581"/>
      <c r="AS2" s="581"/>
      <c r="AW2" s="112" t="e">
        <f>VLOOKUP(H8,'Translate&amp;Prices&amp;Logo'!B79:D84,3,0)</f>
        <v>#N/A</v>
      </c>
      <c r="AX2" s="139" t="e">
        <f>VLOOKUP(AW2,'Translate&amp;Prices&amp;Logo'!B6:D60,2,0)</f>
        <v>#N/A</v>
      </c>
      <c r="AY2" s="140" t="e">
        <f>((AR14/1000)*2)*AT8</f>
        <v>#N/A</v>
      </c>
      <c r="AZ2" s="141" t="e">
        <f>((AI30/1000)*2)*AX2</f>
        <v>#N/A</v>
      </c>
      <c r="BA2" s="141" t="e">
        <f>AY2+AZ2</f>
        <v>#N/A</v>
      </c>
      <c r="BB2" s="139"/>
      <c r="BC2" s="139"/>
      <c r="BD2" s="139"/>
      <c r="BE2" s="139"/>
      <c r="BF2" s="139"/>
      <c r="BG2" s="139"/>
      <c r="BH2" s="140"/>
      <c r="BI2" s="140"/>
      <c r="BJ2" s="140"/>
      <c r="BK2" s="140"/>
      <c r="BL2" s="140"/>
      <c r="BM2" s="140"/>
    </row>
    <row r="3" spans="1:65" ht="11.85" customHeight="1">
      <c r="A3" s="566"/>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213"/>
      <c r="AL3" s="213"/>
      <c r="AM3" s="213"/>
      <c r="AN3" s="213"/>
      <c r="AO3" s="213"/>
      <c r="AP3" s="580"/>
      <c r="AQ3" s="581"/>
      <c r="AR3" s="581"/>
      <c r="AS3" s="581"/>
      <c r="AX3" s="139" t="e">
        <f>VLOOKUP(AW2,'Translate&amp;Prices&amp;Logo'!B6:D60,3,0)</f>
        <v>#N/A</v>
      </c>
      <c r="AY3" s="140" t="e">
        <f>AT9+AX3</f>
        <v>#N/A</v>
      </c>
      <c r="AZ3" s="141"/>
      <c r="BA3" s="140"/>
      <c r="BB3" s="139"/>
      <c r="BC3" s="139"/>
      <c r="BD3" s="579">
        <f>(AI30/1000)*H11</f>
        <v>0</v>
      </c>
      <c r="BE3" s="579"/>
      <c r="BF3" s="579"/>
      <c r="BG3" s="579"/>
      <c r="BH3" s="579"/>
      <c r="BI3" s="579">
        <f>(AR14/1000)*M11</f>
        <v>0</v>
      </c>
      <c r="BJ3" s="579"/>
      <c r="BK3" s="579"/>
      <c r="BL3" s="579"/>
      <c r="BM3" s="579"/>
    </row>
    <row r="4" spans="1:65" s="144" customFormat="1" ht="6.6" customHeight="1">
      <c r="A4" s="100"/>
      <c r="B4" s="100"/>
      <c r="C4" s="101"/>
      <c r="D4" s="101"/>
      <c r="E4" s="101"/>
      <c r="F4" s="101"/>
      <c r="G4" s="101"/>
      <c r="H4" s="101"/>
      <c r="I4" s="101"/>
      <c r="J4" s="9"/>
      <c r="K4" s="9"/>
      <c r="L4" s="9"/>
      <c r="M4" s="9"/>
      <c r="N4" s="9"/>
      <c r="O4" s="9"/>
      <c r="P4" s="102"/>
      <c r="Q4" s="102"/>
      <c r="R4" s="102"/>
      <c r="S4" s="102"/>
      <c r="T4" s="102"/>
      <c r="U4" s="102"/>
      <c r="V4" s="102"/>
      <c r="W4" s="102"/>
      <c r="X4" s="102"/>
      <c r="Y4" s="102"/>
      <c r="Z4" s="102"/>
      <c r="AA4" s="102"/>
      <c r="AB4" s="572" t="str">
        <f>IFERROR(IF(kombinace_6!FC2=TRUE,'Translate&amp;Prices&amp;Logo'!B656,IF(VLOOKUP(H8,kombinace_6!$A:$E,5,0)=3,'Translate&amp;Prices&amp;Logo'!B644,
IF(OR(H8='Translate&amp;Prices&amp;Logo'!B66,H8='Translate&amp;Prices&amp;Logo'!B67,H8='Translate&amp;Prices&amp;Logo'!B68,H8='Translate&amp;Prices&amp;Logo'!B69,H8='Translate&amp;Prices&amp;Logo'!B70),'Translate&amp;Prices&amp;Logo'!B657,""))), "")</f>
        <v/>
      </c>
      <c r="AC4" s="572"/>
      <c r="AD4" s="572"/>
      <c r="AE4" s="572"/>
      <c r="AF4" s="572"/>
      <c r="AG4" s="572"/>
      <c r="AH4" s="572"/>
      <c r="AI4" s="572"/>
      <c r="AJ4" s="572"/>
      <c r="AK4" s="572"/>
      <c r="AL4" s="572"/>
      <c r="AM4" s="572"/>
      <c r="AN4" s="572"/>
      <c r="AO4" s="9"/>
      <c r="AP4" s="9"/>
      <c r="AQ4" s="9"/>
      <c r="AR4" s="9"/>
      <c r="AS4" s="105"/>
      <c r="AT4" s="142"/>
      <c r="AU4" s="143"/>
      <c r="AV4" s="143"/>
    </row>
    <row r="5" spans="1:65" ht="34.5" customHeight="1" thickBot="1">
      <c r="A5" s="9"/>
      <c r="B5" s="540" t="str">
        <f>'Translate&amp;Prices&amp;Logo'!$B$171&amp;" "&amp;" "&amp;1</f>
        <v>Rámeček  1</v>
      </c>
      <c r="C5" s="540"/>
      <c r="D5" s="540"/>
      <c r="E5" s="106"/>
      <c r="F5" s="540" t="str">
        <f>'Translate&amp;Prices&amp;Logo'!$B$171&amp;" "&amp;" "&amp;2</f>
        <v>Rámeček  2</v>
      </c>
      <c r="G5" s="540"/>
      <c r="H5" s="540"/>
      <c r="I5" s="9"/>
      <c r="J5" s="540" t="str">
        <f>'Translate&amp;Prices&amp;Logo'!$B$171&amp;" "&amp;" "&amp;3</f>
        <v>Rámeček  3</v>
      </c>
      <c r="K5" s="540"/>
      <c r="L5" s="540"/>
      <c r="M5" s="9"/>
      <c r="N5" s="540" t="str">
        <f>'Translate&amp;Prices&amp;Logo'!$B$171&amp;" "&amp;" "&amp;4</f>
        <v>Rámeček  4</v>
      </c>
      <c r="O5" s="540"/>
      <c r="P5" s="540"/>
      <c r="Q5" s="9"/>
      <c r="R5" s="540" t="str">
        <f>'Translate&amp;Prices&amp;Logo'!$B$171&amp;" "&amp;" "&amp;5</f>
        <v>Rámeček  5</v>
      </c>
      <c r="S5" s="540"/>
      <c r="T5" s="540"/>
      <c r="U5" s="9"/>
      <c r="V5" s="571" t="str">
        <f>'Translate&amp;Prices&amp;Logo'!$B$171&amp;" "&amp;" "&amp;6</f>
        <v>Rámeček  6</v>
      </c>
      <c r="W5" s="571"/>
      <c r="X5" s="571"/>
      <c r="Y5" s="9"/>
      <c r="Z5" s="9"/>
      <c r="AA5" s="9"/>
      <c r="AB5" s="573"/>
      <c r="AC5" s="573"/>
      <c r="AD5" s="573"/>
      <c r="AE5" s="573"/>
      <c r="AF5" s="573"/>
      <c r="AG5" s="573"/>
      <c r="AH5" s="573"/>
      <c r="AI5" s="573"/>
      <c r="AJ5" s="573"/>
      <c r="AK5" s="573"/>
      <c r="AL5" s="573"/>
      <c r="AM5" s="573"/>
      <c r="AN5" s="573"/>
      <c r="AO5" s="9"/>
      <c r="AP5" s="9"/>
      <c r="AQ5" s="9"/>
      <c r="AR5" s="9"/>
      <c r="AS5" s="459"/>
      <c r="AT5" s="145"/>
    </row>
    <row r="6" spans="1:65" ht="17.100000000000001" customHeight="1" thickTop="1" thickBot="1">
      <c r="A6" s="9"/>
      <c r="B6" s="9"/>
      <c r="C6" s="9"/>
      <c r="D6" s="9"/>
      <c r="E6" s="9"/>
      <c r="F6" s="9"/>
      <c r="G6" s="9"/>
      <c r="H6" s="9"/>
      <c r="I6" s="9"/>
      <c r="J6" s="9"/>
      <c r="K6" s="9"/>
      <c r="L6" s="9"/>
      <c r="M6" s="9"/>
      <c r="N6" s="9"/>
      <c r="O6" s="9"/>
      <c r="P6" s="9"/>
      <c r="Q6" s="9"/>
      <c r="R6" s="9"/>
      <c r="S6" s="9"/>
      <c r="T6" s="9"/>
      <c r="U6" s="9"/>
      <c r="V6" s="9"/>
      <c r="W6" s="9"/>
      <c r="X6" s="9"/>
      <c r="Y6" s="9"/>
      <c r="Z6" s="80"/>
      <c r="AA6" s="62"/>
      <c r="AB6" s="63"/>
      <c r="AC6" s="64"/>
      <c r="AD6" s="64"/>
      <c r="AE6" s="63"/>
      <c r="AF6" s="63"/>
      <c r="AG6" s="63"/>
      <c r="AH6" s="63"/>
      <c r="AI6" s="65"/>
      <c r="AJ6" s="66"/>
      <c r="AK6" s="63"/>
      <c r="AL6" s="63"/>
      <c r="AM6" s="64"/>
      <c r="AN6" s="64"/>
      <c r="AO6" s="63"/>
      <c r="AP6" s="67"/>
      <c r="AQ6" s="79"/>
      <c r="AR6" s="9"/>
      <c r="AS6" s="145"/>
      <c r="AT6" s="145"/>
    </row>
    <row r="7" spans="1:65" ht="14.85" customHeight="1">
      <c r="A7" s="9"/>
      <c r="B7" s="574" t="str">
        <f>'Translate&amp;Prices&amp;Logo'!$B$544</f>
        <v>Kombinace 2 profilů</v>
      </c>
      <c r="C7" s="575"/>
      <c r="D7" s="575"/>
      <c r="E7" s="575"/>
      <c r="F7" s="575"/>
      <c r="G7" s="521" t="str">
        <f>IF(kombinace_6!FC2=TRUE,AB4,"")</f>
        <v/>
      </c>
      <c r="H7" s="521"/>
      <c r="I7" s="521"/>
      <c r="J7" s="521"/>
      <c r="K7" s="521"/>
      <c r="L7" s="521"/>
      <c r="M7" s="521"/>
      <c r="N7" s="521"/>
      <c r="O7" s="521"/>
      <c r="P7" s="521"/>
      <c r="Q7" s="522"/>
      <c r="R7" s="224"/>
      <c r="S7" s="506" t="str">
        <f>'Translate&amp;Prices&amp;Logo'!$B$574</f>
        <v>Upozornění:</v>
      </c>
      <c r="T7" s="506"/>
      <c r="U7" s="506"/>
      <c r="V7" s="9"/>
      <c r="W7" s="9"/>
      <c r="X7" s="9"/>
      <c r="Y7" s="9"/>
      <c r="Z7" s="80"/>
      <c r="AA7" s="68"/>
      <c r="AB7" s="69"/>
      <c r="AC7" s="70"/>
      <c r="AD7" s="70"/>
      <c r="AE7" s="70"/>
      <c r="AF7" s="70"/>
      <c r="AG7" s="71"/>
      <c r="AH7" s="71"/>
      <c r="AI7" s="72"/>
      <c r="AJ7" s="533">
        <v>0</v>
      </c>
      <c r="AK7" s="70"/>
      <c r="AL7" s="70"/>
      <c r="AM7" s="70"/>
      <c r="AN7" s="70"/>
      <c r="AO7" s="73"/>
      <c r="AP7" s="74"/>
      <c r="AQ7" s="307"/>
      <c r="AR7" s="9"/>
      <c r="AS7" s="9"/>
      <c r="AT7" s="139"/>
      <c r="AU7" s="146" t="e">
        <f>VLOOKUP(H8,kombinace_6!$A3:$B100,2,0)</f>
        <v>#N/A</v>
      </c>
      <c r="AV7" s="140" t="e">
        <f>IF(AU7=2,"Široký",IF(AU7=1,"Úzký",IF(AU7=3,"kombo")))</f>
        <v>#N/A</v>
      </c>
    </row>
    <row r="8" spans="1:65" ht="45.6" customHeight="1">
      <c r="A8" s="61"/>
      <c r="B8" s="216" t="str">
        <f>'Translate&amp;Prices&amp;Logo'!$B$655</f>
        <v>Výplň rámečku síťka</v>
      </c>
      <c r="C8" s="217"/>
      <c r="D8" s="217"/>
      <c r="E8" s="218" t="str">
        <f>'Translate&amp;Prices&amp;Logo'!$B$174</f>
        <v>Typ profilu</v>
      </c>
      <c r="F8" s="218"/>
      <c r="G8" s="223"/>
      <c r="H8" s="576"/>
      <c r="I8" s="576"/>
      <c r="J8" s="576"/>
      <c r="K8" s="576"/>
      <c r="L8" s="576"/>
      <c r="M8" s="576"/>
      <c r="N8" s="576"/>
      <c r="O8" s="576"/>
      <c r="P8" s="576"/>
      <c r="Q8" s="577"/>
      <c r="R8" s="225"/>
      <c r="S8" s="559" t="str">
        <f>IF(AU10&gt;0,'Translate&amp;Prices&amp;Logo'!B305,IF(OR(H8=kombinace_6!A64,H8=kombinace_6!A63),'Translate&amp;Prices&amp;Logo'!B582,IF(OR(H8='Translate&amp;Prices&amp;Logo'!B66,H8='Translate&amp;Prices&amp;Logo'!B67,H8='Translate&amp;Prices&amp;Logo'!B68,H8='Translate&amp;Prices&amp;Logo'!B69,H8='Translate&amp;Prices&amp;Logo'!B70),'Translate&amp;Prices&amp;Logo'!B676,"")))</f>
        <v/>
      </c>
      <c r="T8" s="560"/>
      <c r="U8" s="560"/>
      <c r="V8" s="560"/>
      <c r="W8" s="560"/>
      <c r="X8" s="560"/>
      <c r="Y8" s="561"/>
      <c r="Z8" s="80"/>
      <c r="AA8" s="76"/>
      <c r="AB8" s="9"/>
      <c r="AC8" s="488" t="str">
        <f>'Translate&amp;Prices&amp;Logo'!$B$244</f>
        <v>Vzdálenost od levého okraje</v>
      </c>
      <c r="AD8" s="488"/>
      <c r="AE8" s="488"/>
      <c r="AF8" s="488"/>
      <c r="AG8" s="488"/>
      <c r="AH8" s="9"/>
      <c r="AI8" s="60"/>
      <c r="AJ8" s="533"/>
      <c r="AK8" s="9"/>
      <c r="AL8" s="9"/>
      <c r="AM8" s="9"/>
      <c r="AN8" s="9"/>
      <c r="AO8" s="9"/>
      <c r="AP8" s="76"/>
      <c r="AQ8" s="307"/>
      <c r="AR8" s="9"/>
      <c r="AS8" s="9"/>
      <c r="AT8" s="139" t="e">
        <f>VLOOKUP(VLOOKUP(H8,'Translate&amp;Prices&amp;Logo'!B79:C84,2,0),'Translate&amp;Prices&amp;Logo'!B6:C60,2,0)</f>
        <v>#N/A</v>
      </c>
      <c r="AU8" s="140"/>
      <c r="AV8" s="140"/>
    </row>
    <row r="9" spans="1:65" ht="15.6" customHeight="1">
      <c r="A9" s="61"/>
      <c r="B9" s="489">
        <f>IFERROR(IF(AND(VLOOKUP(H8,kombinace_6!$A:$D,4,0)=1,kombinace_6!FC2=FALSE),'Translate&amp;Prices&amp;Logo'!$B$545,0),0)</f>
        <v>0</v>
      </c>
      <c r="C9" s="490"/>
      <c r="D9" s="490"/>
      <c r="E9" s="490"/>
      <c r="F9" s="490"/>
      <c r="G9" s="98"/>
      <c r="H9" s="491"/>
      <c r="I9" s="491"/>
      <c r="J9" s="491"/>
      <c r="K9" s="491"/>
      <c r="L9" s="491"/>
      <c r="M9" s="491"/>
      <c r="N9" s="491"/>
      <c r="O9" s="491"/>
      <c r="P9" s="491"/>
      <c r="Q9" s="492"/>
      <c r="R9" s="9"/>
      <c r="S9" s="553"/>
      <c r="T9" s="554"/>
      <c r="U9" s="554"/>
      <c r="V9" s="554"/>
      <c r="W9" s="554"/>
      <c r="X9" s="554"/>
      <c r="Y9" s="555"/>
      <c r="Z9" s="80"/>
      <c r="AA9" s="77"/>
      <c r="AB9" s="9"/>
      <c r="AC9" s="551">
        <v>0</v>
      </c>
      <c r="AD9" s="551"/>
      <c r="AE9" s="75"/>
      <c r="AF9" s="535" t="str">
        <f>('Translate&amp;Prices&amp;Logo'!$B$550)&amp;" "&amp;H26&amp;" "&amp;"mm"</f>
        <v>Rozteč  mm</v>
      </c>
      <c r="AG9" s="535"/>
      <c r="AH9" s="535"/>
      <c r="AI9" s="535"/>
      <c r="AJ9" s="535"/>
      <c r="AK9" s="535"/>
      <c r="AL9" s="9"/>
      <c r="AM9" s="9"/>
      <c r="AN9" s="9"/>
      <c r="AO9" s="9"/>
      <c r="AP9" s="77"/>
      <c r="AQ9" s="307"/>
      <c r="AR9" s="9"/>
      <c r="AS9" s="9"/>
      <c r="AT9" s="139" t="e">
        <f>VLOOKUP(VLOOKUP(H8,'Translate&amp;Prices&amp;Logo'!B79:C84,2,0),'Translate&amp;Prices&amp;Logo'!B6:D60,3,0)</f>
        <v>#N/A</v>
      </c>
      <c r="AU9" s="146" t="str">
        <f>IFERROR((VLOOKUP(H12,kombinace_6!$DP$2:$DQ$3,2,0)),"")</f>
        <v/>
      </c>
      <c r="AV9" s="140"/>
    </row>
    <row r="10" spans="1:65" ht="18" customHeight="1">
      <c r="A10" s="61"/>
      <c r="B10" s="107"/>
      <c r="C10" s="99"/>
      <c r="D10" s="99"/>
      <c r="E10" s="99"/>
      <c r="F10" s="99"/>
      <c r="G10" s="99"/>
      <c r="H10" s="567"/>
      <c r="I10" s="567"/>
      <c r="J10" s="567"/>
      <c r="K10" s="567"/>
      <c r="L10" s="570"/>
      <c r="M10" s="567"/>
      <c r="N10" s="567"/>
      <c r="O10" s="567"/>
      <c r="P10" s="567"/>
      <c r="Q10" s="568"/>
      <c r="R10" s="61"/>
      <c r="S10" s="553">
        <f>IF(AU10&gt;0,'Translate&amp;Prices&amp;Logo'!B573,0)</f>
        <v>0</v>
      </c>
      <c r="T10" s="554"/>
      <c r="U10" s="554"/>
      <c r="V10" s="554"/>
      <c r="W10" s="554"/>
      <c r="X10" s="554"/>
      <c r="Y10" s="555"/>
      <c r="Z10" s="80"/>
      <c r="AA10" s="77"/>
      <c r="AB10" s="9"/>
      <c r="AC10" s="9"/>
      <c r="AF10" s="9"/>
      <c r="AG10" s="9"/>
      <c r="AH10" s="9"/>
      <c r="AI10" s="60"/>
      <c r="AJ10" s="61"/>
      <c r="AK10" s="9"/>
      <c r="AL10" s="9"/>
      <c r="AM10" s="9"/>
      <c r="AN10" s="9"/>
      <c r="AO10" s="9"/>
      <c r="AP10" s="77"/>
      <c r="AQ10" s="307"/>
      <c r="AR10" s="9"/>
      <c r="AS10" s="9"/>
      <c r="AT10" s="139" t="s">
        <v>1196</v>
      </c>
      <c r="AU10" s="140">
        <f>IFERROR(VLOOKUP(H9,kombinace_6!$BY$13:$BZ$15,2,0),0)</f>
        <v>0</v>
      </c>
      <c r="AV10" s="140"/>
    </row>
    <row r="11" spans="1:65" ht="18" customHeight="1">
      <c r="A11" s="61"/>
      <c r="B11" s="548" t="str">
        <f>('Translate&amp;Prices&amp;Logo'!$B$545)&amp;" "&amp;"("&amp;'Translate&amp;Prices&amp;Logo'!$B$176&amp;")"</f>
        <v>Dělící lišty (Počet kusů)</v>
      </c>
      <c r="C11" s="549"/>
      <c r="D11" s="549"/>
      <c r="E11" s="549"/>
      <c r="F11" s="549"/>
      <c r="G11" s="98"/>
      <c r="H11" s="536"/>
      <c r="I11" s="536"/>
      <c r="J11" s="536"/>
      <c r="K11" s="536"/>
      <c r="L11" s="569"/>
      <c r="M11" s="536"/>
      <c r="N11" s="536"/>
      <c r="O11" s="536"/>
      <c r="P11" s="536"/>
      <c r="Q11" s="537"/>
      <c r="R11" s="61"/>
      <c r="S11" s="553"/>
      <c r="T11" s="554"/>
      <c r="U11" s="554"/>
      <c r="V11" s="554"/>
      <c r="W11" s="554"/>
      <c r="X11" s="554"/>
      <c r="Y11" s="555"/>
      <c r="Z11" s="80"/>
      <c r="AA11" s="78"/>
      <c r="AB11" s="79"/>
      <c r="AC11" s="9"/>
      <c r="AF11" s="9"/>
      <c r="AG11" s="9"/>
      <c r="AH11" s="9"/>
      <c r="AI11" s="60"/>
      <c r="AJ11" s="61"/>
      <c r="AK11" s="9"/>
      <c r="AL11" s="9"/>
      <c r="AM11" s="9"/>
      <c r="AN11" s="9"/>
      <c r="AO11" s="80"/>
      <c r="AP11" s="74"/>
      <c r="AQ11" s="307"/>
      <c r="AR11" s="9"/>
      <c r="AS11" s="9"/>
      <c r="AT11" s="146">
        <f>IFERROR(IF(kombinace_6!$H$1=TRUE,BA2+AY3,0),0)</f>
        <v>0</v>
      </c>
      <c r="AU11" s="146"/>
      <c r="AV11" s="140"/>
    </row>
    <row r="12" spans="1:65" ht="18" customHeight="1">
      <c r="A12" s="61"/>
      <c r="B12" s="489" t="str">
        <f>'Translate&amp;Prices&amp;Logo'!$B$260</f>
        <v>Typ kování</v>
      </c>
      <c r="C12" s="490"/>
      <c r="D12" s="490"/>
      <c r="E12" s="490"/>
      <c r="F12" s="490"/>
      <c r="G12" s="98"/>
      <c r="H12" s="491"/>
      <c r="I12" s="491"/>
      <c r="J12" s="491"/>
      <c r="K12" s="491"/>
      <c r="L12" s="491"/>
      <c r="M12" s="491"/>
      <c r="N12" s="491"/>
      <c r="O12" s="491"/>
      <c r="P12" s="491"/>
      <c r="Q12" s="492"/>
      <c r="R12" s="61"/>
      <c r="S12" s="553"/>
      <c r="T12" s="554"/>
      <c r="U12" s="554"/>
      <c r="V12" s="554"/>
      <c r="W12" s="554"/>
      <c r="X12" s="554"/>
      <c r="Y12" s="555"/>
      <c r="Z12" s="80"/>
      <c r="AA12" s="78"/>
      <c r="AB12" s="79"/>
      <c r="AC12" s="9"/>
      <c r="AF12" s="9"/>
      <c r="AG12" s="9"/>
      <c r="AH12" s="9"/>
      <c r="AI12" s="60"/>
      <c r="AJ12" s="61"/>
      <c r="AK12" s="9"/>
      <c r="AL12" s="9"/>
      <c r="AM12" s="9"/>
      <c r="AN12" s="9"/>
      <c r="AO12" s="80"/>
      <c r="AP12" s="74"/>
      <c r="AQ12" s="307"/>
      <c r="AR12" s="9"/>
      <c r="AS12" s="9"/>
      <c r="AT12" s="140"/>
      <c r="AU12" s="140"/>
      <c r="AV12" s="140"/>
    </row>
    <row r="13" spans="1:65" ht="18" customHeight="1" thickBot="1">
      <c r="A13" s="61"/>
      <c r="B13" s="489" t="str">
        <f>'Translate&amp;Prices&amp;Logo'!$B$546</f>
        <v>Značka kování</v>
      </c>
      <c r="C13" s="490"/>
      <c r="D13" s="490"/>
      <c r="E13" s="490"/>
      <c r="F13" s="490"/>
      <c r="G13" s="98"/>
      <c r="H13" s="491"/>
      <c r="I13" s="491"/>
      <c r="J13" s="491"/>
      <c r="K13" s="491"/>
      <c r="L13" s="491"/>
      <c r="M13" s="491"/>
      <c r="N13" s="491"/>
      <c r="O13" s="491"/>
      <c r="P13" s="491"/>
      <c r="Q13" s="492"/>
      <c r="R13" s="61"/>
      <c r="S13" s="553">
        <f>IF(H13="Salice"," ",IF(H19&gt;=2,'Translate&amp;Prices&amp;Logo'!B577,0))</f>
        <v>0</v>
      </c>
      <c r="T13" s="554"/>
      <c r="U13" s="554"/>
      <c r="V13" s="554"/>
      <c r="W13" s="554"/>
      <c r="X13" s="554"/>
      <c r="Y13" s="555"/>
      <c r="Z13" s="80"/>
      <c r="AA13" s="78"/>
      <c r="AB13" s="79"/>
      <c r="AC13" s="9"/>
      <c r="AD13" s="75"/>
      <c r="AF13" s="9"/>
      <c r="AG13" s="9"/>
      <c r="AH13" s="9"/>
      <c r="AI13" s="60"/>
      <c r="AJ13" s="61"/>
      <c r="AK13" s="9"/>
      <c r="AL13" s="9"/>
      <c r="AM13" s="9"/>
      <c r="AN13" s="9"/>
      <c r="AO13" s="80"/>
      <c r="AP13" s="74"/>
      <c r="AQ13" s="307"/>
      <c r="AR13" s="9"/>
      <c r="AS13" s="9"/>
      <c r="AT13" s="252">
        <f>IFERROR((((AI30/1000)+(AR14/1000))*2)*(VLOOKUP(H8,'Translate&amp;Prices&amp;Logo'!B6:C76,2,0))+(VLOOKUP(H8,'Translate&amp;Prices&amp;Logo'!B6:D76,3,0)),0)</f>
        <v>0</v>
      </c>
      <c r="AU13" s="146"/>
      <c r="AV13" s="140"/>
    </row>
    <row r="14" spans="1:65" ht="18" customHeight="1">
      <c r="A14" s="61"/>
      <c r="B14" s="489">
        <f>IFERROR(IF(H12='Translate&amp;Prices&amp;Logo'!B553,'Translate&amp;Prices&amp;Logo'!$B$548,0),0)</f>
        <v>0</v>
      </c>
      <c r="C14" s="490"/>
      <c r="D14" s="490"/>
      <c r="E14" s="490"/>
      <c r="F14" s="490"/>
      <c r="G14" s="98"/>
      <c r="H14" s="491"/>
      <c r="I14" s="491"/>
      <c r="J14" s="491"/>
      <c r="K14" s="491"/>
      <c r="L14" s="491"/>
      <c r="M14" s="491"/>
      <c r="N14" s="491"/>
      <c r="O14" s="491"/>
      <c r="P14" s="491"/>
      <c r="Q14" s="492"/>
      <c r="R14" s="61"/>
      <c r="S14" s="553"/>
      <c r="T14" s="554"/>
      <c r="U14" s="554"/>
      <c r="V14" s="554"/>
      <c r="W14" s="554"/>
      <c r="X14" s="554"/>
      <c r="Y14" s="555"/>
      <c r="Z14" s="80"/>
      <c r="AA14" s="78"/>
      <c r="AB14" s="79"/>
      <c r="AC14" s="9"/>
      <c r="AD14" s="552" t="str">
        <f>('Translate&amp;Prices&amp;Logo'!$B$550)&amp;" "&amp;H26&amp;" "&amp;"mm"</f>
        <v>Rozteč  mm</v>
      </c>
      <c r="AF14" s="9"/>
      <c r="AG14" s="9"/>
      <c r="AH14" s="9"/>
      <c r="AI14" s="60"/>
      <c r="AJ14" s="61"/>
      <c r="AK14" s="9"/>
      <c r="AL14" s="9"/>
      <c r="AM14" s="534" t="str">
        <f>('Translate&amp;Prices&amp;Logo'!$B$550)&amp;" "&amp;H26&amp;" "&amp;"mm"</f>
        <v>Rozteč  mm</v>
      </c>
      <c r="AN14" s="9"/>
      <c r="AO14" s="81"/>
      <c r="AP14" s="74"/>
      <c r="AQ14" s="307"/>
      <c r="AR14" s="584"/>
      <c r="AS14" s="9"/>
      <c r="AT14" s="146"/>
      <c r="AU14" s="140"/>
      <c r="AV14" s="140"/>
      <c r="AW14" s="165" t="s">
        <v>2197</v>
      </c>
    </row>
    <row r="15" spans="1:65" ht="18" customHeight="1" thickBot="1">
      <c r="A15" s="61"/>
      <c r="B15" s="489" t="str">
        <f>'Translate&amp;Prices&amp;Logo'!$B$547</f>
        <v>Varianta kování</v>
      </c>
      <c r="C15" s="490"/>
      <c r="D15" s="490"/>
      <c r="E15" s="490"/>
      <c r="F15" s="490"/>
      <c r="G15" s="98"/>
      <c r="H15" s="491"/>
      <c r="I15" s="491"/>
      <c r="J15" s="491"/>
      <c r="K15" s="491"/>
      <c r="L15" s="491"/>
      <c r="M15" s="491"/>
      <c r="N15" s="491"/>
      <c r="O15" s="491"/>
      <c r="P15" s="491"/>
      <c r="Q15" s="492"/>
      <c r="R15" s="61"/>
      <c r="S15" s="553"/>
      <c r="T15" s="554"/>
      <c r="U15" s="554"/>
      <c r="V15" s="554"/>
      <c r="W15" s="554"/>
      <c r="X15" s="554"/>
      <c r="Y15" s="555"/>
      <c r="Z15" s="80"/>
      <c r="AA15" s="78"/>
      <c r="AB15" s="82"/>
      <c r="AC15" s="9"/>
      <c r="AD15" s="552"/>
      <c r="AF15" s="9"/>
      <c r="AG15" s="9"/>
      <c r="AH15" s="9"/>
      <c r="AI15" s="60"/>
      <c r="AJ15" s="61"/>
      <c r="AK15" s="9"/>
      <c r="AL15" s="9"/>
      <c r="AM15" s="534"/>
      <c r="AN15" s="9"/>
      <c r="AO15" s="81"/>
      <c r="AP15" s="74"/>
      <c r="AQ15" s="307"/>
      <c r="AR15" s="584"/>
      <c r="AS15" s="9"/>
      <c r="AT15" s="164">
        <f>IF(H9&gt;"",('Translate&amp;Prices&amp;Logo'!C99*(AW15*AW16))+'Translate&amp;Prices&amp;Logo'!C102+(AW15*'Translate&amp;Prices&amp;Logo'!C103),0)</f>
        <v>0</v>
      </c>
      <c r="AU15" s="164">
        <f>H11+1</f>
        <v>1</v>
      </c>
      <c r="AV15" s="164">
        <f>M11+1</f>
        <v>1</v>
      </c>
      <c r="AW15" s="166">
        <f>AU15*AV15</f>
        <v>1</v>
      </c>
    </row>
    <row r="16" spans="1:65" ht="18" customHeight="1">
      <c r="A16" s="61"/>
      <c r="B16" s="546" t="str">
        <f>IF(H15=kombinace_6!AB40,'Translate&amp;Prices&amp;Logo'!$B$226,IF(H15=kombinace_6!AB41,'Translate&amp;Prices&amp;Logo'!$B$226,IF(H12='závěsy dle výklopu'!BQ2,'Translate&amp;Prices&amp;Logo'!$B$224,'Translate&amp;Prices&amp;Logo'!$B$220)))</f>
        <v>Výběr pozice rámečku</v>
      </c>
      <c r="C16" s="547"/>
      <c r="D16" s="547"/>
      <c r="E16" s="547"/>
      <c r="F16" s="545"/>
      <c r="G16" s="545"/>
      <c r="H16" s="545"/>
      <c r="I16" s="545"/>
      <c r="J16" s="565" t="str">
        <f>IF(OR(H15=kombinace_6!AB40,H15=kombinace_6!AB7,H15=kombinace_6!AB15,H15=kombinace_6!AB20,H15=kombinace_6!AB21,H15=kombinace_6!AB22),'Translate&amp;Prices&amp;Logo'!$B$228,IF(H15=kombinace_6!AB41,'Translate&amp;Prices&amp;Logo'!$B$228,'Translate&amp;Prices&amp;Logo'!$B$234))</f>
        <v>Provedení druhého dvířka</v>
      </c>
      <c r="K16" s="565"/>
      <c r="L16" s="565"/>
      <c r="M16" s="565"/>
      <c r="N16" s="563"/>
      <c r="O16" s="563"/>
      <c r="P16" s="563"/>
      <c r="Q16" s="564"/>
      <c r="R16" s="61"/>
      <c r="S16" s="553"/>
      <c r="T16" s="554"/>
      <c r="U16" s="554"/>
      <c r="V16" s="554"/>
      <c r="W16" s="554"/>
      <c r="X16" s="554"/>
      <c r="Y16" s="555"/>
      <c r="Z16" s="80"/>
      <c r="AA16" s="78"/>
      <c r="AB16" s="82"/>
      <c r="AC16" s="9"/>
      <c r="AD16" s="552"/>
      <c r="AF16" s="9"/>
      <c r="AG16" s="9"/>
      <c r="AH16" s="9"/>
      <c r="AI16" s="60"/>
      <c r="AJ16" s="61"/>
      <c r="AK16" s="9"/>
      <c r="AL16" s="9"/>
      <c r="AM16" s="534"/>
      <c r="AN16" s="9"/>
      <c r="AO16" s="81"/>
      <c r="AP16" s="74"/>
      <c r="AQ16" s="307"/>
      <c r="AR16" s="584"/>
      <c r="AS16" s="9"/>
      <c r="AT16" s="146"/>
      <c r="AU16" s="140">
        <f>(AI30/1000)/AU15</f>
        <v>0</v>
      </c>
      <c r="AV16" s="140">
        <f>(AR14/1000)/AV15</f>
        <v>0</v>
      </c>
      <c r="AW16" s="167">
        <f>(2*AU16)+(2*AV16)</f>
        <v>0</v>
      </c>
    </row>
    <row r="17" spans="1:52" ht="18" customHeight="1">
      <c r="A17" s="61"/>
      <c r="B17" s="489">
        <f>IF(H12='Translate&amp;Prices&amp;Logo'!B553,'Translate&amp;Prices&amp;Logo'!B240,IF(H15=kombinace_6!AB8,'Translate&amp;Prices&amp;Logo'!B286,0))</f>
        <v>0</v>
      </c>
      <c r="C17" s="490"/>
      <c r="D17" s="490"/>
      <c r="E17" s="490"/>
      <c r="F17" s="490"/>
      <c r="G17" s="98"/>
      <c r="H17" s="491"/>
      <c r="I17" s="491"/>
      <c r="J17" s="491"/>
      <c r="K17" s="491"/>
      <c r="L17" s="491"/>
      <c r="M17" s="491"/>
      <c r="N17" s="491"/>
      <c r="O17" s="491"/>
      <c r="P17" s="491"/>
      <c r="Q17" s="492"/>
      <c r="R17" s="61"/>
      <c r="S17" s="553"/>
      <c r="T17" s="554"/>
      <c r="U17" s="554"/>
      <c r="V17" s="554"/>
      <c r="W17" s="554"/>
      <c r="X17" s="554"/>
      <c r="Y17" s="555"/>
      <c r="Z17" s="80"/>
      <c r="AA17" s="78"/>
      <c r="AB17" s="82"/>
      <c r="AC17" s="9"/>
      <c r="AD17" s="552"/>
      <c r="AE17" s="496" t="str">
        <f>'Translate&amp;Prices&amp;Logo'!$B$638</f>
        <v>Vzdálenost od spodního okraje</v>
      </c>
      <c r="AF17" s="9"/>
      <c r="AG17" s="9"/>
      <c r="AH17" s="9"/>
      <c r="AI17" s="60"/>
      <c r="AJ17" s="61"/>
      <c r="AK17" s="9"/>
      <c r="AL17" s="9"/>
      <c r="AM17" s="534"/>
      <c r="AN17" s="9"/>
      <c r="AO17" s="81"/>
      <c r="AP17" s="74"/>
      <c r="AQ17" s="307"/>
      <c r="AR17" s="584"/>
      <c r="AS17" s="9"/>
      <c r="AT17" s="146">
        <f>IF(AU10=1,BD3*'Translate&amp;Prices&amp;Logo'!C51,IF(AU10=2,BI3*'Translate&amp;Prices&amp;Logo'!C51,IF(AU10=3,(BD3+BI3)*'Translate&amp;Prices&amp;Logo'!C51,IF(AU10=0,0))))</f>
        <v>0</v>
      </c>
      <c r="AU17" s="140" t="e">
        <f>IF(H13&lt;&gt;"Salice",AU23,0)</f>
        <v>#N/A</v>
      </c>
      <c r="AV17" s="140">
        <f>IF(H13="Salice",VLOOKUP(H17,kombinace_6!$BY:$BZ,2,0),0)</f>
        <v>0</v>
      </c>
    </row>
    <row r="18" spans="1:52" ht="18" customHeight="1">
      <c r="A18" s="61"/>
      <c r="B18" s="489">
        <f>IFERROR(IF(VLOOKUP(H15,kombinace_6!CD:CE,2,0)=1,'Translate&amp;Prices&amp;Logo'!$B$549,0),0)</f>
        <v>0</v>
      </c>
      <c r="C18" s="490"/>
      <c r="D18" s="490"/>
      <c r="E18" s="490"/>
      <c r="F18" s="490"/>
      <c r="G18" s="98"/>
      <c r="H18" s="491"/>
      <c r="I18" s="491"/>
      <c r="J18" s="491"/>
      <c r="K18" s="491"/>
      <c r="L18" s="491"/>
      <c r="M18" s="491"/>
      <c r="N18" s="491"/>
      <c r="O18" s="491"/>
      <c r="P18" s="491"/>
      <c r="Q18" s="492"/>
      <c r="R18" s="61"/>
      <c r="S18" s="553">
        <f>IFERROR((IF(AND(AU7=2,H27&gt;""),'Translate&amp;Prices&amp;Logo'!$B$578,IF(AND(AU7=1,H27&gt;""),'Translate&amp;Prices&amp;Logo'!$B$628,IF(AND(AU7=3,H27&gt;""),'Translate&amp;Prices&amp;Logo'!$B$628,0)))),0)</f>
        <v>0</v>
      </c>
      <c r="T18" s="554"/>
      <c r="U18" s="554"/>
      <c r="V18" s="554"/>
      <c r="W18" s="554"/>
      <c r="X18" s="554"/>
      <c r="Y18" s="555"/>
      <c r="Z18" s="80"/>
      <c r="AA18" s="78"/>
      <c r="AB18" s="82"/>
      <c r="AC18" s="9"/>
      <c r="AD18" s="552"/>
      <c r="AE18" s="496"/>
      <c r="AF18" s="9"/>
      <c r="AG18" s="9"/>
      <c r="AH18" s="9"/>
      <c r="AI18" s="60"/>
      <c r="AJ18" s="61"/>
      <c r="AK18" s="9"/>
      <c r="AL18" s="9"/>
      <c r="AM18" s="534"/>
      <c r="AN18" s="9"/>
      <c r="AO18" s="81"/>
      <c r="AP18" s="74"/>
      <c r="AQ18" s="307"/>
      <c r="AR18" s="584"/>
      <c r="AS18" s="9"/>
      <c r="AT18" s="146"/>
      <c r="AU18" s="140"/>
      <c r="AV18" s="140"/>
    </row>
    <row r="19" spans="1:52" ht="18" customHeight="1">
      <c r="A19" s="61"/>
      <c r="B19" s="489">
        <f>IFERROR(IF(H12='Translate&amp;Prices&amp;Logo'!B553,'Translate&amp;Prices&amp;Logo'!$B$225,IF(VLOOKUP(H15,kombinace_6!CD:CE,2,0)=1,'Translate&amp;Prices&amp;Logo'!$B$225,)),0)</f>
        <v>0</v>
      </c>
      <c r="C19" s="490"/>
      <c r="D19" s="490"/>
      <c r="E19" s="490"/>
      <c r="F19" s="490"/>
      <c r="G19" s="98"/>
      <c r="H19" s="491"/>
      <c r="I19" s="491"/>
      <c r="J19" s="491"/>
      <c r="K19" s="491"/>
      <c r="L19" s="491"/>
      <c r="M19" s="491"/>
      <c r="N19" s="491"/>
      <c r="O19" s="491"/>
      <c r="P19" s="491"/>
      <c r="Q19" s="492"/>
      <c r="R19" s="61"/>
      <c r="S19" s="553"/>
      <c r="T19" s="554"/>
      <c r="U19" s="554"/>
      <c r="V19" s="554"/>
      <c r="W19" s="554"/>
      <c r="X19" s="554"/>
      <c r="Y19" s="555"/>
      <c r="Z19" s="80"/>
      <c r="AA19" s="77"/>
      <c r="AB19" s="525">
        <v>0</v>
      </c>
      <c r="AC19" s="525"/>
      <c r="AD19" s="552"/>
      <c r="AE19" s="496"/>
      <c r="AF19" s="9"/>
      <c r="AG19" s="9"/>
      <c r="AH19" s="9"/>
      <c r="AI19" s="157"/>
      <c r="AJ19" s="61"/>
      <c r="AK19" s="9"/>
      <c r="AL19" s="532" t="str">
        <f>'Translate&amp;Prices&amp;Logo'!$B$638</f>
        <v>Vzdálenost od spodního okraje</v>
      </c>
      <c r="AM19" s="534"/>
      <c r="AN19" s="525">
        <v>0</v>
      </c>
      <c r="AO19" s="525"/>
      <c r="AP19" s="76"/>
      <c r="AQ19" s="307"/>
      <c r="AR19" s="583" t="str">
        <f>'Translate&amp;Prices&amp;Logo'!$B$178</f>
        <v>Výška</v>
      </c>
      <c r="AS19" s="9"/>
      <c r="AT19" s="146"/>
      <c r="AU19" s="138">
        <f>IFERROR(IF(H12='závěsy dle výklopu'!BR2,VLOOKUP(H15,kombinace_6!$CD$3:$CF$18,3,0),IF(H12='závěsy dle výklopu'!BQ2,1,0)),0)</f>
        <v>0</v>
      </c>
      <c r="AV19" s="140">
        <f>IFERROR(VLOOKUP(H15,kombinace_6!$CD:$CF,3,0),0)</f>
        <v>0</v>
      </c>
    </row>
    <row r="20" spans="1:52" ht="18" customHeight="1">
      <c r="A20" s="61"/>
      <c r="B20" s="550">
        <f>IF(H13&lt;&gt;"Salice",(IFERROR(VLOOKUP(H17,kombinace_6!$BY$32:$CA$35,2,0),0)),0)</f>
        <v>0</v>
      </c>
      <c r="C20" s="487"/>
      <c r="D20" s="487"/>
      <c r="E20" s="487"/>
      <c r="F20" s="544">
        <v>100</v>
      </c>
      <c r="G20" s="544"/>
      <c r="H20" s="544"/>
      <c r="I20" s="544"/>
      <c r="J20" s="487">
        <f>IFERROR(VLOOKUP(H17,kombinace_6!$BY$32:$CA$35,3,0),0)</f>
        <v>0</v>
      </c>
      <c r="K20" s="487"/>
      <c r="L20" s="487"/>
      <c r="M20" s="487"/>
      <c r="N20" s="544">
        <v>100</v>
      </c>
      <c r="O20" s="544"/>
      <c r="P20" s="544"/>
      <c r="Q20" s="562"/>
      <c r="R20" s="61"/>
      <c r="S20" s="553"/>
      <c r="T20" s="554"/>
      <c r="U20" s="554"/>
      <c r="V20" s="554"/>
      <c r="W20" s="554"/>
      <c r="X20" s="554"/>
      <c r="Y20" s="555"/>
      <c r="Z20" s="80"/>
      <c r="AA20" s="78"/>
      <c r="AB20" s="79"/>
      <c r="AC20" s="9"/>
      <c r="AD20" s="552"/>
      <c r="AE20" s="496"/>
      <c r="AF20" s="9"/>
      <c r="AG20" s="9"/>
      <c r="AH20" s="9"/>
      <c r="AI20" s="60"/>
      <c r="AJ20" s="61"/>
      <c r="AK20" s="9"/>
      <c r="AL20" s="532"/>
      <c r="AM20" s="534"/>
      <c r="AN20" s="9"/>
      <c r="AO20" s="81"/>
      <c r="AP20" s="74"/>
      <c r="AQ20" s="307"/>
      <c r="AR20" s="583"/>
      <c r="AS20" s="9"/>
      <c r="AT20" s="146"/>
      <c r="AU20" s="140"/>
      <c r="AV20" s="140"/>
    </row>
    <row r="21" spans="1:52" ht="18" customHeight="1">
      <c r="A21" s="61"/>
      <c r="B21" s="489" t="str">
        <f>IF(kombinace_6!FC2=FALSE,'Translate&amp;Prices&amp;Logo'!$B$175," ")</f>
        <v>Typ úpravy skla</v>
      </c>
      <c r="C21" s="490"/>
      <c r="D21" s="490"/>
      <c r="E21" s="490"/>
      <c r="F21" s="490"/>
      <c r="G21" s="98"/>
      <c r="H21" s="491"/>
      <c r="I21" s="491"/>
      <c r="J21" s="491"/>
      <c r="K21" s="491"/>
      <c r="L21" s="491"/>
      <c r="M21" s="491"/>
      <c r="N21" s="491"/>
      <c r="O21" s="491"/>
      <c r="P21" s="491"/>
      <c r="Q21" s="492"/>
      <c r="R21" s="61"/>
      <c r="S21" s="553"/>
      <c r="T21" s="554"/>
      <c r="U21" s="554"/>
      <c r="V21" s="554"/>
      <c r="W21" s="554"/>
      <c r="X21" s="554"/>
      <c r="Y21" s="555"/>
      <c r="Z21" s="80"/>
      <c r="AA21" s="78"/>
      <c r="AB21" s="79"/>
      <c r="AC21" s="9"/>
      <c r="AD21" s="524">
        <v>0</v>
      </c>
      <c r="AE21" s="496"/>
      <c r="AF21" s="9"/>
      <c r="AG21" s="9"/>
      <c r="AH21" s="9"/>
      <c r="AI21" s="60"/>
      <c r="AJ21" s="61"/>
      <c r="AK21" s="9"/>
      <c r="AL21" s="532"/>
      <c r="AM21" s="534"/>
      <c r="AN21" s="9"/>
      <c r="AO21" s="80"/>
      <c r="AP21" s="74"/>
      <c r="AQ21" s="307"/>
      <c r="AR21" s="583"/>
      <c r="AS21" s="9"/>
      <c r="AT21" s="146"/>
      <c r="AU21" s="140"/>
      <c r="AV21" s="140"/>
      <c r="AY21" s="112" t="e">
        <f>AND(AU7=2,H27&gt;"")</f>
        <v>#N/A</v>
      </c>
      <c r="AZ21" s="112" t="e">
        <f>AND(AU7=1,H27&gt;"")</f>
        <v>#N/A</v>
      </c>
    </row>
    <row r="22" spans="1:52" ht="18" customHeight="1">
      <c r="A22" s="61"/>
      <c r="B22" s="219"/>
      <c r="C22" s="220"/>
      <c r="D22" s="220"/>
      <c r="E22" s="220"/>
      <c r="F22" s="220"/>
      <c r="G22" s="99"/>
      <c r="H22" s="99"/>
      <c r="I22" s="99"/>
      <c r="J22" s="99"/>
      <c r="K22" s="99"/>
      <c r="L22" s="99"/>
      <c r="M22" s="99"/>
      <c r="N22" s="99"/>
      <c r="O22" s="99"/>
      <c r="P22" s="99"/>
      <c r="Q22" s="153"/>
      <c r="R22" s="61"/>
      <c r="S22" s="553"/>
      <c r="T22" s="554"/>
      <c r="U22" s="554"/>
      <c r="V22" s="554"/>
      <c r="W22" s="554"/>
      <c r="X22" s="554"/>
      <c r="Y22" s="555"/>
      <c r="Z22" s="80"/>
      <c r="AA22" s="78"/>
      <c r="AB22" s="79"/>
      <c r="AC22" s="9"/>
      <c r="AD22" s="524"/>
      <c r="AE22" s="496"/>
      <c r="AF22" s="9"/>
      <c r="AG22" s="9"/>
      <c r="AH22" s="9"/>
      <c r="AI22" s="60"/>
      <c r="AJ22" s="61"/>
      <c r="AK22" s="9"/>
      <c r="AL22" s="532"/>
      <c r="AM22" s="75"/>
      <c r="AN22" s="9"/>
      <c r="AO22" s="80"/>
      <c r="AP22" s="74"/>
      <c r="AQ22" s="307"/>
      <c r="AR22" s="583"/>
      <c r="AS22" s="9"/>
      <c r="AT22" s="146"/>
      <c r="AU22" s="140"/>
      <c r="AV22" s="140"/>
    </row>
    <row r="23" spans="1:52" ht="18" customHeight="1">
      <c r="A23" s="61"/>
      <c r="B23" s="219"/>
      <c r="C23" s="220"/>
      <c r="D23" s="220"/>
      <c r="E23" s="220"/>
      <c r="F23" s="220"/>
      <c r="G23" s="99"/>
      <c r="H23" s="538" t="str">
        <f>"↥↥  "&amp;'Translate&amp;Prices&amp;Logo'!$B$575&amp;"  ↥↥"</f>
        <v>↥↥  Již neměnit po tom co vyberete typ skla/síťky  ↥↥</v>
      </c>
      <c r="I23" s="538"/>
      <c r="J23" s="538"/>
      <c r="K23" s="538"/>
      <c r="L23" s="538"/>
      <c r="M23" s="538"/>
      <c r="N23" s="538"/>
      <c r="O23" s="538"/>
      <c r="P23" s="538"/>
      <c r="Q23" s="539"/>
      <c r="R23" s="61"/>
      <c r="S23" s="556"/>
      <c r="T23" s="557"/>
      <c r="U23" s="557"/>
      <c r="V23" s="557"/>
      <c r="W23" s="557"/>
      <c r="X23" s="557"/>
      <c r="Y23" s="558"/>
      <c r="Z23" s="80"/>
      <c r="AA23" s="78"/>
      <c r="AB23" s="79"/>
      <c r="AC23" s="9"/>
      <c r="AD23" s="524"/>
      <c r="AE23" s="496"/>
      <c r="AF23" s="9"/>
      <c r="AG23" s="9"/>
      <c r="AH23" s="9"/>
      <c r="AI23" s="60"/>
      <c r="AJ23" s="61"/>
      <c r="AK23" s="9"/>
      <c r="AL23" s="532"/>
      <c r="AM23" s="533">
        <v>0</v>
      </c>
      <c r="AN23" s="9"/>
      <c r="AO23" s="80"/>
      <c r="AP23" s="74"/>
      <c r="AQ23" s="307"/>
      <c r="AR23" s="583"/>
      <c r="AS23" s="9"/>
      <c r="AT23" s="146"/>
      <c r="AU23" s="140" t="e">
        <f>VLOOKUP(H17,kombinace_6!$BY$3:$BZ$6,2,0)</f>
        <v>#N/A</v>
      </c>
      <c r="AV23" s="140"/>
    </row>
    <row r="24" spans="1:52" ht="18" customHeight="1">
      <c r="A24" s="61"/>
      <c r="B24" s="519" t="str">
        <f>'Translate&amp;Prices&amp;Logo'!$B$564</f>
        <v>Typ folie</v>
      </c>
      <c r="C24" s="520"/>
      <c r="D24" s="520"/>
      <c r="E24" s="520"/>
      <c r="F24" s="520"/>
      <c r="G24" s="98"/>
      <c r="H24" s="536"/>
      <c r="I24" s="536"/>
      <c r="J24" s="536"/>
      <c r="K24" s="536"/>
      <c r="L24" s="536"/>
      <c r="M24" s="536"/>
      <c r="N24" s="536"/>
      <c r="O24" s="536"/>
      <c r="P24" s="536"/>
      <c r="Q24" s="537"/>
      <c r="R24" s="61"/>
      <c r="S24" s="506" t="str">
        <f>'Translate&amp;Prices&amp;Logo'!$B$179</f>
        <v>Poznámky</v>
      </c>
      <c r="T24" s="506"/>
      <c r="U24" s="506"/>
      <c r="Z24" s="80"/>
      <c r="AA24" s="78"/>
      <c r="AB24" s="79"/>
      <c r="AC24" s="488" t="str">
        <f>'Translate&amp;Prices&amp;Logo'!$B$244</f>
        <v>Vzdálenost od levého okraje</v>
      </c>
      <c r="AD24" s="488"/>
      <c r="AE24" s="488"/>
      <c r="AF24" s="488"/>
      <c r="AG24" s="488"/>
      <c r="AH24" s="9"/>
      <c r="AI24" s="60"/>
      <c r="AJ24" s="61"/>
      <c r="AK24" s="9"/>
      <c r="AL24" s="532"/>
      <c r="AM24" s="533"/>
      <c r="AN24" s="9"/>
      <c r="AO24" s="80"/>
      <c r="AP24" s="83"/>
      <c r="AQ24" s="307"/>
      <c r="AR24" s="9"/>
      <c r="AS24" s="317">
        <f>IF(H28&gt;0,AR14,0)</f>
        <v>0</v>
      </c>
      <c r="AT24" s="146"/>
      <c r="AU24" s="140" t="e">
        <f>CONCATENATE(AU23,"_",H19)</f>
        <v>#N/A</v>
      </c>
      <c r="AV24" s="140"/>
      <c r="AW24" s="112">
        <f>IF(AI30&gt;=2600,1.3,IF(AR14&gt;=2600,1.3,1))</f>
        <v>1</v>
      </c>
    </row>
    <row r="25" spans="1:52" ht="18" customHeight="1">
      <c r="A25" s="61"/>
      <c r="B25" s="489" t="str">
        <f>'Translate&amp;Prices&amp;Logo'!$B$627</f>
        <v>Typ skla/síťky</v>
      </c>
      <c r="C25" s="490"/>
      <c r="D25" s="490"/>
      <c r="E25" s="490"/>
      <c r="F25" s="490"/>
      <c r="G25" s="98"/>
      <c r="H25" s="491"/>
      <c r="I25" s="491"/>
      <c r="J25" s="491"/>
      <c r="K25" s="491"/>
      <c r="L25" s="491"/>
      <c r="M25" s="491"/>
      <c r="N25" s="491"/>
      <c r="O25" s="491"/>
      <c r="P25" s="491"/>
      <c r="Q25" s="492"/>
      <c r="R25" s="61"/>
      <c r="S25" s="497"/>
      <c r="T25" s="498"/>
      <c r="U25" s="498"/>
      <c r="V25" s="498"/>
      <c r="W25" s="498"/>
      <c r="X25" s="498"/>
      <c r="Y25" s="499"/>
      <c r="Z25" s="80"/>
      <c r="AA25" s="78"/>
      <c r="AB25" s="79"/>
      <c r="AC25" s="525">
        <v>0</v>
      </c>
      <c r="AD25" s="525"/>
      <c r="AE25" s="75"/>
      <c r="AF25" s="535" t="str">
        <f>('Translate&amp;Prices&amp;Logo'!$B$550)&amp;" "&amp;H26&amp;" "&amp;"mm"</f>
        <v>Rozteč  mm</v>
      </c>
      <c r="AG25" s="535"/>
      <c r="AH25" s="535"/>
      <c r="AI25" s="535"/>
      <c r="AJ25" s="535"/>
      <c r="AK25" s="535"/>
      <c r="AL25" s="532"/>
      <c r="AM25" s="533"/>
      <c r="AN25" s="9"/>
      <c r="AO25" s="80"/>
      <c r="AP25" s="83"/>
      <c r="AQ25" s="307"/>
      <c r="AR25" s="9"/>
      <c r="AS25" s="9"/>
      <c r="AT25" s="146"/>
      <c r="AU25" s="140" t="e">
        <f>VLOOKUP(H27,kombinace_6!$BY3:$BZ6,2,0)</f>
        <v>#N/A</v>
      </c>
      <c r="AV25" s="140"/>
    </row>
    <row r="26" spans="1:52" ht="18" customHeight="1">
      <c r="A26" s="61"/>
      <c r="B26" s="489" t="str">
        <f>'Translate&amp;Prices&amp;Logo'!$B$551</f>
        <v>Rozteč úchytky (mm)</v>
      </c>
      <c r="C26" s="490"/>
      <c r="D26" s="490"/>
      <c r="E26" s="490"/>
      <c r="F26" s="490"/>
      <c r="G26" s="98"/>
      <c r="H26" s="528"/>
      <c r="I26" s="528"/>
      <c r="J26" s="528"/>
      <c r="K26" s="528"/>
      <c r="L26" s="528"/>
      <c r="M26" s="528"/>
      <c r="N26" s="528"/>
      <c r="O26" s="528"/>
      <c r="P26" s="528"/>
      <c r="Q26" s="529"/>
      <c r="R26" s="61"/>
      <c r="S26" s="500"/>
      <c r="T26" s="501"/>
      <c r="U26" s="501"/>
      <c r="V26" s="501"/>
      <c r="W26" s="501"/>
      <c r="X26" s="501"/>
      <c r="Y26" s="502"/>
      <c r="Z26" s="80"/>
      <c r="AA26" s="78"/>
      <c r="AB26" s="79"/>
      <c r="AC26" s="9"/>
      <c r="AD26" s="9"/>
      <c r="AE26" s="9"/>
      <c r="AF26" s="9"/>
      <c r="AG26" s="9"/>
      <c r="AH26" s="9"/>
      <c r="AI26" s="60"/>
      <c r="AJ26" s="524">
        <v>0</v>
      </c>
      <c r="AK26" s="9"/>
      <c r="AL26" s="9"/>
      <c r="AM26" s="9"/>
      <c r="AN26" s="9"/>
      <c r="AO26" s="80"/>
      <c r="AP26" s="74"/>
      <c r="AQ26" s="307"/>
      <c r="AR26" s="9"/>
      <c r="AS26" s="9"/>
      <c r="AT26" s="146"/>
    </row>
    <row r="27" spans="1:52" ht="18" customHeight="1">
      <c r="A27" s="61"/>
      <c r="B27" s="489" t="str">
        <f>'Translate&amp;Prices&amp;Logo'!$B$552</f>
        <v>Umístění úchytky</v>
      </c>
      <c r="C27" s="490"/>
      <c r="D27" s="490"/>
      <c r="E27" s="490"/>
      <c r="F27" s="490"/>
      <c r="G27" s="98"/>
      <c r="H27" s="491"/>
      <c r="I27" s="491"/>
      <c r="J27" s="491"/>
      <c r="K27" s="491"/>
      <c r="L27" s="491"/>
      <c r="M27" s="491"/>
      <c r="N27" s="491"/>
      <c r="O27" s="491"/>
      <c r="P27" s="491"/>
      <c r="Q27" s="492"/>
      <c r="R27" s="61"/>
      <c r="S27" s="500"/>
      <c r="T27" s="501"/>
      <c r="U27" s="501"/>
      <c r="V27" s="501"/>
      <c r="W27" s="501"/>
      <c r="X27" s="501"/>
      <c r="Y27" s="502"/>
      <c r="Z27" s="80"/>
      <c r="AA27" s="68"/>
      <c r="AB27" s="84"/>
      <c r="AC27" s="85"/>
      <c r="AD27" s="85"/>
      <c r="AE27" s="85"/>
      <c r="AF27" s="85"/>
      <c r="AG27" s="85"/>
      <c r="AH27" s="86"/>
      <c r="AI27" s="87"/>
      <c r="AJ27" s="524"/>
      <c r="AK27" s="85"/>
      <c r="AL27" s="85"/>
      <c r="AM27" s="85"/>
      <c r="AN27" s="85"/>
      <c r="AO27" s="88"/>
      <c r="AP27" s="74"/>
      <c r="AQ27" s="307"/>
      <c r="AR27" s="9"/>
      <c r="AS27" s="9"/>
      <c r="AT27" s="146"/>
    </row>
    <row r="28" spans="1:52" ht="18" customHeight="1">
      <c r="A28" s="61"/>
      <c r="B28" s="515" t="str">
        <f>('Translate&amp;Prices&amp;Logo'!$B$176)</f>
        <v>Počet kusů</v>
      </c>
      <c r="C28" s="516"/>
      <c r="D28" s="516"/>
      <c r="E28" s="516"/>
      <c r="F28" s="516"/>
      <c r="G28" s="98"/>
      <c r="H28" s="542"/>
      <c r="I28" s="542"/>
      <c r="J28" s="542"/>
      <c r="K28" s="542"/>
      <c r="L28" s="542"/>
      <c r="M28" s="542"/>
      <c r="N28" s="542"/>
      <c r="O28" s="542"/>
      <c r="P28" s="542"/>
      <c r="Q28" s="543"/>
      <c r="R28" s="61"/>
      <c r="S28" s="500"/>
      <c r="T28" s="501"/>
      <c r="U28" s="501"/>
      <c r="V28" s="501"/>
      <c r="W28" s="501"/>
      <c r="X28" s="501"/>
      <c r="Y28" s="502"/>
      <c r="Z28" s="80"/>
      <c r="AA28" s="89"/>
      <c r="AB28" s="90"/>
      <c r="AC28" s="91"/>
      <c r="AD28" s="91"/>
      <c r="AE28" s="90"/>
      <c r="AF28" s="90"/>
      <c r="AG28" s="90"/>
      <c r="AH28" s="90"/>
      <c r="AI28" s="92"/>
      <c r="AJ28" s="66"/>
      <c r="AK28" s="90"/>
      <c r="AL28" s="90"/>
      <c r="AM28" s="91"/>
      <c r="AN28" s="91"/>
      <c r="AO28" s="90"/>
      <c r="AP28" s="93"/>
      <c r="AQ28" s="79"/>
      <c r="AR28" s="9"/>
      <c r="AS28" s="9"/>
      <c r="AT28" s="146"/>
    </row>
    <row r="29" spans="1:52" ht="25.9" customHeight="1">
      <c r="A29" s="61"/>
      <c r="B29" s="108"/>
      <c r="C29" s="97"/>
      <c r="D29" s="495" t="str">
        <f>IF(Hlavní!$V$39=3,"",'Translate&amp;Prices&amp;Logo'!$B$227&amp;" -&gt; "&amp; 'Translate&amp;Prices&amp;Logo'!B243&amp;":")</f>
        <v>Dodat včetně uvedeného kování -&gt; vyberte ze seznamu:</v>
      </c>
      <c r="E29" s="495"/>
      <c r="F29" s="495"/>
      <c r="G29" s="495"/>
      <c r="H29" s="495"/>
      <c r="I29" s="495"/>
      <c r="J29" s="495"/>
      <c r="K29" s="495"/>
      <c r="L29" s="495"/>
      <c r="M29" s="495"/>
      <c r="N29" s="495"/>
      <c r="O29" s="495"/>
      <c r="P29" s="493"/>
      <c r="Q29" s="494"/>
      <c r="R29" s="61"/>
      <c r="S29" s="500"/>
      <c r="T29" s="501"/>
      <c r="U29" s="501"/>
      <c r="V29" s="501"/>
      <c r="W29" s="501"/>
      <c r="X29" s="501"/>
      <c r="Y29" s="502"/>
      <c r="Z29" s="9"/>
      <c r="AA29" s="113" t="e">
        <f>VLOOKUP(H14,kombinace_6!$DN$7:$DO$24,2,0)</f>
        <v>#N/A</v>
      </c>
      <c r="AB29" s="531">
        <f>IF(kombinace_6!FC2=TRUE,AB4,IF(H12='závěsy dle výklopu'!BQ2,'Translate&amp;Prices&amp;Logo'!B579,0))</f>
        <v>0</v>
      </c>
      <c r="AC29" s="531"/>
      <c r="AD29" s="531"/>
      <c r="AE29" s="531"/>
      <c r="AF29" s="531"/>
      <c r="AG29" s="531"/>
      <c r="AH29" s="531"/>
      <c r="AI29" s="531"/>
      <c r="AJ29" s="531"/>
      <c r="AK29" s="531"/>
      <c r="AL29" s="531"/>
      <c r="AM29" s="531"/>
      <c r="AN29" s="531"/>
      <c r="AO29" s="531"/>
      <c r="AP29" s="113"/>
      <c r="AQ29" s="9"/>
      <c r="AR29" s="9"/>
      <c r="AS29" s="9"/>
      <c r="AT29" s="146"/>
    </row>
    <row r="30" spans="1:52" ht="23.25" customHeight="1">
      <c r="A30" s="61"/>
      <c r="B30" s="511" t="str">
        <f>'Translate&amp;Prices&amp;Logo'!$B$180</f>
        <v>Cena rámečků celkem</v>
      </c>
      <c r="C30" s="512"/>
      <c r="D30" s="512"/>
      <c r="E30" s="512"/>
      <c r="F30" s="512"/>
      <c r="G30" s="512"/>
      <c r="H30" s="512"/>
      <c r="I30" s="512"/>
      <c r="J30" s="512"/>
      <c r="K30" s="517"/>
      <c r="L30" s="526">
        <f>IF(OR((AI30&gt;AI43),(AR14&gt;AJ43)),"",((((AT11+AT13+AT15+AT17+AT33+AQ35+AT37)*AT43)*(1-(Zakaznik!K21/100)))*AW24))</f>
        <v>0</v>
      </c>
      <c r="M30" s="526"/>
      <c r="N30" s="526"/>
      <c r="O30" s="526"/>
      <c r="P30" s="507" t="str">
        <f>VLOOKUP('Translate&amp;Prices&amp;Logo'!D1,'závěsy dle výklopu'!A204:B209,2,0)</f>
        <v>Kč</v>
      </c>
      <c r="Q30" s="508"/>
      <c r="R30" s="61"/>
      <c r="S30" s="500"/>
      <c r="T30" s="501"/>
      <c r="U30" s="501"/>
      <c r="V30" s="501"/>
      <c r="W30" s="501"/>
      <c r="X30" s="501"/>
      <c r="Y30" s="502"/>
      <c r="Z30" s="9"/>
      <c r="AA30" s="9"/>
      <c r="AB30" s="61"/>
      <c r="AC30" s="9"/>
      <c r="AD30" s="9"/>
      <c r="AE30" s="9"/>
      <c r="AF30" s="530" t="str">
        <f>'Translate&amp;Prices&amp;Logo'!$B$177</f>
        <v xml:space="preserve">Šířka </v>
      </c>
      <c r="AG30" s="530"/>
      <c r="AH30" s="530"/>
      <c r="AI30" s="523"/>
      <c r="AJ30" s="523"/>
      <c r="AK30" s="523"/>
      <c r="AL30" s="9"/>
      <c r="AM30" s="9"/>
      <c r="AN30" s="9"/>
      <c r="AO30" s="9"/>
      <c r="AP30" s="9"/>
      <c r="AQ30" s="9"/>
      <c r="AR30" s="9"/>
      <c r="AS30" s="9"/>
      <c r="AT30" s="146"/>
      <c r="AU30" s="138" t="e">
        <f>HLOOKUP("_Úzký_dolny_K12",kombinace_6!CV2:CW19,3,FALSE)</f>
        <v>#N/A</v>
      </c>
    </row>
    <row r="31" spans="1:52" ht="14.1" customHeight="1" thickBot="1">
      <c r="A31" s="61"/>
      <c r="B31" s="513"/>
      <c r="C31" s="514"/>
      <c r="D31" s="514"/>
      <c r="E31" s="514"/>
      <c r="F31" s="514"/>
      <c r="G31" s="514"/>
      <c r="H31" s="514"/>
      <c r="I31" s="514"/>
      <c r="J31" s="514"/>
      <c r="K31" s="518"/>
      <c r="L31" s="527"/>
      <c r="M31" s="527"/>
      <c r="N31" s="527"/>
      <c r="O31" s="527"/>
      <c r="P31" s="509"/>
      <c r="Q31" s="510"/>
      <c r="R31" s="61"/>
      <c r="S31" s="503"/>
      <c r="T31" s="504"/>
      <c r="U31" s="504"/>
      <c r="V31" s="504"/>
      <c r="W31" s="504"/>
      <c r="X31" s="504"/>
      <c r="Y31" s="505"/>
      <c r="Z31" s="9"/>
      <c r="AA31" s="103"/>
      <c r="AB31" s="94"/>
      <c r="AC31" s="94"/>
      <c r="AD31" s="103"/>
      <c r="AE31" s="103"/>
      <c r="AF31" s="103"/>
      <c r="AG31" s="103"/>
      <c r="AH31" s="103"/>
      <c r="AI31" s="279"/>
      <c r="AJ31" s="103"/>
      <c r="AK31" s="103"/>
      <c r="AL31" s="103"/>
      <c r="AM31" s="103"/>
      <c r="AN31" s="103"/>
      <c r="AO31" s="582" t="str">
        <f>'Translate&amp;Prices&amp;Logo'!$B$569</f>
        <v>Souhrn</v>
      </c>
      <c r="AP31" s="582"/>
      <c r="AQ31" s="582"/>
      <c r="AR31" s="582"/>
      <c r="AS31" s="9"/>
      <c r="AT31" s="146"/>
      <c r="AU31" s="138" t="e">
        <f>AD44</f>
        <v>#N/A</v>
      </c>
    </row>
    <row r="32" spans="1:52" ht="17.25" customHeight="1">
      <c r="A32" s="61"/>
      <c r="B32" s="541" t="str">
        <f>'Translate&amp;Prices&amp;Logo'!$B$173</f>
        <v>Uvedené ceny jsou bez DPH a nezahrnují cenu požadovaného kování!</v>
      </c>
      <c r="C32" s="541"/>
      <c r="D32" s="541"/>
      <c r="E32" s="541"/>
      <c r="F32" s="541"/>
      <c r="G32" s="541"/>
      <c r="H32" s="541"/>
      <c r="I32" s="541"/>
      <c r="J32" s="541"/>
      <c r="K32" s="541"/>
      <c r="L32" s="541"/>
      <c r="M32" s="541"/>
      <c r="N32" s="541"/>
      <c r="O32" s="541"/>
      <c r="P32" s="541"/>
      <c r="Q32" s="541"/>
      <c r="R32" s="61"/>
      <c r="S32" s="9"/>
      <c r="T32" s="9"/>
      <c r="U32" s="9"/>
      <c r="V32" s="9"/>
      <c r="W32" s="9"/>
      <c r="X32" s="9"/>
      <c r="Y32" s="9"/>
      <c r="Z32" s="9"/>
      <c r="AA32" s="9"/>
      <c r="AB32" s="61"/>
      <c r="AC32" s="9"/>
      <c r="AD32" s="9"/>
      <c r="AE32" s="9"/>
      <c r="AF32" s="9"/>
      <c r="AG32" s="9"/>
      <c r="AH32" s="9"/>
      <c r="AI32" s="9"/>
      <c r="AJ32" s="9"/>
      <c r="AK32" s="9"/>
      <c r="AL32" s="9"/>
      <c r="AM32" s="9"/>
      <c r="AN32" s="9"/>
      <c r="AO32" s="582"/>
      <c r="AP32" s="582"/>
      <c r="AQ32" s="582"/>
      <c r="AR32" s="582"/>
      <c r="AS32" s="61"/>
      <c r="AT32" s="146"/>
    </row>
    <row r="33" spans="1:58" ht="34.5" customHeight="1">
      <c r="A33" s="61"/>
      <c r="B33" s="485" t="str">
        <f>'Translate&amp;Prices&amp;Logo'!$B$643</f>
        <v xml:space="preserve">Rámečky bez skla se dodávají v demontovaném stavu. </v>
      </c>
      <c r="C33" s="485"/>
      <c r="D33" s="485"/>
      <c r="E33" s="485"/>
      <c r="F33" s="485"/>
      <c r="G33" s="485"/>
      <c r="H33" s="485"/>
      <c r="I33" s="485"/>
      <c r="J33" s="485"/>
      <c r="K33" s="485"/>
      <c r="L33" s="485" t="str">
        <f>IF(OR((AI30&gt;AI43),(AR14&gt;AJ43)),'Translate&amp;Prices&amp;Logo'!B693,"")</f>
        <v/>
      </c>
      <c r="M33" s="485"/>
      <c r="N33" s="485"/>
      <c r="O33" s="485"/>
      <c r="P33" s="485"/>
      <c r="Q33" s="485"/>
      <c r="R33" s="485"/>
      <c r="S33" s="485"/>
      <c r="T33" s="248"/>
      <c r="U33" s="248"/>
      <c r="V33" s="248"/>
      <c r="W33" s="248"/>
      <c r="X33" s="248"/>
      <c r="Y33" s="248"/>
      <c r="Z33" s="248"/>
      <c r="AA33" s="248"/>
      <c r="AB33" s="248"/>
      <c r="AC33" s="248"/>
      <c r="AD33" s="9"/>
      <c r="AE33" s="9"/>
      <c r="AF33" s="148"/>
      <c r="AG33" s="9"/>
      <c r="AJ33" s="9"/>
      <c r="AK33" s="9"/>
      <c r="AL33" s="9"/>
      <c r="AM33" s="9"/>
      <c r="AN33" s="9"/>
      <c r="AO33" s="9"/>
      <c r="AP33" s="9"/>
      <c r="AQ33" s="9"/>
      <c r="AR33" s="9"/>
      <c r="AS33" s="61"/>
      <c r="AT33" s="146">
        <f>IF(kombinace_6!V1=2,((AR14/1000)*(AI30/1000))*'Translate&amp;Prices&amp;Logo'!C96,0)</f>
        <v>0</v>
      </c>
    </row>
    <row r="34" spans="1:58" s="148" customFormat="1" ht="36.75" customHeight="1">
      <c r="A34" s="149"/>
      <c r="B34" s="485"/>
      <c r="C34" s="485"/>
      <c r="D34" s="485"/>
      <c r="E34" s="485"/>
      <c r="F34" s="485"/>
      <c r="G34" s="485"/>
      <c r="H34" s="485"/>
      <c r="I34" s="485"/>
      <c r="J34" s="485"/>
      <c r="K34" s="485"/>
      <c r="L34" s="485"/>
      <c r="M34" s="485"/>
      <c r="N34" s="485"/>
      <c r="O34" s="485"/>
      <c r="P34" s="485"/>
      <c r="Q34" s="485"/>
      <c r="R34" s="485"/>
      <c r="S34" s="485"/>
      <c r="V34" s="486"/>
      <c r="W34" s="486"/>
      <c r="AS34" s="147"/>
      <c r="AT34" s="147"/>
      <c r="AW34" s="248"/>
      <c r="AX34" s="248"/>
      <c r="AY34" s="248"/>
      <c r="AZ34" s="248"/>
      <c r="BA34" s="248"/>
      <c r="BB34" s="248"/>
      <c r="BC34" s="248"/>
      <c r="BD34" s="248"/>
      <c r="BE34" s="248"/>
      <c r="BF34" s="248"/>
    </row>
    <row r="35" spans="1:58" ht="15" hidden="1" customHeight="1">
      <c r="A35" s="112"/>
      <c r="B35" s="112"/>
      <c r="O35" s="140"/>
      <c r="P35" s="140"/>
      <c r="Q35" s="149"/>
      <c r="AD35" s="112"/>
      <c r="AE35" s="112"/>
      <c r="AK35" s="148"/>
      <c r="AL35" s="148"/>
      <c r="AM35" s="148"/>
      <c r="AN35" s="148"/>
      <c r="AP35" s="146"/>
      <c r="AQ35" s="146">
        <f>IF(kombinace_6!$V$1=3,IFERROR(((VLOOKUP(H24,'Translate&amp;Prices&amp;Logo'!B93:C95,2,0))*(AR14/1000)),0),0)</f>
        <v>0</v>
      </c>
      <c r="AR35" s="138"/>
      <c r="AS35" s="271" t="s">
        <v>3467</v>
      </c>
      <c r="AT35" s="272"/>
      <c r="AU35" s="272"/>
      <c r="AV35" s="248"/>
    </row>
    <row r="36" spans="1:58" s="157" customFormat="1" ht="18.600000000000001" hidden="1" customHeight="1">
      <c r="A36" s="149"/>
      <c r="B36" s="157" t="str" cm="1">
        <f t="array" ref="B36:B101">IF(kombinace_6!FC2=TRUE,_profily_síťka,IF(kombinace_6!H1=TRUE,_kombinovane_profily,_vše_profily))</f>
        <v>BRW (elox.) - maximální doporučená délka profilu 2500 mm</v>
      </c>
      <c r="L36" s="157" t="str">
        <f t="array" ref="L36:M36">IF(kombinace_6!H1=TRUE,'závěsy dle výklopu'!$BQ$2:$BR$2,
IF(H8=kombinace_6!A41,'závěsy dle výklopu'!$BQ$2,IF(H8=kombinace_6!A42,'závěsy dle výklopu'!$BQ$2,IF(H8=kombinace_6!A65,'závěsy dle výklopu'!$BQ$2,IF(H8=kombinace_6!A66,'závěsy dle výklopu'!$BQ$2,IF(H8=kombinace_6!A67,'závěsy dle výklopu'!$BQ$2,IF(H8=kombinace_6!A68,'závěsy dle výklopu'!$BQ$2,IF(OR(H8='Translate&amp;Prices&amp;Logo'!B66,H8='Translate&amp;Prices&amp;Logo'!B67,H8='Translate&amp;Prices&amp;Logo'!B68,H8='Translate&amp;Prices&amp;Logo'!B69,H8='Translate&amp;Prices&amp;Logo'!B70),"",'závěsy dle výklopu'!$BQ$2:$BR$2))))))))</f>
        <v>Závěsy</v>
      </c>
      <c r="M36" s="157" t="str">
        <v>Výklopy</v>
      </c>
      <c r="P36" s="157" t="str" cm="1">
        <f t="array" ref="P36:P38">IF(H13=kombinace_6!BQ11,kombinace_6!$DN$2,kombinace_6!$DN$2:$DN$4)</f>
        <v>Naložený</v>
      </c>
      <c r="T36" s="157">
        <f t="array" aca="1" ref="T36:T44" ca="1">IF(H13=kombinace_6!BQ11,
  kombinace_6!$FA$2:$FA$9,
  IF(AND(OR(H8=kombinace_6!A41,H8=kombinace_6!A42),H13='závěsy dle výklopu'!BQ4),
    INDIRECT(VLOOKUP(AD42&amp;"_Rocca",kombinace_6!$ER$1:$ES$108,2,0)),
    IF($AU$9=2,
      INDIRECT(VLOOKUP(AD42,kombinace_6!$ER$1:$ES$108,2,0)),
      IF($AU$9=3,
        INDIRECT(VLOOKUP($T$47,kombinace_6!$AA$1:$AB$100,2,0)),
      $Y$48)
    )
  )
)</f>
        <v>0</v>
      </c>
      <c r="AF36" s="157" t="e">
        <f>HLOOKUP($AD$44,'závěsy dle výklopu'!$CG$4:$EZ$10,2,0)</f>
        <v>#N/A</v>
      </c>
      <c r="AJ36" s="157">
        <f t="array" ref="AJ36:AJ40">IF(AM19&lt;2100,kombinace_6!BY8:BY12,kombinace_6!BY8:BY12)</f>
        <v>2</v>
      </c>
      <c r="AW36" s="248"/>
      <c r="AX36" s="248"/>
      <c r="AY36" s="248"/>
    </row>
    <row r="37" spans="1:58" s="157" customFormat="1" ht="15" hidden="1" customHeight="1">
      <c r="A37" s="140"/>
      <c r="B37" s="157" t="str">
        <v>BRW bílá mat RAL 9003 - maximální doporučená délka profilu 2500 mm</v>
      </c>
      <c r="P37" s="157" t="e">
        <v>#N/A</v>
      </c>
      <c r="T37" s="157">
        <f ca="1"/>
        <v>0</v>
      </c>
      <c r="W37" s="157" t="str" cm="1">
        <f t="array" ref="W37:W38">IF(Hlavní!$V$39=3,"",'Translate&amp;Prices&amp;Logo'!B558:B559)</f>
        <v>Ano</v>
      </c>
      <c r="AD37" s="158"/>
      <c r="AF37" s="157" t="e">
        <f>HLOOKUP($AD$44,'závěsy dle výklopu'!$CG$4:$EZ$10,3,0)</f>
        <v>#N/A</v>
      </c>
      <c r="AJ37" s="157">
        <v>3</v>
      </c>
      <c r="AS37" s="157" t="s">
        <v>5</v>
      </c>
      <c r="AT37" s="157">
        <f>IFERROR((VLOOKUP(H25,'Translate&amp;Prices&amp;Logo'!B101:C169,2,0))*((AI30/1000)*(AR14/1000)),0)</f>
        <v>0</v>
      </c>
      <c r="AW37" s="248"/>
      <c r="AX37" s="248"/>
      <c r="AY37" s="248"/>
    </row>
    <row r="38" spans="1:58" s="157" customFormat="1" ht="18.600000000000001" hidden="1" customHeight="1">
      <c r="A38" s="140"/>
      <c r="B38" s="157" t="str">
        <v>BRW bílá lesk RAL 9003 - maximální doporučená délka profilu 2500 mm</v>
      </c>
      <c r="L38" s="157" t="str">
        <f t="array" ref="L38:L42">IF($H$12='závěsy dle výklopu'!$BQ$2,IF(OR($H$8='Translate&amp;Prices&amp;Logo'!$B$73,$H$8='Translate&amp;Prices&amp;Logo'!$B$74,$H$8='Translate&amp;Prices&amp;Logo'!$B$75,$H$8='Translate&amp;Prices&amp;Logo'!$B$76),_znacka_zavesy_proROMA,_znacka_zavesy), _znacka_vyklopy)</f>
        <v>Blum</v>
      </c>
      <c r="M38" s="157" t="str">
        <f>L38</f>
        <v>Blum</v>
      </c>
      <c r="P38" s="157" t="e">
        <v>#N/A</v>
      </c>
      <c r="T38" s="157">
        <f ca="1"/>
        <v>0</v>
      </c>
      <c r="W38" s="157" t="str">
        <v>Ne</v>
      </c>
      <c r="AD38" s="158"/>
      <c r="AE38" s="157" t="e">
        <f t="shared" ref="AE38:AE40" si="0">AF38</f>
        <v>#N/A</v>
      </c>
      <c r="AF38" s="157" t="e">
        <f>HLOOKUP($AD$44,'závěsy dle výklopu'!$CG$4:$EZ$10,4,0)</f>
        <v>#N/A</v>
      </c>
      <c r="AJ38" s="157">
        <v>4</v>
      </c>
      <c r="AW38" s="248"/>
      <c r="AX38" s="248"/>
      <c r="AY38" s="248"/>
    </row>
    <row r="39" spans="1:58" s="157" customFormat="1" ht="15" hidden="1" customHeight="1">
      <c r="A39" s="140"/>
      <c r="B39" s="157" t="str">
        <v>BRW broušené - maximální doporučená délka profilu 2500 mm</v>
      </c>
      <c r="L39" s="157" t="str">
        <v>ITALIANA ferramenta</v>
      </c>
      <c r="T39" s="157">
        <f ca="1"/>
        <v>0</v>
      </c>
      <c r="AD39" s="158"/>
      <c r="AE39" s="157" t="e">
        <f t="shared" si="0"/>
        <v>#N/A</v>
      </c>
      <c r="AF39" s="157" t="e">
        <f>HLOOKUP($AD$44,'závěsy dle výklopu'!$CG$4:$EZ$10,5,0)</f>
        <v>#N/A</v>
      </c>
      <c r="AJ39" s="157">
        <v>5</v>
      </c>
      <c r="AS39" s="157" t="s">
        <v>1197</v>
      </c>
      <c r="AW39" s="248"/>
      <c r="AX39" s="248"/>
      <c r="AY39" s="248"/>
    </row>
    <row r="40" spans="1:58" s="157" customFormat="1" ht="18.600000000000001" hidden="1" customHeight="1">
      <c r="A40" s="140"/>
      <c r="B40" s="157" t="str">
        <v>BRW černá mat - maximální doporučená délka profilu 2500 mm</v>
      </c>
      <c r="L40" s="157" t="str">
        <v>StrongLift</v>
      </c>
      <c r="T40" s="157">
        <f ca="1"/>
        <v>0</v>
      </c>
      <c r="AE40" s="157" t="e">
        <f t="shared" si="0"/>
        <v>#N/A</v>
      </c>
      <c r="AF40" s="157" t="e">
        <f>HLOOKUP($AD$44,'závěsy dle výklopu'!$CG$4:$EZ$10,6,0)</f>
        <v>#N/A</v>
      </c>
      <c r="AJ40" s="157">
        <v>6</v>
      </c>
      <c r="AW40" s="248"/>
      <c r="AX40" s="248"/>
      <c r="AY40" s="248"/>
    </row>
    <row r="41" spans="1:58" s="157" customFormat="1" ht="15" hidden="1" customHeight="1">
      <c r="A41" s="140"/>
      <c r="B41" s="157" t="str">
        <v>BRW černá broušená - maximální doporučená délka profilu 2500 mm</v>
      </c>
      <c r="L41" s="157" t="str">
        <v xml:space="preserve">Kesseböhmer </v>
      </c>
      <c r="T41" s="157">
        <f ca="1"/>
        <v>0</v>
      </c>
      <c r="U41" s="157">
        <f>IF(Hlavní!$V$39=3,1,2)</f>
        <v>2</v>
      </c>
      <c r="AE41" s="157">
        <f>AF41</f>
        <v>0</v>
      </c>
      <c r="AH41" s="274"/>
      <c r="AI41" s="275" t="s">
        <v>3460</v>
      </c>
      <c r="AJ41" s="275" t="s">
        <v>3461</v>
      </c>
      <c r="AS41" s="157" t="s">
        <v>1198</v>
      </c>
      <c r="AW41" s="248"/>
      <c r="AX41" s="248"/>
      <c r="AY41" s="248"/>
    </row>
    <row r="42" spans="1:58" s="157" customFormat="1" ht="18.600000000000001" hidden="1" customHeight="1">
      <c r="A42" s="140"/>
      <c r="B42" s="157" t="str">
        <v>BRW světlá nerez (INOX ACIER gratta) - maximální doporučená délka profilu 2500 mm</v>
      </c>
      <c r="L42" s="157" t="str">
        <v>Hettich</v>
      </c>
      <c r="T42" s="157">
        <f ca="1"/>
        <v>0</v>
      </c>
      <c r="AD42" s="157" t="e">
        <f>CONCATENATE("_",AV7,"_",H13,"_",AA29)</f>
        <v>#N/A</v>
      </c>
      <c r="AG42" s="273">
        <v>42</v>
      </c>
      <c r="AH42" s="274"/>
      <c r="AI42" s="276"/>
      <c r="AJ42" s="276"/>
      <c r="AW42" s="248"/>
      <c r="AX42" s="248"/>
      <c r="AY42" s="248"/>
    </row>
    <row r="43" spans="1:58" s="157" customFormat="1" ht="15" hidden="1" customHeight="1">
      <c r="A43" s="140"/>
      <c r="B43" s="157" t="str">
        <v>BRW antracit RAL 7021 - maximální doporučená délka profilu 2500 mm</v>
      </c>
      <c r="T43" s="157">
        <f ca="1"/>
        <v>0</v>
      </c>
      <c r="AG43" s="273">
        <v>43</v>
      </c>
      <c r="AH43" s="274"/>
      <c r="AI43" s="277" t="str">
        <f>IFERROR((IF(OR(H12='Translate&amp;Prices&amp;Logo'!B183,H8='Translate&amp;Prices&amp;Logo'!B66,H8='Translate&amp;Prices&amp;Logo'!B67,H8='Translate&amp;Prices&amp;Logo'!B68,H8='Translate&amp;Prices&amp;Logo'!B69,H8='Translate&amp;Prices&amp;Logo'!B70),VLOOKUP(H8,'Translate&amp;Prices&amp;Logo'!B6:V84,21,0),IF(kombinace_6!FC2=TRUE,500,AJ43))),"")</f>
        <v/>
      </c>
      <c r="AJ43" s="277" t="str">
        <f>IFERROR((IF(kombinace_6!FC2=TRUE,1000,VLOOKUP(H8,'Translate&amp;Prices&amp;Logo'!B6:U84,20,0))),"")</f>
        <v/>
      </c>
      <c r="AK43" s="157" t="s">
        <v>3459</v>
      </c>
      <c r="AS43" s="157" t="s">
        <v>1199</v>
      </c>
      <c r="AT43" s="157">
        <f>H28</f>
        <v>0</v>
      </c>
      <c r="AW43" s="248"/>
      <c r="AX43" s="248"/>
      <c r="AY43" s="248"/>
    </row>
    <row r="44" spans="1:58" s="157" customFormat="1" ht="18.600000000000001" hidden="1" customHeight="1">
      <c r="A44" s="140"/>
      <c r="B44" s="157" t="str">
        <v>BRW champagne - maximální doporučená délka profilu 2500 mm</v>
      </c>
      <c r="M44" s="157" t="s">
        <v>2495</v>
      </c>
      <c r="N44" s="157" t="s">
        <v>1039</v>
      </c>
      <c r="T44" s="157">
        <f ca="1"/>
        <v>0</v>
      </c>
      <c r="AD44" s="157" t="e">
        <f>CONCATENATE("_",AV7,"_",H15)</f>
        <v>#N/A</v>
      </c>
      <c r="AG44" s="273">
        <v>44</v>
      </c>
      <c r="AH44" s="274"/>
      <c r="AI44" s="278"/>
      <c r="AJ44" s="278"/>
      <c r="AW44" s="248"/>
      <c r="AX44" s="248"/>
      <c r="AY44" s="248"/>
    </row>
    <row r="45" spans="1:58" s="157" customFormat="1" ht="14.85" hidden="1" customHeight="1">
      <c r="A45" s="140"/>
      <c r="B45" s="157" t="str">
        <v>BRW champagne light - maximální doporučená délka profilu 2500 mm</v>
      </c>
      <c r="M45" s="157" t="s">
        <v>2496</v>
      </c>
      <c r="N45" s="157" t="s">
        <v>1039</v>
      </c>
      <c r="AS45" s="133"/>
      <c r="AW45" s="248"/>
      <c r="AX45" s="248"/>
      <c r="AY45" s="248"/>
    </row>
    <row r="46" spans="1:58" s="157" customFormat="1" ht="14.85" hidden="1" customHeight="1">
      <c r="A46" s="140"/>
      <c r="B46" s="157" t="str">
        <v>BRW hnědá - maximální doporučená délka profilu 2500 mm</v>
      </c>
      <c r="M46" s="157" t="s">
        <v>4254</v>
      </c>
    </row>
    <row r="47" spans="1:58" s="157" customFormat="1" ht="14.85" hidden="1" customHeight="1">
      <c r="A47" s="140"/>
      <c r="B47" s="157" t="str">
        <v>BRW tmavá nerez br. (INOX LIJA) - maximální doporučená délka profilu 2500 mm</v>
      </c>
      <c r="M47" s="157" t="s">
        <v>4255</v>
      </c>
      <c r="T47" s="157" t="str">
        <f>CONCATENATE(H13,"_",VLOOKUP(kombinace_6!H1,kombinace_6!$J$14:$K$15,2,0))</f>
        <v>_2</v>
      </c>
      <c r="AD47" s="157" t="s">
        <v>4253</v>
      </c>
      <c r="AI47" s="112"/>
      <c r="AJ47" s="270"/>
      <c r="AN47" s="578"/>
      <c r="AO47" s="578"/>
      <c r="AP47" s="578"/>
      <c r="AQ47" s="578"/>
    </row>
    <row r="48" spans="1:58" s="157" customFormat="1" ht="14.85" hidden="1" customHeight="1">
      <c r="A48" s="140"/>
      <c r="B48" s="157" t="str">
        <v>BRW kašmír - maximální doporučená délka profilu 2500 mm</v>
      </c>
      <c r="T48" s="157" t="e">
        <f>VLOOKUP(AD42,kombinace_6!ER1:ES120,2,0)</f>
        <v>#N/A</v>
      </c>
      <c r="AS48"/>
      <c r="AT48"/>
    </row>
    <row r="49" spans="1:46" s="157" customFormat="1" ht="14.85" hidden="1" customHeight="1">
      <c r="A49" s="140"/>
      <c r="B49" s="157" t="str">
        <v>BRW zlatá - maximální doporučená délka profilu 2500 mm</v>
      </c>
      <c r="AS49"/>
      <c r="AT49"/>
    </row>
    <row r="50" spans="1:46" s="157" customFormat="1" ht="14.85" hidden="1" customHeight="1">
      <c r="A50" s="140"/>
      <c r="B50" s="157" t="str">
        <v>BRW zlatá broušená - maximální doporučená délka profilu 2500 mm</v>
      </c>
      <c r="AS50"/>
      <c r="AT50"/>
    </row>
    <row r="51" spans="1:46" s="157" customFormat="1" ht="14.85" hidden="1" customHeight="1">
      <c r="A51" s="140"/>
      <c r="B51" s="157" t="str">
        <v>Corleone (elox.) - maximální doporučená délka profilu 1500 mm</v>
      </c>
      <c r="AS51"/>
      <c r="AT51"/>
    </row>
    <row r="52" spans="1:46" s="157" customFormat="1" ht="14.85" hidden="1" customHeight="1">
      <c r="A52" s="140"/>
      <c r="B52" s="157" t="str">
        <v>Corleone černá mat - maximální doporučená délka profilu 1500 mm</v>
      </c>
      <c r="AS52"/>
      <c r="AT52"/>
    </row>
    <row r="53" spans="1:46" s="157" customFormat="1" ht="14.85" hidden="1" customHeight="1">
      <c r="A53" s="140"/>
      <c r="B53" s="157" t="str">
        <v>ASTI černá mat - maximální doporučená délka profilu 2150 mm</v>
      </c>
      <c r="AS53"/>
      <c r="AT53"/>
    </row>
    <row r="54" spans="1:46" s="157" customFormat="1" ht="14.85" hidden="1" customHeight="1">
      <c r="A54" s="140"/>
      <c r="B54" s="157" t="str">
        <v>ASTI antracit RAL 7021 mat - maximální doporučená délka profilu 2500 mm</v>
      </c>
      <c r="K54" s="157" t="str">
        <f t="array" ref="K54:K58">IF(OR($H$15=kombinace_6!AB40,$H$15=kombinace_6!AB7,$H$15=kombinace_6!AB15,$H$15=kombinace_6!AB20,$H$15=kombinace_6!AB21,$H$15=kombinace_6!AB22),'Translate&amp;Prices&amp;Logo'!$B$231:$B$233,IF($H$15=kombinace_6!AB41,'Translate&amp;Prices&amp;Logo'!$B$231:$B$233,'Translate&amp;Prices&amp;Logo'!$B$235:$B$239))</f>
        <v>Úzký ALU rámeček</v>
      </c>
      <c r="T54" s="157" t="str">
        <f t="array" ref="T54:T56">kombinace_6!$EN$3:$EN$5</f>
        <v>Bez úprav</v>
      </c>
      <c r="U54" s="157">
        <v>1</v>
      </c>
      <c r="X54" s="157" t="str">
        <f t="array" ref="X54:X56">kombinace_6!$X$3:$X$5</f>
        <v>Transparentní</v>
      </c>
      <c r="AD54" s="157" t="e">
        <f t="array" aca="1" ref="AD54:AD97" ca="1">IF(kombinace_6!FC2=FALSE,
INDIRECT(kombinace_6!S1),
IF(kombinace_6!FC2=TRUE,INDIRECT(VLOOKUP(Ram_6!H8,'závěsy dle výklopu'!A81:B90,2,0)),0))</f>
        <v>#N/A</v>
      </c>
      <c r="AS54"/>
      <c r="AT54"/>
    </row>
    <row r="55" spans="1:46" s="157" customFormat="1" ht="14.85" hidden="1" customHeight="1">
      <c r="A55" s="140"/>
      <c r="B55" s="157" t="str">
        <v>Imola (elox.) - maximální doporučená délka profilu 2500 mm</v>
      </c>
      <c r="K55" s="157" t="str">
        <v>Široký ALU rámeček</v>
      </c>
      <c r="T55" s="157" t="str">
        <v>Kalené (termín dodání 4 týdny)</v>
      </c>
      <c r="U55" s="157">
        <v>2</v>
      </c>
      <c r="X55" s="157" t="str">
        <v>Bílá</v>
      </c>
      <c r="AD55" s="157" t="e">
        <f ca="1"/>
        <v>#N/A</v>
      </c>
      <c r="AS55"/>
      <c r="AT55"/>
    </row>
    <row r="56" spans="1:46" s="157" customFormat="1" ht="14.85" hidden="1" customHeight="1">
      <c r="A56" s="140"/>
      <c r="B56" s="157" t="str">
        <v>Imola černá mat - maximální doporučená délka profilu 2500 mm</v>
      </c>
      <c r="K56" s="157" t="str">
        <v>MDF tloušťky 16 mm</v>
      </c>
      <c r="T56" s="157" t="str">
        <v>Folie</v>
      </c>
      <c r="U56" s="157">
        <v>3</v>
      </c>
      <c r="X56" s="157" t="str">
        <v>Černá</v>
      </c>
      <c r="AD56" s="157" t="e">
        <f ca="1"/>
        <v>#N/A</v>
      </c>
    </row>
    <row r="57" spans="1:46" s="157" customFormat="1" ht="14.85" hidden="1" customHeight="1">
      <c r="A57" s="140"/>
      <c r="B57" s="157" t="str">
        <v>Imola bílá mat RAL 9003 - maximální doporučená délka profilu 2500 mm</v>
      </c>
      <c r="K57" s="157" t="str">
        <v>MDF tloušťky 18 mm</v>
      </c>
      <c r="AD57" s="157" t="e">
        <f ca="1"/>
        <v>#N/A</v>
      </c>
    </row>
    <row r="58" spans="1:46" s="157" customFormat="1" ht="14.85" hidden="1" customHeight="1">
      <c r="A58" s="140"/>
      <c r="B58" s="157" t="str">
        <v>Imola zlatá - maximální doporučená délka profilu 2150 mm</v>
      </c>
      <c r="K58" s="157" t="str">
        <v>DTDL tloušťky 18 mm</v>
      </c>
      <c r="AD58" s="157" t="e">
        <f ca="1"/>
        <v>#N/A</v>
      </c>
    </row>
    <row r="59" spans="1:46" s="157" customFormat="1" ht="14.85" hidden="1" customHeight="1">
      <c r="A59" s="140"/>
      <c r="B59" s="157" t="str">
        <v>Modena (elox.) - maximální doporučená délka profilu 2500 mm</v>
      </c>
      <c r="T59" s="157">
        <f>IFERROR(VLOOKUP($H$21,$T$54:$U$56,2,0),0)</f>
        <v>0</v>
      </c>
      <c r="AD59" s="157" t="e">
        <f ca="1"/>
        <v>#N/A</v>
      </c>
    </row>
    <row r="60" spans="1:46" s="157" customFormat="1" ht="14.85" hidden="1" customHeight="1">
      <c r="A60" s="140"/>
      <c r="B60" s="157" t="str">
        <v>Modena černá mat - maximální doporučená délka profilu 2500 mm</v>
      </c>
      <c r="K60" s="157" t="b">
        <f>K56=K61</f>
        <v>0</v>
      </c>
      <c r="AD60" s="157" t="e">
        <f ca="1"/>
        <v>#N/A</v>
      </c>
    </row>
    <row r="61" spans="1:46" s="157" customFormat="1" ht="14.85" hidden="1" customHeight="1">
      <c r="A61" s="140"/>
      <c r="B61" s="157" t="str">
        <v>Modena černá broušená - maximální doporučená délka profilu 2500 mm</v>
      </c>
      <c r="H61" s="157" t="str">
        <f>'Translate&amp;Prices&amp;Logo'!$B$188</f>
        <v>spodní dvířko</v>
      </c>
      <c r="K61" s="157" t="str">
        <f>'Translate&amp;Prices&amp;Logo'!$B$233</f>
        <v>2 Kusy (obě strany)</v>
      </c>
      <c r="AD61" s="157" t="e">
        <f ca="1"/>
        <v>#N/A</v>
      </c>
    </row>
    <row r="62" spans="1:46" s="157" customFormat="1" ht="14.85" hidden="1" customHeight="1">
      <c r="A62" s="140"/>
      <c r="B62" s="157" t="str">
        <v>Modena tmavá nerez br. (inox lija) - maximální doporučená délka profilu 2500 mm</v>
      </c>
      <c r="AD62" s="157" t="e">
        <f ca="1"/>
        <v>#N/A</v>
      </c>
    </row>
    <row r="63" spans="1:46" s="157" customFormat="1" ht="14.85" hidden="1" customHeight="1">
      <c r="A63" s="140"/>
      <c r="B63" s="157" t="str">
        <v>Modena hnědá - maximální doporučená délka profilu 2500 mm</v>
      </c>
      <c r="AD63" s="157" t="e">
        <f ca="1"/>
        <v>#N/A</v>
      </c>
    </row>
    <row r="64" spans="1:46" s="157" customFormat="1" ht="14.85" hidden="1" customHeight="1">
      <c r="A64" s="140"/>
      <c r="B64" s="157" t="str">
        <v>Pisa (elox.) - maximální doporučená délka profilu 2500 mm</v>
      </c>
      <c r="AD64" s="157" t="e">
        <f ca="1"/>
        <v>#N/A</v>
      </c>
    </row>
    <row r="65" spans="1:30" s="157" customFormat="1" ht="14.85" hidden="1" customHeight="1">
      <c r="A65" s="140"/>
      <c r="B65" s="157" t="str">
        <v>Pisa bílá mat RAL 9003 - maximální doporučená délka profilu 2500 mm</v>
      </c>
      <c r="H65" s="33" t="str">
        <f>'rozpad závěsů bez prázdn. řádků'!$K$1</f>
        <v>křížová vrut</v>
      </c>
      <c r="I65" s="159">
        <v>6</v>
      </c>
      <c r="J65" s="32" t="e">
        <f>VLOOKUP($H$15,'rozpad závěsů bez prázdn. řádků'!$G$2:$X$66,I65,0)</f>
        <v>#N/A</v>
      </c>
      <c r="O65" s="157" t="str">
        <f t="array" ref="O65:O71">IF($H$15=kombinace_6!$AB$40,_strong_vzpera_horni,IF($H$15=kombinace_6!$AB$41,_stronglift_klopna,IF($H$12='závěsy dle výklopu'!$BQ$2,$J$65:$J$71,'Translate&amp;Prices&amp;Logo'!$B$187:$B$188)))</f>
        <v>horní dvířko</v>
      </c>
      <c r="AD65" s="157" t="e">
        <f ca="1"/>
        <v>#N/A</v>
      </c>
    </row>
    <row r="66" spans="1:30" s="157" customFormat="1" ht="14.85" hidden="1" customHeight="1">
      <c r="A66" s="140"/>
      <c r="B66" s="157" t="str">
        <v>Pisa bílá lesk RAL 9003 - maximální doporučená délka profilu 2500 mm</v>
      </c>
      <c r="H66" s="33" t="str">
        <f>'rozpad závěsů bez prázdn. řádků'!$M$1</f>
        <v>křížová vrut (excentr)</v>
      </c>
      <c r="I66" s="159">
        <v>8</v>
      </c>
      <c r="J66" s="32" t="e">
        <f>VLOOKUP($H$15,'rozpad závěsů bez prázdn. řádků'!$G$2:$X$66,I66,0)</f>
        <v>#N/A</v>
      </c>
      <c r="O66" s="157" t="str">
        <v>spodní dvířko</v>
      </c>
      <c r="AD66" s="157" t="e">
        <f ca="1"/>
        <v>#N/A</v>
      </c>
    </row>
    <row r="67" spans="1:30" s="157" customFormat="1" ht="14.85" hidden="1" customHeight="1">
      <c r="A67" s="140"/>
      <c r="B67" s="157" t="str">
        <v>Pisa černá mat - maximální doporučená délka profilu 2500 mm</v>
      </c>
      <c r="H67" s="33" t="str">
        <f>'rozpad závěsů bez prázdn. řádků'!$O$1</f>
        <v>křížová euro</v>
      </c>
      <c r="I67" s="159">
        <v>10</v>
      </c>
      <c r="J67" s="32" t="e">
        <f>VLOOKUP($H$15,'rozpad závěsů bez prázdn. řádků'!$G$2:$X$66,I67,0)</f>
        <v>#N/A</v>
      </c>
      <c r="O67" s="157" t="e">
        <v>#N/A</v>
      </c>
      <c r="AD67" s="157" t="e">
        <f ca="1"/>
        <v>#N/A</v>
      </c>
    </row>
    <row r="68" spans="1:30" s="157" customFormat="1" ht="14.85" hidden="1" customHeight="1">
      <c r="A68" s="140"/>
      <c r="B68" s="157" t="str">
        <v>Pisa zlatá - maximální doporučená délka profilu 2150 mm</v>
      </c>
      <c r="H68" s="33" t="str">
        <f>'rozpad závěsů bez prázdn. řádků'!$Q$1</f>
        <v>křížová hmoždinka</v>
      </c>
      <c r="I68" s="159">
        <v>12</v>
      </c>
      <c r="J68" s="32" t="e">
        <f>VLOOKUP($H$15,'rozpad závěsů bez prázdn. řádků'!$G$2:$X$66,I68,0)</f>
        <v>#N/A</v>
      </c>
      <c r="O68" s="157" t="e">
        <v>#N/A</v>
      </c>
      <c r="AD68" s="157" t="e">
        <f ca="1"/>
        <v>#N/A</v>
      </c>
    </row>
    <row r="69" spans="1:30" s="157" customFormat="1" ht="14.85" hidden="1" customHeight="1">
      <c r="A69" s="140"/>
      <c r="B69" s="157" t="str">
        <v>Rimini elox - max délka profilu 1100 mm</v>
      </c>
      <c r="H69" s="33" t="str">
        <f>'rozpad závěsů bez prázdn. řádků'!$S$1</f>
        <v>přímá vrut</v>
      </c>
      <c r="I69" s="159">
        <v>14</v>
      </c>
      <c r="J69" s="32" t="e">
        <f>VLOOKUP($H$15,'rozpad závěsů bez prázdn. řádků'!$G$2:$X$66,I69,0)</f>
        <v>#N/A</v>
      </c>
      <c r="O69" s="157" t="e">
        <v>#N/A</v>
      </c>
      <c r="AD69" s="157" t="e">
        <f ca="1"/>
        <v>#N/A</v>
      </c>
    </row>
    <row r="70" spans="1:30" s="157" customFormat="1" ht="14.85" hidden="1" customHeight="1">
      <c r="A70" s="140"/>
      <c r="B70" s="157" t="str">
        <v>Rimini černý mat - max délka profilu 1100 mm</v>
      </c>
      <c r="H70" s="33" t="str">
        <f>'rozpad závěsů bez prázdn. řádků'!$U$1</f>
        <v>přímá euro</v>
      </c>
      <c r="I70" s="159">
        <v>16</v>
      </c>
      <c r="J70" s="32" t="e">
        <f>VLOOKUP($H$15,'rozpad závěsů bez prázdn. řádků'!$G$2:$X$66,I70,0)</f>
        <v>#N/A</v>
      </c>
      <c r="O70" s="157" t="e">
        <v>#N/A</v>
      </c>
      <c r="AD70" s="157" t="e">
        <f ca="1"/>
        <v>#N/A</v>
      </c>
    </row>
    <row r="71" spans="1:30" s="157" customFormat="1" ht="14.85" hidden="1" customHeight="1">
      <c r="A71" s="140"/>
      <c r="B71" s="157" t="str">
        <v>Rimini champagne - max délka profilu 1100 mm</v>
      </c>
      <c r="H71" s="33" t="str">
        <f>'rozpad závěsů bez prázdn. řádků'!$W$1</f>
        <v>přímá hmoždinka</v>
      </c>
      <c r="I71" s="159">
        <v>18</v>
      </c>
      <c r="J71" s="32" t="e">
        <f>VLOOKUP($H$15,'rozpad závěsů bez prázdn. řádků'!$G$2:$X$66,I71,0)</f>
        <v>#N/A</v>
      </c>
      <c r="O71" s="157" t="e">
        <v>#N/A</v>
      </c>
      <c r="AD71" s="157" t="e">
        <f ca="1"/>
        <v>#N/A</v>
      </c>
    </row>
    <row r="72" spans="1:30" s="157" customFormat="1" ht="14.85" hidden="1" customHeight="1">
      <c r="A72" s="140"/>
      <c r="B72" s="157" t="str">
        <v>Rimini zlatá - max délka profilu 1100 mm</v>
      </c>
      <c r="AD72" s="157" t="e">
        <f ca="1"/>
        <v>#N/A</v>
      </c>
    </row>
    <row r="73" spans="1:30" s="157" customFormat="1" ht="14.85" hidden="1" customHeight="1">
      <c r="A73" s="140"/>
      <c r="B73" s="157" t="str">
        <v>Rimini zlatá broušená - max délka profilu 1100 mm</v>
      </c>
      <c r="AD73" s="157" t="e">
        <f ca="1"/>
        <v>#N/A</v>
      </c>
    </row>
    <row r="74" spans="1:30" s="157" customFormat="1" ht="14.85" hidden="1" customHeight="1">
      <c r="A74" s="140"/>
      <c r="B74" s="157" t="str">
        <v>Rocca (elox.) - maximální doporučená délka profilu 2150 mm</v>
      </c>
      <c r="AD74" s="157" t="e">
        <f ca="1"/>
        <v>#N/A</v>
      </c>
    </row>
    <row r="75" spans="1:30" s="157" customFormat="1" ht="14.85" hidden="1" customHeight="1">
      <c r="A75" s="140"/>
      <c r="B75" s="157" t="str">
        <v>Rocca černá mat - maximální doporučená délka profilu 2150 mm</v>
      </c>
      <c r="AD75" s="157" t="e">
        <f ca="1"/>
        <v>#N/A</v>
      </c>
    </row>
    <row r="76" spans="1:30" s="157" customFormat="1" ht="14.85" hidden="1" customHeight="1">
      <c r="A76" s="140"/>
      <c r="B76" s="157" t="str">
        <v>Treviso černá mat - maximální doporučená délka profilu 2750 mm</v>
      </c>
      <c r="AD76" s="157" t="e">
        <f ca="1"/>
        <v>#N/A</v>
      </c>
    </row>
    <row r="77" spans="1:30" s="157" customFormat="1" ht="14.85" hidden="1" customHeight="1">
      <c r="A77" s="140"/>
      <c r="B77" s="157" t="str">
        <v>Verona (elox.) - maximální doporučená délka profilu 2500 mm</v>
      </c>
      <c r="AD77" s="157" t="e">
        <f ca="1"/>
        <v>#N/A</v>
      </c>
    </row>
    <row r="78" spans="1:30" s="157" customFormat="1" ht="14.85" hidden="1" customHeight="1">
      <c r="A78" s="140"/>
      <c r="B78" s="157" t="str">
        <v>Verona broušený hliník - maximální doporučená délka profilu 2500 mm</v>
      </c>
      <c r="AD78" s="157" t="e">
        <f ca="1"/>
        <v>#N/A</v>
      </c>
    </row>
    <row r="79" spans="1:30" s="157" customFormat="1" ht="14.85" hidden="1" customHeight="1">
      <c r="A79" s="140"/>
      <c r="B79" s="157" t="str">
        <v>Verona černá mat - maximální doporučená délka profilu 2500 mm</v>
      </c>
      <c r="AD79" s="157" t="e">
        <f ca="1"/>
        <v>#N/A</v>
      </c>
    </row>
    <row r="80" spans="1:30" s="157" customFormat="1" ht="14.85" hidden="1" customHeight="1">
      <c r="A80" s="140"/>
      <c r="B80" s="157" t="str">
        <v>Verona černá lesk - maximální doporučená délka profilu 2500 mm</v>
      </c>
      <c r="AD80" s="157" t="e">
        <f ca="1"/>
        <v>#N/A</v>
      </c>
    </row>
    <row r="81" spans="1:38" s="157" customFormat="1" ht="14.85" hidden="1" customHeight="1">
      <c r="A81" s="140"/>
      <c r="B81" s="157" t="str">
        <v>Verona hnědá - maximální doporučená délka profilu 2500 mm</v>
      </c>
      <c r="AD81" s="157" t="e">
        <f ca="1"/>
        <v>#N/A</v>
      </c>
    </row>
    <row r="82" spans="1:38" s="157" customFormat="1" ht="14.85" hidden="1" customHeight="1">
      <c r="A82" s="140"/>
      <c r="B82" s="157" t="str">
        <v>Verona champagne - maximální doporučená délka profilu 2500 mm</v>
      </c>
      <c r="P82" s="157" t="str" cm="1">
        <f t="array" ref="P82:P85">IF(OR(H8=kombinace_6!F18,H8=kombinace_6!F19,H8=kombinace_6!A60,H8=kombinace_6!A61,H8=kombinace_6!A62,H8=kombinace_6!A63),_2_strany,IF(H15=kombinace_6!AB8,_ramena_HL,_4_strany))</f>
        <v>Nahoře</v>
      </c>
      <c r="AD82" s="157" t="e">
        <f ca="1"/>
        <v>#N/A</v>
      </c>
    </row>
    <row r="83" spans="1:38" ht="14.85" hidden="1" customHeight="1">
      <c r="B83" s="138" t="str">
        <v>Verona tmavá nerez broušená (Inox Lija)- maximální doporučená délka profilu 2500 mm</v>
      </c>
      <c r="C83" s="140"/>
      <c r="D83" s="140"/>
      <c r="E83" s="140"/>
      <c r="F83" s="140"/>
      <c r="G83" s="140"/>
      <c r="H83" s="140"/>
      <c r="I83" s="140"/>
      <c r="J83" s="140"/>
      <c r="K83" s="140"/>
      <c r="L83" s="140"/>
      <c r="M83" s="140"/>
      <c r="N83" s="140"/>
      <c r="O83" s="138"/>
      <c r="P83" s="140" t="str">
        <v>Dole</v>
      </c>
      <c r="Q83" s="140"/>
      <c r="R83" s="140"/>
      <c r="S83" s="140"/>
      <c r="T83" s="149"/>
      <c r="U83" s="149"/>
      <c r="V83" s="149"/>
      <c r="W83" s="149"/>
      <c r="X83" s="149"/>
      <c r="Y83" s="150"/>
      <c r="Z83" s="150"/>
      <c r="AA83" s="150"/>
      <c r="AB83" s="150"/>
      <c r="AC83" s="148"/>
      <c r="AD83" s="148" t="e">
        <f ca="1"/>
        <v>#N/A</v>
      </c>
      <c r="AE83" s="148"/>
      <c r="AF83" s="148"/>
      <c r="AG83" s="148"/>
      <c r="AH83" s="148"/>
      <c r="AI83" s="150"/>
      <c r="AJ83" s="150"/>
      <c r="AK83" s="150"/>
      <c r="AL83" s="150"/>
    </row>
    <row r="84" spans="1:38" ht="14.85" hidden="1" customHeight="1">
      <c r="B84" s="138" t="str">
        <v>Verona světlá nerez (Acier gratta) - maximální doporučená délka profilu 2500 mm</v>
      </c>
      <c r="C84" s="140"/>
      <c r="D84" s="140"/>
      <c r="E84" s="140"/>
      <c r="F84" s="140"/>
      <c r="G84" s="140"/>
      <c r="H84" s="140"/>
      <c r="I84" s="140"/>
      <c r="J84" s="140"/>
      <c r="K84" s="140"/>
      <c r="L84" s="140"/>
      <c r="M84" s="140"/>
      <c r="N84" s="140"/>
      <c r="O84" s="138"/>
      <c r="P84" s="140" t="str">
        <v xml:space="preserve">Vpravo </v>
      </c>
      <c r="Q84" s="140"/>
      <c r="R84" s="140"/>
      <c r="S84" s="140"/>
      <c r="T84" s="149"/>
      <c r="U84" s="149"/>
      <c r="V84" s="149"/>
      <c r="W84" s="149"/>
      <c r="X84" s="149"/>
      <c r="Y84" s="150"/>
      <c r="Z84" s="150"/>
      <c r="AA84" s="150"/>
      <c r="AB84" s="150"/>
      <c r="AC84" s="148"/>
      <c r="AD84" s="148" t="e">
        <f ca="1"/>
        <v>#N/A</v>
      </c>
      <c r="AE84" s="148"/>
      <c r="AF84" s="148"/>
      <c r="AG84" s="148"/>
      <c r="AH84" s="148"/>
      <c r="AI84" s="150"/>
      <c r="AJ84" s="150"/>
      <c r="AK84" s="150"/>
      <c r="AL84" s="150"/>
    </row>
    <row r="85" spans="1:38" ht="14.85" hidden="1" customHeight="1">
      <c r="B85" s="138" t="str">
        <v>Verona Ivory mat - maximální doporučená délka profilu 2150 mm</v>
      </c>
      <c r="C85" s="140"/>
      <c r="D85" s="140"/>
      <c r="E85" s="140"/>
      <c r="F85" s="140"/>
      <c r="G85" s="140"/>
      <c r="H85" s="140"/>
      <c r="I85" s="140"/>
      <c r="J85" s="140"/>
      <c r="K85" s="140"/>
      <c r="L85" s="140"/>
      <c r="M85" s="140"/>
      <c r="N85" s="140"/>
      <c r="O85" s="140"/>
      <c r="P85" s="140" t="str">
        <v>Vlevo</v>
      </c>
      <c r="Q85" s="140"/>
      <c r="R85" s="140"/>
      <c r="S85" s="140"/>
      <c r="T85" s="149"/>
      <c r="U85" s="149"/>
      <c r="V85" s="149"/>
      <c r="W85" s="149"/>
      <c r="X85" s="149"/>
      <c r="Y85" s="150"/>
      <c r="Z85" s="150"/>
      <c r="AA85" s="150"/>
      <c r="AB85" s="150"/>
      <c r="AC85" s="148"/>
      <c r="AD85" s="148" t="e">
        <f ca="1"/>
        <v>#N/A</v>
      </c>
      <c r="AE85" s="148"/>
      <c r="AF85" s="148"/>
      <c r="AG85" s="148"/>
      <c r="AH85" s="148"/>
      <c r="AI85" s="150"/>
      <c r="AJ85" s="150"/>
      <c r="AK85" s="150"/>
      <c r="AL85" s="150"/>
    </row>
    <row r="86" spans="1:38" ht="14.85" hidden="1" customHeight="1">
      <c r="B86" s="138" t="str">
        <v>Verona kašmír - maximální doporučená délka profilu 2150 mm</v>
      </c>
      <c r="C86" s="140"/>
      <c r="D86" s="140"/>
      <c r="E86" s="140"/>
      <c r="F86" s="140"/>
      <c r="G86" s="140"/>
      <c r="H86" s="140"/>
      <c r="I86" s="140"/>
      <c r="J86" s="140"/>
      <c r="K86" s="140"/>
      <c r="L86" s="140"/>
      <c r="M86" s="140"/>
      <c r="N86" s="140"/>
      <c r="O86" s="140"/>
      <c r="P86" s="140"/>
      <c r="Q86" s="140"/>
      <c r="R86" s="140"/>
      <c r="S86" s="140"/>
      <c r="T86" s="149"/>
      <c r="U86" s="149"/>
      <c r="V86" s="149"/>
      <c r="W86" s="149"/>
      <c r="X86" s="149"/>
      <c r="Y86" s="150"/>
      <c r="Z86" s="150"/>
      <c r="AA86" s="150"/>
      <c r="AB86" s="150"/>
      <c r="AC86" s="148"/>
      <c r="AD86" s="148" t="e">
        <f ca="1"/>
        <v>#N/A</v>
      </c>
      <c r="AE86" s="148"/>
      <c r="AF86" s="148"/>
      <c r="AG86" s="148"/>
      <c r="AH86" s="148"/>
      <c r="AI86" s="150"/>
      <c r="AJ86" s="150"/>
      <c r="AK86" s="150"/>
      <c r="AL86" s="150"/>
    </row>
    <row r="87" spans="1:38" ht="14.85" hidden="1" customHeight="1">
      <c r="B87" s="138" t="str">
        <v>Verona zlatá - maximální doporučená délka profilu 2150 mm</v>
      </c>
      <c r="C87" s="140"/>
      <c r="D87" s="140"/>
      <c r="E87" s="140"/>
      <c r="F87" s="140"/>
      <c r="G87" s="140"/>
      <c r="H87" s="140"/>
      <c r="I87" s="140"/>
      <c r="J87" s="140"/>
      <c r="K87" s="140"/>
      <c r="L87" s="140"/>
      <c r="M87" s="140"/>
      <c r="N87" s="140"/>
      <c r="O87" s="140"/>
      <c r="P87" s="140"/>
      <c r="Q87" s="140"/>
      <c r="R87" s="140"/>
      <c r="S87" s="140"/>
      <c r="T87" s="149"/>
      <c r="U87" s="149"/>
      <c r="V87" s="149"/>
      <c r="W87" s="149"/>
      <c r="X87" s="149"/>
      <c r="Y87" s="150"/>
      <c r="Z87" s="150"/>
      <c r="AA87" s="150"/>
      <c r="AB87" s="150"/>
      <c r="AC87" s="148"/>
      <c r="AD87" s="148" t="e">
        <f ca="1"/>
        <v>#N/A</v>
      </c>
      <c r="AE87" s="148"/>
      <c r="AF87" s="148"/>
      <c r="AG87" s="148"/>
      <c r="AH87" s="148"/>
      <c r="AI87" s="150"/>
      <c r="AJ87" s="150"/>
      <c r="AK87" s="150"/>
      <c r="AL87" s="150"/>
    </row>
    <row r="88" spans="1:38" ht="14.85" hidden="1" customHeight="1">
      <c r="B88" s="138" t="str">
        <v>Verona zlatá broušená - maximální doporučená délka profilu 2150 mm</v>
      </c>
      <c r="C88" s="140"/>
      <c r="D88" s="140"/>
      <c r="E88" s="140"/>
      <c r="F88" s="140"/>
      <c r="G88" s="140"/>
      <c r="H88" s="140"/>
      <c r="I88" s="140"/>
      <c r="J88" s="140"/>
      <c r="K88" s="140"/>
      <c r="L88" s="140"/>
      <c r="M88" s="140"/>
      <c r="N88" s="140"/>
      <c r="O88" s="140"/>
      <c r="P88" s="140"/>
      <c r="Q88" s="140"/>
      <c r="R88" s="140"/>
      <c r="S88" s="140"/>
      <c r="T88" s="149"/>
      <c r="U88" s="149"/>
      <c r="V88" s="149"/>
      <c r="W88" s="149"/>
      <c r="X88" s="149"/>
      <c r="Y88" s="150"/>
      <c r="Z88" s="150"/>
      <c r="AA88" s="150"/>
      <c r="AB88" s="150"/>
      <c r="AC88" s="148"/>
      <c r="AD88" s="148" t="e">
        <f ca="1"/>
        <v>#N/A</v>
      </c>
      <c r="AE88" s="148"/>
      <c r="AF88" s="148"/>
      <c r="AG88" s="148"/>
      <c r="AH88" s="148"/>
      <c r="AI88" s="150"/>
      <c r="AJ88" s="150"/>
      <c r="AK88" s="150"/>
      <c r="AL88" s="150"/>
    </row>
    <row r="89" spans="1:38" ht="14.85" hidden="1" customHeight="1">
      <c r="B89" s="138" t="str">
        <v>Vivaro (elox.) - maximální doporučená délka profilu 2500 mm</v>
      </c>
      <c r="C89" s="140"/>
      <c r="D89" s="140"/>
      <c r="E89" s="140"/>
      <c r="F89" s="140"/>
      <c r="G89" s="140"/>
      <c r="H89" s="140"/>
      <c r="I89" s="140"/>
      <c r="J89" s="140"/>
      <c r="K89" s="140"/>
      <c r="L89" s="140"/>
      <c r="M89" s="140"/>
      <c r="N89" s="140"/>
      <c r="O89" s="140"/>
      <c r="P89" s="140"/>
      <c r="Q89" s="140"/>
      <c r="R89" s="140"/>
      <c r="S89" s="140"/>
      <c r="T89" s="149"/>
      <c r="U89" s="149"/>
      <c r="V89" s="149"/>
      <c r="W89" s="149"/>
      <c r="X89" s="149"/>
      <c r="Y89" s="150"/>
      <c r="Z89" s="150"/>
      <c r="AA89" s="150"/>
      <c r="AB89" s="150"/>
      <c r="AC89" s="148"/>
      <c r="AD89" s="148" t="e">
        <f ca="1"/>
        <v>#N/A</v>
      </c>
      <c r="AE89" s="148"/>
      <c r="AF89" s="148"/>
      <c r="AG89" s="148"/>
      <c r="AH89" s="148"/>
      <c r="AI89" s="150"/>
      <c r="AJ89" s="150"/>
      <c r="AK89" s="150"/>
      <c r="AL89" s="150"/>
    </row>
    <row r="90" spans="1:38" ht="14.85" hidden="1" customHeight="1">
      <c r="B90" s="138" t="str">
        <v>Vivaro černá mat - maximální doporučená délka profilu 2500 mm</v>
      </c>
      <c r="C90" s="140"/>
      <c r="D90" s="140"/>
      <c r="E90" s="140"/>
      <c r="F90" s="140"/>
      <c r="G90" s="140"/>
      <c r="H90" s="140"/>
      <c r="I90" s="140"/>
      <c r="J90" s="140"/>
      <c r="K90" s="140"/>
      <c r="L90" s="140"/>
      <c r="M90" s="140"/>
      <c r="N90" s="140"/>
      <c r="O90" s="140"/>
      <c r="P90" s="140"/>
      <c r="Q90" s="140"/>
      <c r="R90" s="140"/>
      <c r="S90" s="140"/>
      <c r="T90" s="149"/>
      <c r="U90" s="149"/>
      <c r="V90" s="149"/>
      <c r="W90" s="149"/>
      <c r="X90" s="149"/>
      <c r="Y90" s="150"/>
      <c r="Z90" s="150"/>
      <c r="AA90" s="150"/>
      <c r="AB90" s="150"/>
      <c r="AC90" s="148"/>
      <c r="AD90" s="148" t="e">
        <f ca="1"/>
        <v>#N/A</v>
      </c>
      <c r="AE90" s="148"/>
      <c r="AF90" s="148"/>
      <c r="AG90" s="148"/>
      <c r="AH90" s="148"/>
      <c r="AI90" s="150"/>
      <c r="AJ90" s="150"/>
      <c r="AK90" s="150"/>
      <c r="AL90" s="150"/>
    </row>
    <row r="91" spans="1:38" ht="14.85" hidden="1" customHeight="1">
      <c r="B91" s="138" t="str">
        <v>Vivaro tmavá nerez br. (inox lija) - maximální doporučená délka profilu 2500 mm</v>
      </c>
      <c r="C91" s="140"/>
      <c r="D91" s="140"/>
      <c r="E91" s="140"/>
      <c r="F91" s="140"/>
      <c r="G91" s="140"/>
      <c r="H91" s="140"/>
      <c r="I91" s="140"/>
      <c r="J91" s="140"/>
      <c r="K91" s="140"/>
      <c r="L91" s="140"/>
      <c r="M91" s="140"/>
      <c r="N91" s="140"/>
      <c r="O91" s="140"/>
      <c r="P91" s="140"/>
      <c r="Q91" s="140"/>
      <c r="R91" s="140"/>
      <c r="S91" s="140"/>
      <c r="T91" s="149"/>
      <c r="U91" s="149"/>
      <c r="V91" s="149"/>
      <c r="W91" s="149"/>
      <c r="X91" s="149"/>
      <c r="Y91" s="150"/>
      <c r="Z91" s="150"/>
      <c r="AA91" s="150"/>
      <c r="AB91" s="150"/>
      <c r="AC91" s="148"/>
      <c r="AD91" s="148" t="e">
        <f ca="1"/>
        <v>#N/A</v>
      </c>
      <c r="AE91" s="148"/>
      <c r="AF91" s="148"/>
      <c r="AG91" s="148"/>
      <c r="AH91" s="148"/>
      <c r="AI91" s="150"/>
      <c r="AJ91" s="150"/>
      <c r="AK91" s="150"/>
      <c r="AL91" s="150"/>
    </row>
    <row r="92" spans="1:38" ht="14.85" hidden="1" customHeight="1">
      <c r="B92" s="138" t="str">
        <v>Vivaro bílá mat RAL 9003 - maximální doporučená délka profilu 2500 mm</v>
      </c>
      <c r="C92" s="140"/>
      <c r="D92" s="140"/>
      <c r="E92" s="140"/>
      <c r="F92" s="140"/>
      <c r="G92" s="140"/>
      <c r="H92" s="140"/>
      <c r="I92" s="140"/>
      <c r="J92" s="140"/>
      <c r="K92" s="140"/>
      <c r="L92" s="140"/>
      <c r="M92" s="140"/>
      <c r="N92" s="140"/>
      <c r="O92" s="140"/>
      <c r="P92" s="140"/>
      <c r="Q92" s="140"/>
      <c r="R92" s="140"/>
      <c r="S92" s="140"/>
      <c r="T92" s="149"/>
      <c r="U92" s="149"/>
      <c r="V92" s="149"/>
      <c r="W92" s="149"/>
      <c r="X92" s="149"/>
      <c r="Y92" s="150"/>
      <c r="Z92" s="150"/>
      <c r="AA92" s="150"/>
      <c r="AB92" s="150"/>
      <c r="AC92" s="148"/>
      <c r="AD92" s="148" t="e">
        <f ca="1"/>
        <v>#N/A</v>
      </c>
      <c r="AE92" s="148"/>
      <c r="AF92" s="148"/>
      <c r="AG92" s="148"/>
      <c r="AH92" s="148"/>
      <c r="AI92" s="150"/>
      <c r="AJ92" s="150"/>
      <c r="AK92" s="150"/>
      <c r="AL92" s="150"/>
    </row>
    <row r="93" spans="1:38" ht="14.85" hidden="1" customHeight="1">
      <c r="B93" s="138" t="str">
        <v>Vivaro bílá lesk RAL 9003 - maximální doporučená délka profilu 2500 mm</v>
      </c>
      <c r="C93" s="140"/>
      <c r="D93" s="140"/>
      <c r="E93" s="140"/>
      <c r="F93" s="140"/>
      <c r="G93" s="140"/>
      <c r="H93" s="140"/>
      <c r="I93" s="140"/>
      <c r="J93" s="140"/>
      <c r="K93" s="140"/>
      <c r="L93" s="140"/>
      <c r="M93" s="140"/>
      <c r="N93" s="140"/>
      <c r="O93" s="140"/>
      <c r="P93" s="140"/>
      <c r="Q93" s="140"/>
      <c r="R93" s="140"/>
      <c r="S93" s="140"/>
      <c r="T93" s="149"/>
      <c r="U93" s="149"/>
      <c r="V93" s="149"/>
      <c r="W93" s="149"/>
      <c r="X93" s="149"/>
      <c r="Y93" s="150"/>
      <c r="Z93" s="150"/>
      <c r="AA93" s="150"/>
      <c r="AB93" s="150"/>
      <c r="AC93" s="148"/>
      <c r="AD93" s="148" t="e">
        <f ca="1"/>
        <v>#N/A</v>
      </c>
      <c r="AE93" s="148"/>
      <c r="AF93" s="148"/>
      <c r="AG93" s="148"/>
      <c r="AH93" s="148"/>
      <c r="AI93" s="150"/>
      <c r="AJ93" s="150"/>
      <c r="AK93" s="150"/>
      <c r="AL93" s="150"/>
    </row>
    <row r="94" spans="1:38" ht="14.85" hidden="1" customHeight="1">
      <c r="B94" s="138" t="str">
        <v>Vivaro zlatá - maximální doporučená délka profilu 2150 mm</v>
      </c>
      <c r="C94" s="140"/>
      <c r="D94" s="140"/>
      <c r="E94" s="140"/>
      <c r="F94" s="140"/>
      <c r="G94" s="140"/>
      <c r="H94" s="140"/>
      <c r="I94" s="140"/>
      <c r="J94" s="140"/>
      <c r="K94" s="140"/>
      <c r="L94" s="140"/>
      <c r="M94" s="140"/>
      <c r="N94" s="140"/>
      <c r="O94" s="140"/>
      <c r="P94" s="140"/>
      <c r="Q94" s="140"/>
      <c r="R94" s="140"/>
      <c r="S94" s="140"/>
      <c r="T94" s="149"/>
      <c r="U94" s="149"/>
      <c r="V94" s="149"/>
      <c r="W94" s="149"/>
      <c r="X94" s="149"/>
      <c r="Y94" s="150"/>
      <c r="Z94" s="150"/>
      <c r="AA94" s="150"/>
      <c r="AB94" s="150"/>
      <c r="AC94" s="148"/>
      <c r="AD94" s="148" t="e">
        <f ca="1"/>
        <v>#N/A</v>
      </c>
      <c r="AE94" s="148"/>
      <c r="AF94" s="148"/>
      <c r="AG94" s="148"/>
      <c r="AH94" s="148"/>
      <c r="AI94" s="150"/>
      <c r="AJ94" s="150"/>
      <c r="AK94" s="150"/>
      <c r="AL94" s="150"/>
    </row>
    <row r="95" spans="1:38" ht="14.85" hidden="1" customHeight="1">
      <c r="B95" s="138" t="str">
        <v>Vivaro zlatá broušená - maximální doporučená délka profilu 2150 mm</v>
      </c>
      <c r="C95" s="140"/>
      <c r="D95" s="140"/>
      <c r="E95" s="140"/>
      <c r="F95" s="140"/>
      <c r="G95" s="140"/>
      <c r="H95" s="140"/>
      <c r="I95" s="140"/>
      <c r="J95" s="140"/>
      <c r="K95" s="140"/>
      <c r="L95" s="140"/>
      <c r="M95" s="140"/>
      <c r="N95" s="140"/>
      <c r="O95" s="140"/>
      <c r="P95" s="140"/>
      <c r="Q95" s="140"/>
      <c r="R95" s="140"/>
      <c r="S95" s="140"/>
      <c r="T95" s="149"/>
      <c r="U95" s="149"/>
      <c r="V95" s="149"/>
      <c r="W95" s="149"/>
      <c r="X95" s="149"/>
      <c r="Y95" s="150"/>
      <c r="Z95" s="150"/>
      <c r="AA95" s="150"/>
      <c r="AB95" s="150"/>
      <c r="AC95" s="148"/>
      <c r="AD95" s="148" t="e">
        <f ca="1"/>
        <v>#N/A</v>
      </c>
      <c r="AE95" s="148"/>
      <c r="AF95" s="148"/>
      <c r="AG95" s="148"/>
      <c r="AH95" s="148"/>
      <c r="AI95" s="150"/>
      <c r="AJ95" s="150"/>
      <c r="AK95" s="150"/>
      <c r="AL95" s="150"/>
    </row>
    <row r="96" spans="1:38" ht="14.85" hidden="1" customHeight="1">
      <c r="B96" s="138" t="str">
        <v>Rocca elox (Vlevo a vpravo) + Varna elox (Nahoře a dole)</v>
      </c>
      <c r="C96" s="140"/>
      <c r="D96" s="140"/>
      <c r="E96" s="140"/>
      <c r="F96" s="140"/>
      <c r="G96" s="140"/>
      <c r="H96" s="140"/>
      <c r="I96" s="140"/>
      <c r="J96" s="140"/>
      <c r="K96" s="140"/>
      <c r="L96" s="140"/>
      <c r="M96" s="140"/>
      <c r="N96" s="140"/>
      <c r="O96" s="140"/>
      <c r="P96" s="140"/>
      <c r="Q96" s="140"/>
      <c r="R96" s="140"/>
      <c r="S96" s="140"/>
      <c r="T96" s="149"/>
      <c r="U96" s="149"/>
      <c r="V96" s="149"/>
      <c r="W96" s="149"/>
      <c r="X96" s="149"/>
      <c r="Y96" s="150"/>
      <c r="Z96" s="150"/>
      <c r="AA96" s="150"/>
      <c r="AB96" s="150"/>
      <c r="AC96" s="148"/>
      <c r="AD96" s="148" t="e">
        <f ca="1"/>
        <v>#N/A</v>
      </c>
      <c r="AE96" s="148"/>
      <c r="AF96" s="148"/>
      <c r="AG96" s="148"/>
      <c r="AH96" s="148"/>
      <c r="AI96" s="150"/>
      <c r="AJ96" s="150"/>
      <c r="AK96" s="150"/>
      <c r="AL96" s="150"/>
    </row>
    <row r="97" spans="2:38" ht="14.85" hidden="1" customHeight="1">
      <c r="B97" s="138" t="str">
        <v>Rocca černá (Vlevo a vpravo) + Varna černá (Nahoře a dole)</v>
      </c>
      <c r="C97" s="140"/>
      <c r="D97" s="140"/>
      <c r="E97" s="140"/>
      <c r="F97" s="140"/>
      <c r="G97" s="140"/>
      <c r="H97" s="140"/>
      <c r="I97" s="140"/>
      <c r="J97" s="140"/>
      <c r="K97" s="140"/>
      <c r="L97" s="140"/>
      <c r="M97" s="140"/>
      <c r="N97" s="140"/>
      <c r="O97" s="140"/>
      <c r="P97" s="140"/>
      <c r="Q97" s="140"/>
      <c r="R97" s="140"/>
      <c r="S97" s="140"/>
      <c r="T97" s="149"/>
      <c r="U97" s="149"/>
      <c r="V97" s="149"/>
      <c r="W97" s="149"/>
      <c r="X97" s="149"/>
      <c r="Y97" s="150"/>
      <c r="Z97" s="150"/>
      <c r="AA97" s="150"/>
      <c r="AB97" s="150"/>
      <c r="AC97" s="148"/>
      <c r="AD97" s="148" t="e">
        <f ca="1"/>
        <v>#N/A</v>
      </c>
      <c r="AE97" s="148"/>
      <c r="AF97" s="148"/>
      <c r="AG97" s="148"/>
      <c r="AH97" s="148"/>
      <c r="AI97" s="150"/>
      <c r="AJ97" s="150"/>
      <c r="AK97" s="150"/>
      <c r="AL97" s="150"/>
    </row>
    <row r="98" spans="2:38" ht="14.85" hidden="1" customHeight="1">
      <c r="B98" s="138" t="str">
        <v>ROMA černá mat - maximální doporučená délka profilu 2696 mm</v>
      </c>
      <c r="C98" s="140"/>
      <c r="D98" s="140"/>
      <c r="E98" s="140"/>
      <c r="F98" s="140"/>
      <c r="G98" s="140"/>
      <c r="H98" s="140"/>
      <c r="I98" s="140"/>
      <c r="J98" s="140"/>
      <c r="K98" s="140"/>
      <c r="L98" s="140"/>
      <c r="M98" s="140"/>
      <c r="N98" s="140"/>
      <c r="O98" s="140"/>
      <c r="P98" s="140"/>
      <c r="Q98" s="140"/>
      <c r="R98" s="140"/>
      <c r="S98" s="140"/>
      <c r="T98" s="149"/>
      <c r="U98" s="149"/>
      <c r="V98" s="149"/>
      <c r="W98" s="149"/>
      <c r="X98" s="149"/>
      <c r="Y98" s="150"/>
      <c r="Z98" s="150"/>
      <c r="AA98" s="150"/>
      <c r="AB98" s="150"/>
      <c r="AC98" s="148"/>
      <c r="AD98" s="148"/>
      <c r="AE98" s="148"/>
      <c r="AF98" s="148"/>
      <c r="AG98" s="148"/>
      <c r="AH98" s="148"/>
      <c r="AI98" s="150"/>
      <c r="AJ98" s="150"/>
      <c r="AK98" s="150"/>
      <c r="AL98" s="150"/>
    </row>
    <row r="99" spans="2:38" ht="14.85" hidden="1" customHeight="1">
      <c r="B99" s="138" t="str">
        <v>ROMA champagne mat - maximální doporučená délka profilu 2696 mm</v>
      </c>
      <c r="C99" s="140"/>
      <c r="D99" s="140"/>
      <c r="E99" s="140"/>
      <c r="F99" s="140"/>
      <c r="G99" s="140"/>
      <c r="H99" s="140"/>
      <c r="I99" s="140"/>
      <c r="J99" s="140"/>
      <c r="K99" s="140"/>
      <c r="L99" s="140"/>
      <c r="M99" s="140"/>
      <c r="N99" s="140"/>
      <c r="O99" s="140"/>
      <c r="P99" s="140"/>
      <c r="Q99" s="140"/>
      <c r="R99" s="140"/>
      <c r="S99" s="140"/>
      <c r="T99" s="149"/>
      <c r="U99" s="149"/>
      <c r="V99" s="149"/>
      <c r="W99" s="149"/>
      <c r="X99" s="149"/>
      <c r="Y99" s="150"/>
      <c r="Z99" s="150"/>
      <c r="AA99" s="150"/>
      <c r="AB99" s="150"/>
      <c r="AC99" s="148"/>
      <c r="AD99" s="148"/>
      <c r="AE99" s="148"/>
      <c r="AF99" s="148"/>
      <c r="AG99" s="148"/>
      <c r="AH99" s="148"/>
      <c r="AI99" s="150"/>
      <c r="AJ99" s="150"/>
      <c r="AK99" s="150"/>
      <c r="AL99" s="150"/>
    </row>
    <row r="100" spans="2:38" ht="14.85" hidden="1" customHeight="1">
      <c r="B100" s="138" t="str">
        <v>ROMA GRIP černá mat - maximální doporučená délka profilu 2696 mm</v>
      </c>
      <c r="C100" s="140"/>
      <c r="D100" s="140"/>
      <c r="E100" s="140"/>
      <c r="F100" s="140"/>
      <c r="G100" s="140"/>
      <c r="H100" s="140"/>
      <c r="I100" s="140"/>
      <c r="J100" s="140"/>
      <c r="K100" s="140"/>
      <c r="L100" s="140"/>
      <c r="M100" s="140"/>
      <c r="N100" s="140"/>
      <c r="O100" s="140"/>
      <c r="P100" s="140"/>
      <c r="Q100" s="140"/>
      <c r="R100" s="140"/>
      <c r="S100" s="140"/>
      <c r="T100" s="149"/>
      <c r="U100" s="149"/>
      <c r="V100" s="149"/>
      <c r="W100" s="149"/>
      <c r="X100" s="149"/>
      <c r="Y100" s="150"/>
      <c r="Z100" s="150"/>
      <c r="AA100" s="150"/>
      <c r="AB100" s="150"/>
      <c r="AC100" s="148"/>
      <c r="AD100" s="148"/>
      <c r="AE100" s="148"/>
      <c r="AF100" s="148"/>
      <c r="AG100" s="148"/>
      <c r="AH100" s="148"/>
      <c r="AI100" s="150"/>
      <c r="AJ100" s="150"/>
      <c r="AK100" s="150"/>
      <c r="AL100" s="150"/>
    </row>
    <row r="101" spans="2:38" ht="14.85" hidden="1" customHeight="1">
      <c r="B101" s="140" t="str">
        <v>ROMA GRIP champagne mat - maximální doporučená délka profilu 2696 mm</v>
      </c>
      <c r="T101" s="150"/>
      <c r="U101" s="150"/>
      <c r="V101" s="150"/>
      <c r="W101" s="150"/>
      <c r="X101" s="150"/>
      <c r="Y101" s="150"/>
      <c r="Z101" s="150"/>
      <c r="AA101" s="150"/>
      <c r="AB101" s="150"/>
      <c r="AC101" s="148"/>
      <c r="AD101" s="148"/>
      <c r="AE101" s="148"/>
      <c r="AF101" s="148"/>
      <c r="AG101" s="148"/>
      <c r="AH101" s="148"/>
      <c r="AI101" s="150"/>
      <c r="AJ101" s="150"/>
      <c r="AK101" s="150"/>
      <c r="AL101" s="150"/>
    </row>
    <row r="102" spans="2:38" ht="14.85" hidden="1" customHeight="1">
      <c r="T102" s="150"/>
      <c r="U102" s="150"/>
      <c r="V102" s="150"/>
      <c r="W102" s="150"/>
      <c r="X102" s="150"/>
      <c r="Y102" s="150"/>
      <c r="Z102" s="150"/>
      <c r="AA102" s="150"/>
      <c r="AB102" s="150"/>
      <c r="AC102" s="148"/>
      <c r="AD102" s="148"/>
      <c r="AE102" s="148"/>
      <c r="AF102" s="148"/>
      <c r="AG102" s="148"/>
      <c r="AH102" s="148"/>
      <c r="AI102" s="150"/>
      <c r="AJ102" s="150"/>
      <c r="AK102" s="150"/>
      <c r="AL102" s="150"/>
    </row>
    <row r="103" spans="2:38" ht="14.85" hidden="1" customHeight="1">
      <c r="T103" s="150"/>
      <c r="U103" s="150"/>
      <c r="V103" s="150"/>
      <c r="W103" s="150"/>
      <c r="X103" s="150"/>
      <c r="Y103" s="150"/>
      <c r="Z103" s="150"/>
      <c r="AA103" s="150"/>
      <c r="AB103" s="150"/>
      <c r="AC103" s="148"/>
      <c r="AD103" s="148"/>
      <c r="AE103" s="148"/>
      <c r="AF103" s="148"/>
      <c r="AG103" s="148"/>
      <c r="AH103" s="148"/>
      <c r="AI103" s="150"/>
      <c r="AJ103" s="150"/>
      <c r="AK103" s="150"/>
      <c r="AL103" s="150"/>
    </row>
    <row r="104" spans="2:38" ht="14.85" hidden="1" customHeight="1">
      <c r="T104" s="150"/>
      <c r="U104" s="150"/>
      <c r="V104" s="150"/>
      <c r="W104" s="150"/>
      <c r="X104" s="150"/>
      <c r="Y104" s="150"/>
      <c r="Z104" s="150"/>
      <c r="AA104" s="150"/>
      <c r="AB104" s="150"/>
      <c r="AC104" s="148"/>
      <c r="AD104" s="148"/>
      <c r="AE104" s="148"/>
      <c r="AF104" s="148"/>
      <c r="AG104" s="148"/>
      <c r="AH104" s="148"/>
      <c r="AI104" s="150"/>
      <c r="AJ104" s="150"/>
      <c r="AK104" s="150"/>
      <c r="AL104" s="150"/>
    </row>
    <row r="105" spans="2:38" ht="14.85" hidden="1" customHeight="1">
      <c r="T105" s="150"/>
      <c r="U105" s="150"/>
      <c r="V105" s="150"/>
      <c r="W105" s="150"/>
      <c r="X105" s="150"/>
      <c r="Y105" s="150"/>
      <c r="Z105" s="150"/>
      <c r="AA105" s="150"/>
      <c r="AB105" s="150"/>
      <c r="AC105" s="148"/>
      <c r="AD105" s="148"/>
      <c r="AE105" s="148"/>
      <c r="AF105" s="148"/>
      <c r="AG105" s="148"/>
      <c r="AH105" s="148"/>
      <c r="AI105" s="150"/>
      <c r="AJ105" s="150"/>
      <c r="AK105" s="150"/>
      <c r="AL105" s="150"/>
    </row>
    <row r="106" spans="2:38" ht="14.85" hidden="1" customHeight="1">
      <c r="T106" s="150"/>
      <c r="U106" s="150"/>
      <c r="V106" s="150"/>
      <c r="W106" s="150"/>
      <c r="X106" s="150"/>
      <c r="Y106" s="150"/>
      <c r="Z106" s="150"/>
      <c r="AA106" s="150"/>
      <c r="AB106" s="150"/>
      <c r="AC106" s="148"/>
      <c r="AD106" s="148"/>
      <c r="AE106" s="148"/>
      <c r="AF106" s="148"/>
      <c r="AG106" s="148"/>
      <c r="AH106" s="148"/>
      <c r="AI106" s="150"/>
      <c r="AJ106" s="150"/>
      <c r="AK106" s="150"/>
      <c r="AL106" s="150"/>
    </row>
    <row r="107" spans="2:38" ht="14.85" hidden="1" customHeight="1">
      <c r="T107" s="150"/>
      <c r="U107" s="150"/>
      <c r="V107" s="150"/>
      <c r="W107" s="150"/>
      <c r="X107" s="150"/>
      <c r="Y107" s="150"/>
      <c r="Z107" s="150"/>
      <c r="AA107" s="150"/>
      <c r="AB107" s="150"/>
      <c r="AC107" s="148"/>
      <c r="AD107" s="148"/>
      <c r="AE107" s="148"/>
      <c r="AF107" s="148"/>
      <c r="AG107" s="148"/>
      <c r="AH107" s="148"/>
      <c r="AI107" s="150"/>
      <c r="AJ107" s="150"/>
      <c r="AK107" s="150"/>
      <c r="AL107" s="150"/>
    </row>
    <row r="108" spans="2:38" ht="14.85" hidden="1" customHeight="1">
      <c r="T108" s="150"/>
      <c r="U108" s="150"/>
      <c r="V108" s="150"/>
      <c r="W108" s="150"/>
      <c r="X108" s="150"/>
      <c r="Y108" s="150"/>
      <c r="Z108" s="150"/>
      <c r="AA108" s="150"/>
      <c r="AB108" s="150"/>
      <c r="AC108" s="148"/>
      <c r="AD108" s="148"/>
      <c r="AE108" s="148"/>
      <c r="AF108" s="148"/>
      <c r="AG108" s="148"/>
      <c r="AH108" s="148"/>
      <c r="AI108" s="150"/>
      <c r="AJ108" s="150"/>
      <c r="AK108" s="150"/>
      <c r="AL108" s="150"/>
    </row>
    <row r="109" spans="2:38" ht="14.85" hidden="1" customHeight="1">
      <c r="T109" s="150"/>
      <c r="U109" s="150"/>
      <c r="V109" s="150"/>
      <c r="W109" s="150"/>
      <c r="X109" s="150"/>
      <c r="Y109" s="150"/>
      <c r="Z109" s="150"/>
      <c r="AA109" s="150"/>
      <c r="AB109" s="150"/>
      <c r="AC109" s="148"/>
      <c r="AD109" s="148"/>
      <c r="AE109" s="148"/>
      <c r="AF109" s="148"/>
      <c r="AG109" s="148"/>
      <c r="AH109" s="148"/>
      <c r="AI109" s="150"/>
      <c r="AJ109" s="150"/>
      <c r="AK109" s="150"/>
      <c r="AL109" s="150"/>
    </row>
    <row r="110" spans="2:38" ht="14.85" hidden="1" customHeight="1">
      <c r="T110" s="150"/>
      <c r="U110" s="150"/>
      <c r="V110" s="150"/>
      <c r="W110" s="150"/>
      <c r="X110" s="150"/>
      <c r="Y110" s="150"/>
      <c r="Z110" s="150"/>
      <c r="AA110" s="150"/>
      <c r="AB110" s="150"/>
      <c r="AC110" s="148"/>
      <c r="AD110" s="148"/>
      <c r="AE110" s="148"/>
      <c r="AF110" s="148"/>
      <c r="AG110" s="148"/>
      <c r="AH110" s="148"/>
      <c r="AI110" s="150"/>
      <c r="AJ110" s="150"/>
      <c r="AK110" s="150"/>
      <c r="AL110" s="150"/>
    </row>
    <row r="111" spans="2:38" ht="14.85" hidden="1" customHeight="1">
      <c r="T111" s="150"/>
      <c r="U111" s="150"/>
      <c r="V111" s="150"/>
      <c r="W111" s="150"/>
      <c r="X111" s="150"/>
      <c r="Y111" s="150"/>
      <c r="Z111" s="150"/>
      <c r="AA111" s="150"/>
      <c r="AB111" s="150"/>
      <c r="AC111" s="148"/>
      <c r="AD111" s="148"/>
      <c r="AE111" s="148"/>
      <c r="AF111" s="148"/>
      <c r="AG111" s="148"/>
      <c r="AH111" s="148"/>
      <c r="AI111" s="150"/>
      <c r="AJ111" s="150"/>
      <c r="AK111" s="150"/>
      <c r="AL111" s="150"/>
    </row>
    <row r="112" spans="2:38" ht="14.85" hidden="1" customHeight="1">
      <c r="T112" s="150"/>
      <c r="U112" s="150"/>
      <c r="V112" s="150"/>
      <c r="W112" s="150"/>
      <c r="X112" s="150"/>
      <c r="Y112" s="150"/>
      <c r="Z112" s="150"/>
      <c r="AA112" s="150"/>
      <c r="AB112" s="150"/>
      <c r="AC112" s="148"/>
      <c r="AD112" s="148"/>
      <c r="AE112" s="148"/>
      <c r="AF112" s="148"/>
      <c r="AG112" s="148"/>
      <c r="AH112" s="148"/>
      <c r="AI112" s="150"/>
      <c r="AJ112" s="150"/>
      <c r="AK112" s="150"/>
      <c r="AL112" s="150"/>
    </row>
    <row r="113" spans="20:38" ht="14.85" hidden="1" customHeight="1">
      <c r="T113" s="150"/>
      <c r="U113" s="150"/>
      <c r="V113" s="150"/>
      <c r="W113" s="150"/>
      <c r="X113" s="150"/>
      <c r="Y113" s="150"/>
      <c r="Z113" s="150"/>
      <c r="AA113" s="150"/>
      <c r="AB113" s="150"/>
      <c r="AC113" s="148"/>
      <c r="AD113" s="148"/>
      <c r="AE113" s="148"/>
      <c r="AF113" s="148"/>
      <c r="AG113" s="148"/>
      <c r="AH113" s="148"/>
      <c r="AI113" s="150"/>
      <c r="AJ113" s="150"/>
      <c r="AK113" s="150"/>
      <c r="AL113" s="150"/>
    </row>
    <row r="114" spans="20:38" ht="14.85" hidden="1" customHeight="1">
      <c r="T114" s="150"/>
      <c r="U114" s="150"/>
      <c r="V114" s="150"/>
      <c r="W114" s="150"/>
      <c r="X114" s="150"/>
      <c r="Y114" s="150"/>
      <c r="Z114" s="150"/>
      <c r="AA114" s="150"/>
      <c r="AB114" s="150"/>
      <c r="AC114" s="148"/>
      <c r="AD114" s="148"/>
      <c r="AE114" s="148"/>
      <c r="AF114" s="148"/>
      <c r="AG114" s="148"/>
      <c r="AH114" s="148"/>
      <c r="AI114" s="150"/>
      <c r="AJ114" s="150"/>
      <c r="AK114" s="150"/>
      <c r="AL114" s="150"/>
    </row>
    <row r="115" spans="20:38" ht="14.85" hidden="1" customHeight="1">
      <c r="T115" s="150"/>
      <c r="U115" s="150"/>
      <c r="V115" s="150"/>
      <c r="W115" s="150"/>
      <c r="X115" s="150"/>
      <c r="Y115" s="150"/>
      <c r="Z115" s="150"/>
      <c r="AA115" s="150"/>
      <c r="AB115" s="150"/>
      <c r="AC115" s="148"/>
      <c r="AD115" s="148"/>
      <c r="AE115" s="148"/>
      <c r="AF115" s="148"/>
      <c r="AG115" s="148"/>
      <c r="AH115" s="148"/>
      <c r="AI115" s="150"/>
      <c r="AJ115" s="150"/>
      <c r="AK115" s="150"/>
      <c r="AL115" s="150"/>
    </row>
    <row r="116" spans="20:38" ht="19.5" hidden="1" customHeight="1">
      <c r="T116" s="150"/>
      <c r="U116" s="150"/>
      <c r="V116" s="150"/>
      <c r="W116" s="150"/>
      <c r="X116" s="150"/>
      <c r="Y116" s="150"/>
      <c r="Z116" s="150"/>
      <c r="AA116" s="150"/>
      <c r="AB116" s="150"/>
      <c r="AC116" s="148"/>
      <c r="AD116" s="148"/>
      <c r="AE116" s="148"/>
      <c r="AF116" s="148"/>
      <c r="AG116" s="148"/>
      <c r="AH116" s="148"/>
      <c r="AI116" s="150"/>
      <c r="AJ116" s="150"/>
      <c r="AK116" s="150"/>
      <c r="AL116" s="150"/>
    </row>
    <row r="117" spans="20:38" ht="14.85" hidden="1" customHeight="1">
      <c r="T117" s="150"/>
      <c r="U117" s="150"/>
      <c r="V117" s="150"/>
      <c r="W117" s="150"/>
      <c r="X117" s="150"/>
      <c r="Y117" s="150"/>
      <c r="Z117" s="150"/>
      <c r="AA117" s="150"/>
      <c r="AB117" s="150"/>
      <c r="AC117" s="148"/>
      <c r="AD117" s="148"/>
      <c r="AE117" s="148"/>
      <c r="AF117" s="148"/>
      <c r="AG117" s="148"/>
      <c r="AH117" s="148"/>
      <c r="AI117" s="150"/>
      <c r="AJ117" s="150"/>
      <c r="AK117" s="150"/>
      <c r="AL117" s="150"/>
    </row>
    <row r="118" spans="20:38" ht="14.85" hidden="1" customHeight="1">
      <c r="T118" s="150"/>
      <c r="U118" s="150"/>
      <c r="V118" s="150"/>
      <c r="W118" s="150"/>
      <c r="X118" s="150"/>
      <c r="Y118" s="150"/>
      <c r="Z118" s="150"/>
      <c r="AA118" s="150"/>
      <c r="AB118" s="150"/>
      <c r="AC118" s="148"/>
      <c r="AD118" s="148"/>
      <c r="AE118" s="148"/>
      <c r="AF118" s="148"/>
      <c r="AG118" s="148"/>
      <c r="AH118" s="148"/>
      <c r="AI118" s="150"/>
      <c r="AJ118" s="150"/>
      <c r="AK118" s="150"/>
      <c r="AL118" s="150"/>
    </row>
    <row r="119" spans="20:38" ht="14.85" hidden="1" customHeight="1">
      <c r="T119" s="150"/>
      <c r="U119" s="150"/>
      <c r="V119" s="150"/>
      <c r="W119" s="150"/>
      <c r="X119" s="150"/>
      <c r="Y119" s="150"/>
      <c r="Z119" s="150"/>
      <c r="AA119" s="150"/>
      <c r="AB119" s="150"/>
      <c r="AC119" s="148"/>
      <c r="AD119" s="148"/>
      <c r="AE119" s="148"/>
      <c r="AF119" s="148"/>
      <c r="AG119" s="148"/>
      <c r="AH119" s="148"/>
      <c r="AI119" s="150"/>
      <c r="AJ119" s="150"/>
      <c r="AK119" s="150"/>
      <c r="AL119" s="150"/>
    </row>
    <row r="120" spans="20:38" ht="14.85" hidden="1" customHeight="1">
      <c r="T120" s="150"/>
      <c r="U120" s="150"/>
      <c r="V120" s="150"/>
      <c r="W120" s="150"/>
      <c r="X120" s="150"/>
      <c r="Y120" s="150"/>
      <c r="Z120" s="150"/>
      <c r="AA120" s="150"/>
      <c r="AB120" s="150"/>
      <c r="AC120" s="148"/>
      <c r="AD120" s="148"/>
      <c r="AE120" s="148"/>
      <c r="AF120" s="148"/>
      <c r="AG120" s="148"/>
      <c r="AH120" s="148"/>
      <c r="AI120" s="150"/>
      <c r="AJ120" s="150"/>
      <c r="AK120" s="150"/>
      <c r="AL120" s="150"/>
    </row>
    <row r="121" spans="20:38" ht="14.85" hidden="1" customHeight="1">
      <c r="T121" s="150"/>
      <c r="U121" s="150"/>
      <c r="V121" s="150"/>
      <c r="W121" s="150"/>
      <c r="X121" s="150"/>
      <c r="Y121" s="150"/>
      <c r="Z121" s="150"/>
      <c r="AA121" s="150"/>
      <c r="AB121" s="150"/>
      <c r="AC121" s="148"/>
      <c r="AD121" s="148"/>
      <c r="AE121" s="148"/>
      <c r="AF121" s="148"/>
      <c r="AG121" s="148"/>
      <c r="AH121" s="148"/>
      <c r="AI121" s="150"/>
      <c r="AJ121" s="150"/>
      <c r="AK121" s="150"/>
      <c r="AL121" s="150"/>
    </row>
    <row r="122" spans="20:38" ht="14.85" hidden="1" customHeight="1">
      <c r="T122" s="150"/>
      <c r="U122" s="150"/>
      <c r="V122" s="150"/>
      <c r="W122" s="150"/>
      <c r="X122" s="150"/>
      <c r="Y122" s="150"/>
      <c r="Z122" s="150"/>
      <c r="AA122" s="150"/>
      <c r="AB122" s="150"/>
      <c r="AC122" s="148"/>
      <c r="AD122" s="148"/>
      <c r="AE122" s="148"/>
      <c r="AF122" s="148"/>
      <c r="AG122" s="148"/>
      <c r="AH122" s="148"/>
      <c r="AI122" s="150"/>
      <c r="AJ122" s="150"/>
      <c r="AK122" s="150"/>
      <c r="AL122" s="150"/>
    </row>
    <row r="123" spans="20:38" ht="14.85" hidden="1" customHeight="1">
      <c r="T123" s="150"/>
      <c r="U123" s="150"/>
      <c r="V123" s="150"/>
      <c r="W123" s="150"/>
      <c r="X123" s="150"/>
      <c r="Y123" s="150"/>
      <c r="Z123" s="150"/>
      <c r="AA123" s="150"/>
      <c r="AB123" s="150"/>
      <c r="AC123" s="148"/>
      <c r="AD123" s="148"/>
      <c r="AE123" s="148"/>
      <c r="AF123" s="148"/>
      <c r="AG123" s="148"/>
      <c r="AH123" s="148"/>
      <c r="AI123" s="150"/>
      <c r="AJ123" s="150"/>
      <c r="AK123" s="150"/>
      <c r="AL123" s="150"/>
    </row>
    <row r="124" spans="20:38" ht="14.85" hidden="1" customHeight="1">
      <c r="T124" s="150"/>
      <c r="U124" s="150"/>
      <c r="V124" s="150"/>
      <c r="W124" s="150"/>
      <c r="X124" s="150"/>
      <c r="Y124" s="150"/>
      <c r="Z124" s="150"/>
      <c r="AA124" s="150"/>
      <c r="AB124" s="150"/>
      <c r="AC124" s="148"/>
      <c r="AD124" s="148"/>
      <c r="AE124" s="148"/>
      <c r="AF124" s="148"/>
      <c r="AG124" s="148"/>
      <c r="AH124" s="148"/>
      <c r="AI124" s="150"/>
      <c r="AJ124" s="150"/>
      <c r="AK124" s="150"/>
      <c r="AL124" s="150"/>
    </row>
    <row r="125" spans="20:38" ht="14.85" hidden="1" customHeight="1">
      <c r="T125" s="150"/>
      <c r="U125" s="150"/>
      <c r="V125" s="150"/>
      <c r="W125" s="150"/>
      <c r="X125" s="150"/>
      <c r="Y125" s="150"/>
      <c r="Z125" s="150"/>
      <c r="AA125" s="150"/>
      <c r="AB125" s="150"/>
      <c r="AC125" s="148"/>
      <c r="AD125" s="148"/>
      <c r="AE125" s="148"/>
      <c r="AF125" s="148"/>
      <c r="AG125" s="148"/>
      <c r="AH125" s="148"/>
      <c r="AI125" s="150"/>
      <c r="AJ125" s="150"/>
      <c r="AK125" s="150"/>
      <c r="AL125" s="150"/>
    </row>
    <row r="126" spans="20:38" ht="14.85" hidden="1" customHeight="1">
      <c r="T126" s="150"/>
      <c r="U126" s="150"/>
      <c r="V126" s="150"/>
      <c r="W126" s="150"/>
      <c r="X126" s="150"/>
      <c r="Y126" s="150"/>
      <c r="Z126" s="150"/>
      <c r="AA126" s="150"/>
      <c r="AB126" s="150"/>
      <c r="AC126" s="148"/>
      <c r="AD126" s="148"/>
      <c r="AE126" s="148"/>
      <c r="AF126" s="148"/>
      <c r="AG126" s="148"/>
      <c r="AH126" s="148"/>
      <c r="AI126" s="150"/>
      <c r="AJ126" s="150"/>
      <c r="AK126" s="150"/>
      <c r="AL126" s="150"/>
    </row>
    <row r="127" spans="20:38" ht="14.85" hidden="1" customHeight="1">
      <c r="T127" s="150"/>
      <c r="U127" s="150"/>
      <c r="V127" s="150"/>
      <c r="W127" s="150"/>
      <c r="X127" s="150"/>
      <c r="Y127" s="150"/>
      <c r="Z127" s="150"/>
      <c r="AA127" s="150"/>
      <c r="AB127" s="150"/>
      <c r="AC127" s="148"/>
      <c r="AD127" s="148"/>
      <c r="AE127" s="148"/>
      <c r="AF127" s="148"/>
      <c r="AG127" s="148"/>
      <c r="AH127" s="148"/>
      <c r="AI127" s="150"/>
      <c r="AJ127" s="150"/>
      <c r="AK127" s="150"/>
      <c r="AL127" s="150"/>
    </row>
    <row r="128" spans="20:38" ht="14.85" hidden="1" customHeight="1">
      <c r="T128" s="150"/>
      <c r="U128" s="150"/>
      <c r="V128" s="150"/>
      <c r="W128" s="150"/>
      <c r="X128" s="150"/>
      <c r="Y128" s="150"/>
      <c r="Z128" s="150"/>
      <c r="AA128" s="150"/>
      <c r="AB128" s="150"/>
      <c r="AC128" s="148"/>
      <c r="AD128" s="148"/>
      <c r="AE128" s="148"/>
      <c r="AF128" s="148"/>
      <c r="AG128" s="148"/>
      <c r="AH128" s="148"/>
      <c r="AI128" s="150"/>
      <c r="AJ128" s="150"/>
      <c r="AK128" s="150"/>
      <c r="AL128" s="150"/>
    </row>
    <row r="129" spans="20:38" ht="14.85" hidden="1" customHeight="1">
      <c r="T129" s="150"/>
      <c r="U129" s="150"/>
      <c r="V129" s="150"/>
      <c r="W129" s="150"/>
      <c r="X129" s="150"/>
      <c r="Y129" s="150"/>
      <c r="Z129" s="150"/>
      <c r="AA129" s="150"/>
      <c r="AB129" s="150"/>
      <c r="AC129" s="148"/>
      <c r="AD129" s="148"/>
      <c r="AE129" s="148"/>
      <c r="AF129" s="148"/>
      <c r="AG129" s="148"/>
      <c r="AH129" s="148"/>
      <c r="AI129" s="150"/>
      <c r="AJ129" s="150"/>
      <c r="AK129" s="150"/>
      <c r="AL129" s="150"/>
    </row>
    <row r="130" spans="20:38" ht="14.85" hidden="1" customHeight="1">
      <c r="T130" s="150"/>
      <c r="U130" s="150"/>
      <c r="V130" s="150"/>
      <c r="W130" s="150"/>
      <c r="X130" s="150"/>
      <c r="Y130" s="150"/>
      <c r="Z130" s="150"/>
      <c r="AA130" s="150"/>
      <c r="AB130" s="150"/>
      <c r="AC130" s="148"/>
      <c r="AD130" s="148"/>
      <c r="AE130" s="148"/>
      <c r="AF130" s="148"/>
      <c r="AG130" s="148"/>
      <c r="AH130" s="148"/>
      <c r="AI130" s="150"/>
      <c r="AJ130" s="150"/>
      <c r="AK130" s="150"/>
      <c r="AL130" s="150"/>
    </row>
    <row r="131" spans="20:38" ht="14.85" hidden="1" customHeight="1">
      <c r="T131" s="150"/>
      <c r="U131" s="150"/>
      <c r="V131" s="150"/>
      <c r="W131" s="150"/>
      <c r="X131" s="150"/>
      <c r="Y131" s="150"/>
      <c r="Z131" s="150"/>
      <c r="AA131" s="150"/>
      <c r="AB131" s="150"/>
      <c r="AC131" s="150"/>
      <c r="AD131" s="150"/>
      <c r="AE131" s="150"/>
      <c r="AF131" s="150"/>
      <c r="AG131" s="150"/>
      <c r="AH131" s="150"/>
      <c r="AI131" s="150"/>
      <c r="AJ131" s="150"/>
      <c r="AK131" s="150"/>
      <c r="AL131" s="150"/>
    </row>
    <row r="132" spans="20:38" ht="14.85" hidden="1" customHeight="1">
      <c r="T132" s="150"/>
      <c r="U132" s="150"/>
      <c r="V132" s="150"/>
      <c r="W132" s="150"/>
      <c r="X132" s="150"/>
      <c r="Y132" s="150"/>
      <c r="Z132" s="150"/>
      <c r="AA132" s="150"/>
      <c r="AB132" s="150"/>
      <c r="AC132" s="150"/>
      <c r="AD132" s="150"/>
      <c r="AE132" s="150"/>
      <c r="AF132" s="150"/>
      <c r="AG132" s="150"/>
      <c r="AH132" s="150"/>
      <c r="AI132" s="150"/>
      <c r="AJ132" s="150"/>
      <c r="AK132" s="150"/>
      <c r="AL132" s="150"/>
    </row>
    <row r="133" spans="20:38" ht="14.85" hidden="1" customHeight="1">
      <c r="T133" s="150"/>
      <c r="U133" s="150"/>
      <c r="V133" s="150"/>
      <c r="W133" s="150"/>
      <c r="X133" s="150"/>
      <c r="Y133" s="150"/>
      <c r="Z133" s="150"/>
      <c r="AA133" s="150"/>
      <c r="AB133" s="150"/>
      <c r="AC133" s="150"/>
      <c r="AD133" s="150"/>
      <c r="AE133" s="150"/>
      <c r="AF133" s="150"/>
      <c r="AG133" s="150"/>
      <c r="AH133" s="150"/>
      <c r="AI133" s="150"/>
      <c r="AJ133" s="150"/>
      <c r="AK133" s="150"/>
      <c r="AL133" s="150"/>
    </row>
    <row r="134" spans="20:38" ht="14.85" hidden="1" customHeight="1">
      <c r="T134" s="150"/>
      <c r="U134" s="150"/>
      <c r="V134" s="150"/>
      <c r="W134" s="150"/>
      <c r="X134" s="150"/>
      <c r="Y134" s="150"/>
      <c r="Z134" s="150"/>
      <c r="AA134" s="150"/>
      <c r="AB134" s="150"/>
      <c r="AC134" s="150"/>
      <c r="AD134" s="150"/>
      <c r="AE134" s="150"/>
      <c r="AF134" s="150"/>
      <c r="AG134" s="150"/>
      <c r="AH134" s="150"/>
      <c r="AI134" s="150"/>
      <c r="AJ134" s="150"/>
      <c r="AK134" s="150"/>
      <c r="AL134" s="150"/>
    </row>
    <row r="135" spans="20:38" ht="14.85" hidden="1" customHeight="1">
      <c r="T135" s="150"/>
      <c r="U135" s="150"/>
      <c r="V135" s="150"/>
      <c r="W135" s="150"/>
      <c r="X135" s="150"/>
      <c r="Y135" s="150"/>
      <c r="Z135" s="150"/>
      <c r="AA135" s="150"/>
      <c r="AB135" s="150"/>
      <c r="AC135" s="150"/>
      <c r="AD135" s="150"/>
      <c r="AE135" s="150"/>
      <c r="AF135" s="150"/>
      <c r="AG135" s="150"/>
      <c r="AH135" s="150"/>
      <c r="AI135" s="150"/>
      <c r="AJ135" s="150"/>
      <c r="AK135" s="150"/>
      <c r="AL135" s="150"/>
    </row>
    <row r="136" spans="20:38" ht="14.85" hidden="1" customHeight="1">
      <c r="T136" s="150"/>
      <c r="U136" s="150"/>
      <c r="V136" s="150"/>
      <c r="W136" s="150"/>
      <c r="X136" s="150"/>
      <c r="Y136" s="150"/>
      <c r="Z136" s="150"/>
      <c r="AA136" s="150"/>
      <c r="AB136" s="150"/>
      <c r="AC136" s="150"/>
      <c r="AD136" s="150"/>
      <c r="AE136" s="150"/>
      <c r="AF136" s="150"/>
      <c r="AG136" s="150"/>
      <c r="AH136" s="150"/>
      <c r="AI136" s="150"/>
      <c r="AJ136" s="150"/>
      <c r="AK136" s="150"/>
      <c r="AL136" s="150"/>
    </row>
    <row r="137" spans="20:38" ht="14.85" hidden="1" customHeight="1">
      <c r="T137" s="150"/>
      <c r="U137" s="150"/>
      <c r="V137" s="150"/>
      <c r="W137" s="150"/>
      <c r="X137" s="150"/>
      <c r="Y137" s="150"/>
      <c r="Z137" s="150"/>
      <c r="AA137" s="150"/>
      <c r="AB137" s="150"/>
      <c r="AC137" s="150"/>
      <c r="AD137" s="150"/>
      <c r="AE137" s="150"/>
      <c r="AF137" s="150"/>
      <c r="AG137" s="150"/>
      <c r="AH137" s="150"/>
      <c r="AI137" s="150"/>
      <c r="AJ137" s="150"/>
      <c r="AK137" s="150"/>
      <c r="AL137" s="150"/>
    </row>
    <row r="138" spans="20:38" ht="14.85" hidden="1" customHeight="1">
      <c r="T138" s="150"/>
      <c r="U138" s="150"/>
      <c r="V138" s="150"/>
      <c r="W138" s="150"/>
      <c r="X138" s="150"/>
      <c r="Y138" s="150"/>
      <c r="Z138" s="150"/>
      <c r="AA138" s="150"/>
      <c r="AB138" s="150"/>
      <c r="AC138" s="150"/>
      <c r="AD138" s="150"/>
      <c r="AE138" s="150"/>
      <c r="AF138" s="150"/>
      <c r="AG138" s="150"/>
      <c r="AH138" s="150"/>
      <c r="AI138" s="150"/>
      <c r="AJ138" s="150"/>
      <c r="AK138" s="150"/>
      <c r="AL138" s="150"/>
    </row>
    <row r="139" spans="20:38" ht="15" hidden="1"/>
    <row r="140" spans="20:38" ht="15" hidden="1"/>
    <row r="141" spans="20:38" ht="15" hidden="1"/>
    <row r="142" spans="20:38" ht="15" hidden="1"/>
    <row r="143" spans="20:38" ht="15" hidden="1"/>
    <row r="144" spans="20:38" ht="15" hidden="1"/>
    <row r="145" ht="15" hidden="1"/>
    <row r="146" ht="15" hidden="1"/>
    <row r="147" ht="15" hidden="1"/>
    <row r="148" ht="15" hidden="1"/>
    <row r="149" ht="15" hidden="1"/>
    <row r="150" ht="15" hidden="1"/>
  </sheetData>
  <sheetProtection algorithmName="SHA-512" hashValue="t8NaDX8OAcFf2CX7ma0isAqgdjT1Q8HYYQQG3kpbDERL2OJdgvLw5wgraP1PDBhmRVX9VCuldLSJVBwc2oRGXQ==" saltValue="WlPXAWADQvZwQGZ/0Ontiw==" spinCount="100000" sheet="1" objects="1" scenarios="1"/>
  <protectedRanges>
    <protectedRange sqref="G7 I7:R7" name="Oblast1_1"/>
  </protectedRanges>
  <mergeCells count="99">
    <mergeCell ref="B33:K34"/>
    <mergeCell ref="L33:Q34"/>
    <mergeCell ref="AC9:AD9"/>
    <mergeCell ref="AD21:AD23"/>
    <mergeCell ref="B24:F24"/>
    <mergeCell ref="H24:Q24"/>
    <mergeCell ref="B25:F25"/>
    <mergeCell ref="H11:L11"/>
    <mergeCell ref="M11:Q11"/>
    <mergeCell ref="B12:F12"/>
    <mergeCell ref="H12:Q12"/>
    <mergeCell ref="N20:Q20"/>
    <mergeCell ref="H17:Q17"/>
    <mergeCell ref="B9:F9"/>
    <mergeCell ref="H9:Q9"/>
    <mergeCell ref="B11:F11"/>
    <mergeCell ref="AN19:AO19"/>
    <mergeCell ref="AJ26:AJ27"/>
    <mergeCell ref="AF25:AK25"/>
    <mergeCell ref="S25:Y31"/>
    <mergeCell ref="AF30:AH30"/>
    <mergeCell ref="AB29:AO29"/>
    <mergeCell ref="AI30:AK30"/>
    <mergeCell ref="AO31:AR32"/>
    <mergeCell ref="AB19:AC19"/>
    <mergeCell ref="AR19:AR23"/>
    <mergeCell ref="AM23:AM25"/>
    <mergeCell ref="AL19:AL25"/>
    <mergeCell ref="AC25:AD25"/>
    <mergeCell ref="S24:U24"/>
    <mergeCell ref="S18:Y23"/>
    <mergeCell ref="AR14:AR18"/>
    <mergeCell ref="AP47:AQ47"/>
    <mergeCell ref="R33:S33"/>
    <mergeCell ref="R34:S34"/>
    <mergeCell ref="V34:W34"/>
    <mergeCell ref="AN47:AO47"/>
    <mergeCell ref="M10:Q10"/>
    <mergeCell ref="S10:Y12"/>
    <mergeCell ref="H10:L10"/>
    <mergeCell ref="A2:AJ3"/>
    <mergeCell ref="B7:F7"/>
    <mergeCell ref="S7:U7"/>
    <mergeCell ref="S8:Y9"/>
    <mergeCell ref="G7:Q7"/>
    <mergeCell ref="H8:Q8"/>
    <mergeCell ref="AE17:AE23"/>
    <mergeCell ref="AC8:AG8"/>
    <mergeCell ref="AJ7:AJ8"/>
    <mergeCell ref="AF9:AK9"/>
    <mergeCell ref="B14:F14"/>
    <mergeCell ref="B13:F13"/>
    <mergeCell ref="AD14:AD20"/>
    <mergeCell ref="AP2:AS3"/>
    <mergeCell ref="BD3:BH3"/>
    <mergeCell ref="BI3:BM3"/>
    <mergeCell ref="B5:D5"/>
    <mergeCell ref="F5:H5"/>
    <mergeCell ref="J5:L5"/>
    <mergeCell ref="N5:P5"/>
    <mergeCell ref="R5:T5"/>
    <mergeCell ref="AB4:AN5"/>
    <mergeCell ref="V5:X5"/>
    <mergeCell ref="AC24:AG24"/>
    <mergeCell ref="F16:I16"/>
    <mergeCell ref="J16:M16"/>
    <mergeCell ref="B17:F17"/>
    <mergeCell ref="B18:F18"/>
    <mergeCell ref="B21:F21"/>
    <mergeCell ref="B20:E20"/>
    <mergeCell ref="H23:Q23"/>
    <mergeCell ref="AM14:AM21"/>
    <mergeCell ref="H18:Q18"/>
    <mergeCell ref="H21:Q21"/>
    <mergeCell ref="N16:Q16"/>
    <mergeCell ref="S13:Y17"/>
    <mergeCell ref="H13:Q13"/>
    <mergeCell ref="H14:Q14"/>
    <mergeCell ref="F20:I20"/>
    <mergeCell ref="J20:M20"/>
    <mergeCell ref="B19:F19"/>
    <mergeCell ref="B15:F15"/>
    <mergeCell ref="H15:Q15"/>
    <mergeCell ref="B16:E16"/>
    <mergeCell ref="B32:Q32"/>
    <mergeCell ref="B28:F28"/>
    <mergeCell ref="H28:Q28"/>
    <mergeCell ref="B30:J31"/>
    <mergeCell ref="K30:K31"/>
    <mergeCell ref="L30:O31"/>
    <mergeCell ref="P30:Q31"/>
    <mergeCell ref="D29:O29"/>
    <mergeCell ref="P29:Q29"/>
    <mergeCell ref="B26:F26"/>
    <mergeCell ref="H26:Q26"/>
    <mergeCell ref="B27:F27"/>
    <mergeCell ref="H27:Q27"/>
    <mergeCell ref="H19:Q19"/>
    <mergeCell ref="H25:Q25"/>
  </mergeCells>
  <conditionalFormatting sqref="B5 F5 J5 N5 R5 V5">
    <cfRule type="cellIs" dxfId="209" priority="24" operator="equal">
      <formula>$A$2</formula>
    </cfRule>
  </conditionalFormatting>
  <conditionalFormatting sqref="B16:I16">
    <cfRule type="expression" dxfId="208" priority="45">
      <formula>$AU$19=0</formula>
    </cfRule>
  </conditionalFormatting>
  <conditionalFormatting sqref="B9:Q9">
    <cfRule type="expression" dxfId="207" priority="30">
      <formula>$B$9=0</formula>
    </cfRule>
  </conditionalFormatting>
  <conditionalFormatting sqref="B11:Q11">
    <cfRule type="expression" dxfId="206" priority="44">
      <formula>$AU$10=0</formula>
    </cfRule>
  </conditionalFormatting>
  <conditionalFormatting sqref="B14:Q14">
    <cfRule type="expression" dxfId="205" priority="29">
      <formula>$B$14=0</formula>
    </cfRule>
  </conditionalFormatting>
  <conditionalFormatting sqref="B17:Q17">
    <cfRule type="expression" dxfId="204" priority="28">
      <formula>$B$17=0</formula>
    </cfRule>
  </conditionalFormatting>
  <conditionalFormatting sqref="B18:Q18">
    <cfRule type="expression" dxfId="203" priority="14" stopIfTrue="1">
      <formula>$B$18=0</formula>
    </cfRule>
    <cfRule type="expression" dxfId="202" priority="17">
      <formula>$F$16=$H$61</formula>
    </cfRule>
  </conditionalFormatting>
  <conditionalFormatting sqref="B19:Q19">
    <cfRule type="expression" dxfId="201" priority="27">
      <formula>$B$19=0</formula>
    </cfRule>
  </conditionalFormatting>
  <conditionalFormatting sqref="B20:Q20">
    <cfRule type="expression" dxfId="200" priority="25">
      <formula>$B$20=0</formula>
    </cfRule>
    <cfRule type="expression" dxfId="199" priority="26">
      <formula>$B$19=0</formula>
    </cfRule>
  </conditionalFormatting>
  <conditionalFormatting sqref="B21:Q21">
    <cfRule type="expression" dxfId="198" priority="6">
      <formula>$B$21=" "</formula>
    </cfRule>
  </conditionalFormatting>
  <conditionalFormatting sqref="B24:Q24">
    <cfRule type="expression" dxfId="197" priority="19" stopIfTrue="1">
      <formula>$T$59&lt;3</formula>
    </cfRule>
  </conditionalFormatting>
  <conditionalFormatting sqref="H23">
    <cfRule type="expression" dxfId="196" priority="31">
      <formula>$H$25&gt;0</formula>
    </cfRule>
  </conditionalFormatting>
  <conditionalFormatting sqref="H10:L11">
    <cfRule type="expression" dxfId="195" priority="23">
      <formula>$AU$10=2</formula>
    </cfRule>
  </conditionalFormatting>
  <conditionalFormatting sqref="H10:Q10">
    <cfRule type="expression" dxfId="194" priority="22">
      <formula>$AU$10=0</formula>
    </cfRule>
  </conditionalFormatting>
  <conditionalFormatting sqref="H22:Q22 B22:G23">
    <cfRule type="expression" dxfId="193" priority="20">
      <formula>$AS$33=1</formula>
    </cfRule>
  </conditionalFormatting>
  <conditionalFormatting sqref="J16:M16">
    <cfRule type="expression" dxfId="192" priority="16" stopIfTrue="1">
      <formula>$K$60=TRUE</formula>
    </cfRule>
  </conditionalFormatting>
  <conditionalFormatting sqref="J16:N16">
    <cfRule type="expression" dxfId="191" priority="18" stopIfTrue="1">
      <formula>$AV$19=0</formula>
    </cfRule>
  </conditionalFormatting>
  <conditionalFormatting sqref="M10:Q11">
    <cfRule type="expression" dxfId="190" priority="21">
      <formula>$AU$10=1</formula>
    </cfRule>
  </conditionalFormatting>
  <conditionalFormatting sqref="N16:Q16">
    <cfRule type="expression" dxfId="189" priority="15" stopIfTrue="1">
      <formula>$K$60=TRUE</formula>
    </cfRule>
  </conditionalFormatting>
  <conditionalFormatting sqref="P29:Q29">
    <cfRule type="expression" dxfId="188" priority="1">
      <formula>$U$41=2</formula>
    </cfRule>
  </conditionalFormatting>
  <conditionalFormatting sqref="AA9:AA10 AA24:AA25">
    <cfRule type="expression" dxfId="187" priority="10" stopIfTrue="1">
      <formula>$AU$17=1</formula>
    </cfRule>
  </conditionalFormatting>
  <conditionalFormatting sqref="AA16:AA17">
    <cfRule type="expression" dxfId="186" priority="5" stopIfTrue="1">
      <formula>$AU$24="1_3"</formula>
    </cfRule>
  </conditionalFormatting>
  <conditionalFormatting sqref="AB6 AA6:AA7 AA27 AA28:AB28">
    <cfRule type="expression" dxfId="185" priority="4" stopIfTrue="1">
      <formula>$AV$17=1</formula>
    </cfRule>
  </conditionalFormatting>
  <conditionalFormatting sqref="AB29:AO29">
    <cfRule type="cellIs" dxfId="184" priority="2" operator="equal">
      <formula>0</formula>
    </cfRule>
  </conditionalFormatting>
  <conditionalFormatting sqref="AC6:AD6 AM6:AN6">
    <cfRule type="expression" dxfId="183" priority="12" stopIfTrue="1">
      <formula>$AU$17=3</formula>
    </cfRule>
  </conditionalFormatting>
  <conditionalFormatting sqref="AC25:AD25 AJ26:AJ27">
    <cfRule type="expression" dxfId="182" priority="39">
      <formula>$AU$25=4</formula>
    </cfRule>
  </conditionalFormatting>
  <conditionalFormatting sqref="AC28:AD28 AM28:AN28">
    <cfRule type="expression" dxfId="181" priority="11" stopIfTrue="1">
      <formula>$AU$17=4</formula>
    </cfRule>
  </conditionalFormatting>
  <conditionalFormatting sqref="AC8:AG8">
    <cfRule type="expression" dxfId="180" priority="43">
      <formula>$AU$25=3</formula>
    </cfRule>
  </conditionalFormatting>
  <conditionalFormatting sqref="AC24:AG24">
    <cfRule type="expression" dxfId="179" priority="40">
      <formula>$AU$25=4</formula>
    </cfRule>
  </conditionalFormatting>
  <conditionalFormatting sqref="AD21:AD23 AB19:AC19">
    <cfRule type="expression" dxfId="178" priority="33">
      <formula>$AU$25=1</formula>
    </cfRule>
  </conditionalFormatting>
  <conditionalFormatting sqref="AD14 AD20">
    <cfRule type="expression" dxfId="177" priority="32">
      <formula>$AU$25=1</formula>
    </cfRule>
  </conditionalFormatting>
  <conditionalFormatting sqref="AE17:AE23">
    <cfRule type="expression" dxfId="176" priority="41">
      <formula>$AU$25=1</formula>
    </cfRule>
  </conditionalFormatting>
  <conditionalFormatting sqref="AF9:AK9">
    <cfRule type="expression" dxfId="175" priority="36">
      <formula>$AU$25=3</formula>
    </cfRule>
  </conditionalFormatting>
  <conditionalFormatting sqref="AF25:AK25">
    <cfRule type="expression" dxfId="174" priority="38">
      <formula>$AU$25=4</formula>
    </cfRule>
  </conditionalFormatting>
  <conditionalFormatting sqref="AG6:AH6">
    <cfRule type="expression" dxfId="173" priority="8" stopIfTrue="1">
      <formula>$AU$24="3_3"</formula>
    </cfRule>
  </conditionalFormatting>
  <conditionalFormatting sqref="AG28:AH28">
    <cfRule type="expression" dxfId="172" priority="7" stopIfTrue="1">
      <formula>$AU$24="4_3"</formula>
    </cfRule>
  </conditionalFormatting>
  <conditionalFormatting sqref="AJ7:AJ8 AC9:AD9">
    <cfRule type="expression" dxfId="171" priority="37">
      <formula>$AU$25=3</formula>
    </cfRule>
  </conditionalFormatting>
  <conditionalFormatting sqref="AL19:AL25">
    <cfRule type="expression" dxfId="170" priority="42">
      <formula>$AU$25=2</formula>
    </cfRule>
  </conditionalFormatting>
  <conditionalFormatting sqref="AM14:AM21">
    <cfRule type="expression" dxfId="169" priority="34">
      <formula>$AU$25=2</formula>
    </cfRule>
  </conditionalFormatting>
  <conditionalFormatting sqref="AN19:AO19 AM23:AM25">
    <cfRule type="expression" dxfId="168" priority="35">
      <formula>$AU$25=2</formula>
    </cfRule>
  </conditionalFormatting>
  <conditionalFormatting sqref="AO6 AP6:AP7 AP27 AO28:AP28">
    <cfRule type="expression" dxfId="167" priority="3" stopIfTrue="1">
      <formula>$AV$17=2</formula>
    </cfRule>
  </conditionalFormatting>
  <conditionalFormatting sqref="AP9:AP10 AP24:AP25">
    <cfRule type="expression" dxfId="166" priority="9" stopIfTrue="1">
      <formula>$AU$17=2</formula>
    </cfRule>
  </conditionalFormatting>
  <conditionalFormatting sqref="AP16:AP17">
    <cfRule type="expression" dxfId="165" priority="13" stopIfTrue="1">
      <formula>$AU$24="2_3"</formula>
    </cfRule>
  </conditionalFormatting>
  <dataValidations count="20">
    <dataValidation type="whole" allowBlank="1" showInputMessage="1" showErrorMessage="1" sqref="H11:L11" xr:uid="{D228FC5D-0ED1-4DE6-8976-E01AAD856900}">
      <formula1>1</formula1>
      <formula2>(AR14/100)-1</formula2>
    </dataValidation>
    <dataValidation type="whole" allowBlank="1" showInputMessage="1" showErrorMessage="1" sqref="M11:Q11" xr:uid="{BD58DC65-D621-4E9C-A2A3-1919F1248F7B}">
      <formula1>1</formula1>
      <formula2>(AI30/100)-1</formula2>
    </dataValidation>
    <dataValidation type="whole" allowBlank="1" showInputMessage="1" showErrorMessage="1" errorTitle="Minimum 80 mm" sqref="F20:I20 N20:Q20" xr:uid="{3CF4724E-E635-4DF6-BC9D-75B1DF7EF581}">
      <formula1>80</formula1>
      <formula2>1300</formula2>
    </dataValidation>
    <dataValidation type="whole" operator="greaterThanOrEqual" allowBlank="1" showInputMessage="1" showErrorMessage="1" sqref="H26:Q26" xr:uid="{C000E41D-DEAB-4FDF-B2F0-06782DAE1721}">
      <formula1>1</formula1>
    </dataValidation>
    <dataValidation type="list" allowBlank="1" showInputMessage="1" showErrorMessage="1" sqref="H12:Q12" xr:uid="{595F759F-7B83-4488-926B-B64173A0A8D4}">
      <formula1>$L$36:$M$36</formula1>
    </dataValidation>
    <dataValidation type="list" allowBlank="1" showInputMessage="1" showErrorMessage="1" sqref="H24:Q24" xr:uid="{CB053239-EDA8-4983-8686-821CF4216020}">
      <formula1>$X$54:$X$56</formula1>
    </dataValidation>
    <dataValidation type="list" allowBlank="1" showInputMessage="1" showErrorMessage="1" sqref="H21:Q21" xr:uid="{9AC1481A-0057-493C-9C1B-C634B01AD6D2}">
      <formula1>$T$54:$T$56</formula1>
    </dataValidation>
    <dataValidation type="list" allowBlank="1" showInputMessage="1" showErrorMessage="1" sqref="H14:Q14" xr:uid="{8A8F2EFE-6AAC-4076-9B51-0D659DD8F17F}">
      <formula1>$P$36:$P$38</formula1>
    </dataValidation>
    <dataValidation type="list" allowBlank="1" showInputMessage="1" showErrorMessage="1" sqref="H19:Q19" xr:uid="{FEE3D548-DEFA-4EBB-A870-ADABFEB93B28}">
      <formula1>IF(H13="Salice",$AJ$36,($AJ$36:$AJ$40))</formula1>
    </dataValidation>
    <dataValidation type="list" allowBlank="1" showInputMessage="1" showErrorMessage="1" sqref="H18:Q18" xr:uid="{E5A0276A-3810-4C3D-87AF-81F13A3BD90A}">
      <formula1>$AF$36:$AF$41</formula1>
    </dataValidation>
    <dataValidation type="list" allowBlank="1" showInputMessage="1" showErrorMessage="1" sqref="N16:Q16" xr:uid="{88B80160-6C58-429E-8A4E-4DF4B34EF503}">
      <formula1>$K$54:$K$58</formula1>
    </dataValidation>
    <dataValidation type="list" allowBlank="1" showInputMessage="1" showErrorMessage="1" sqref="H13:Q13" xr:uid="{DD447A1A-BD4C-4026-B823-104E4EE3879D}">
      <formula1>IF(M38="Salice",$L$38,$L$38:$L$42)</formula1>
    </dataValidation>
    <dataValidation type="list" allowBlank="1" showInputMessage="1" showErrorMessage="1" sqref="H15:Q15" xr:uid="{FDE46F2C-4FA1-4937-BD4C-22255BBE1808}">
      <formula1>$T$36:$T$44</formula1>
    </dataValidation>
    <dataValidation type="list" allowBlank="1" showInputMessage="1" showErrorMessage="1" sqref="P29:Q29" xr:uid="{E31D1E03-7329-4EA9-A83B-116ED695D5F8}">
      <formula1>$W$37:$W$38</formula1>
    </dataValidation>
    <dataValidation type="list" allowBlank="1" showInputMessage="1" showErrorMessage="1" sqref="H25:Q25" xr:uid="{0D23C044-3D04-490E-BC42-72680AD214AA}">
      <formula1>$AD$54:$AD$97</formula1>
    </dataValidation>
    <dataValidation type="list" allowBlank="1" showInputMessage="1" showErrorMessage="1" sqref="H17:Q17" xr:uid="{42DF4D0D-E3ED-4272-B897-3D4E3F45FEF3}">
      <formula1>$P$82:$P$90</formula1>
    </dataValidation>
    <dataValidation type="list" allowBlank="1" showInputMessage="1" showErrorMessage="1" sqref="F16:I16" xr:uid="{9F24C9EE-8B14-43C3-B5F5-617BCF831B30}">
      <formula1>$O$65:$O$84</formula1>
    </dataValidation>
    <dataValidation type="list" allowBlank="1" showInputMessage="1" showErrorMessage="1" sqref="H8:Q8" xr:uid="{F87F1FDE-8C7E-4849-B8E9-A96A1209C2D1}">
      <formula1>B36:B101</formula1>
    </dataValidation>
    <dataValidation type="whole" operator="lessThan" showInputMessage="1" showErrorMessage="1" sqref="AI30:AK30" xr:uid="{AC49DDB7-1652-43C8-A62F-EB9995B763D7}">
      <formula1>IF(AR14&lt;AI43+1,AJ43+1,AI43+1)</formula1>
    </dataValidation>
    <dataValidation type="whole" operator="lessThan" showErrorMessage="1" sqref="AR14:AR18" xr:uid="{307DFEFD-5C67-47FD-AF61-678B6ED8934A}">
      <formula1>IF(AI30&lt;AI43+1,AJ43+1,AI43+1)</formula1>
    </dataValidation>
  </dataValidations>
  <hyperlinks>
    <hyperlink ref="AP2:AS3" location="Hlavní!A1" display="Hlavní!A1" xr:uid="{14B25112-EBC0-42F2-AA33-5EA98EACDEA2}"/>
    <hyperlink ref="F5:H5" location="Ram_2!A1" display="Ram_2!A1" xr:uid="{CC5EC3D4-742D-4BBF-9C6F-6CAED23E3F7C}"/>
    <hyperlink ref="N5:P5" location="Ram_4!A1" display="Ram_4!A1" xr:uid="{737C2F70-62EB-4CE5-B64B-7D168ABF745B}"/>
    <hyperlink ref="R5:T5" location="Ram_5!A1" display="Ram_5!A1" xr:uid="{1D8543A0-78BA-4FA5-8285-BE974C1AC966}"/>
    <hyperlink ref="V5:X5" location="Ram_6!A1" display="Ram_6!A1" xr:uid="{BA196B42-F39C-49C0-98C7-56F292AFAC7C}"/>
    <hyperlink ref="B5:D5" location="Ram_1!A1" display="Ram_1!A1" xr:uid="{1BDCF851-33E6-4250-848C-116E4E77172A}"/>
    <hyperlink ref="AO31:AR32" location="_souhrn!A1" display="_souhrn!A1" xr:uid="{0FB6F79C-D89E-4181-9454-5061ECF8B450}"/>
    <hyperlink ref="J5:L5" location="Ram_3!A1" display="Ram_3!A1" xr:uid="{61C4F070-76F5-4910-9ED8-64ADA14D2666}"/>
  </hyperlinks>
  <pageMargins left="0.7" right="0.7" top="0.78740157499999996" bottom="0.78740157499999996" header="0.3" footer="0.3"/>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34853" r:id="rId4" name="Check Box 5">
              <controlPr defaultSize="0" autoFill="0" autoLine="0" autoPict="0">
                <anchor moveWithCells="1">
                  <from>
                    <xdr:col>5</xdr:col>
                    <xdr:colOff>57150</xdr:colOff>
                    <xdr:row>6</xdr:row>
                    <xdr:rowOff>0</xdr:rowOff>
                  </from>
                  <to>
                    <xdr:col>5</xdr:col>
                    <xdr:colOff>361950</xdr:colOff>
                    <xdr:row>7</xdr:row>
                    <xdr:rowOff>0</xdr:rowOff>
                  </to>
                </anchor>
              </controlPr>
            </control>
          </mc:Choice>
        </mc:AlternateContent>
        <mc:AlternateContent xmlns:mc="http://schemas.openxmlformats.org/markup-compatibility/2006">
          <mc:Choice Requires="x14">
            <control shapeId="954189" r:id="rId5" name="Check Box 2893">
              <controlPr defaultSize="0" autoFill="0" autoLine="0" autoPict="0">
                <anchor moveWithCells="1">
                  <from>
                    <xdr:col>5</xdr:col>
                    <xdr:colOff>57150</xdr:colOff>
                    <xdr:row>6</xdr:row>
                    <xdr:rowOff>171450</xdr:rowOff>
                  </from>
                  <to>
                    <xdr:col>5</xdr:col>
                    <xdr:colOff>266700</xdr:colOff>
                    <xdr:row>7</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A897C852-BBC5-4A16-9D8A-18181FD3F32A}">
          <x14:formula1>
            <xm:f>'závěsy dle výklopu'!$BW$2:$BW$5</xm:f>
          </x14:formula1>
          <xm:sqref>H27:Q27</xm:sqref>
        </x14:dataValidation>
        <x14:dataValidation type="list" allowBlank="1" showInputMessage="1" showErrorMessage="1" xr:uid="{CB502C5C-6391-4FE2-B304-1035307A30E0}">
          <x14:formula1>
            <xm:f>kombinace_1!$BY$13:$BY$15</xm:f>
          </x14:formula1>
          <xm:sqref>H9:Q9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2A0D-BB04-4BDF-A560-340B000DFB6F}">
  <sheetPr codeName="List21"/>
  <dimension ref="A1:FC758"/>
  <sheetViews>
    <sheetView topLeftCell="A25" workbookViewId="0">
      <selection activeCell="A42" sqref="A42"/>
    </sheetView>
  </sheetViews>
  <sheetFormatPr defaultColWidth="8.5703125" defaultRowHeight="15"/>
  <cols>
    <col min="1" max="1" width="61.140625" customWidth="1"/>
    <col min="2" max="2" width="20.5703125" customWidth="1"/>
    <col min="3" max="3" width="17" bestFit="1" customWidth="1"/>
    <col min="4" max="4" width="17" customWidth="1"/>
    <col min="5" max="5" width="3" customWidth="1"/>
    <col min="6" max="6" width="15.42578125" bestFit="1" customWidth="1"/>
    <col min="7" max="7" width="11.140625" bestFit="1" customWidth="1"/>
    <col min="8" max="8" width="18.140625" bestFit="1" customWidth="1"/>
    <col min="9" max="9" width="24.140625" bestFit="1" customWidth="1"/>
    <col min="10" max="11" width="18.140625" customWidth="1"/>
    <col min="12" max="12" width="3" customWidth="1"/>
    <col min="13" max="13" width="21" bestFit="1" customWidth="1"/>
    <col min="14" max="14" width="15" bestFit="1" customWidth="1"/>
    <col min="15" max="15" width="3" customWidth="1"/>
    <col min="16" max="16" width="23.140625" customWidth="1"/>
    <col min="17" max="17" width="19.42578125" bestFit="1" customWidth="1"/>
    <col min="18" max="18" width="32.42578125" customWidth="1"/>
    <col min="19" max="19" width="19.42578125" customWidth="1"/>
    <col min="20" max="20" width="15.140625" customWidth="1"/>
    <col min="21" max="21" width="22.42578125" bestFit="1" customWidth="1"/>
    <col min="22" max="22" width="32.85546875" customWidth="1"/>
    <col min="23" max="23" width="9.7109375" customWidth="1"/>
    <col min="24" max="24" width="12.140625" bestFit="1" customWidth="1"/>
    <col min="25" max="25" width="4.140625" bestFit="1" customWidth="1"/>
    <col min="26" max="26" width="3" customWidth="1"/>
    <col min="27" max="27" width="25" customWidth="1"/>
    <col min="28" max="28" width="17.42578125" bestFit="1" customWidth="1"/>
    <col min="29" max="29" width="14.42578125" bestFit="1" customWidth="1"/>
    <col min="30" max="30" width="16.42578125" customWidth="1"/>
    <col min="31" max="31" width="8.42578125" customWidth="1"/>
    <col min="32" max="32" width="26.140625" customWidth="1"/>
    <col min="33" max="48" width="16.42578125" customWidth="1"/>
    <col min="49" max="49" width="8" customWidth="1"/>
    <col min="50" max="53" width="19.5703125" customWidth="1"/>
    <col min="54" max="54" width="3" customWidth="1"/>
    <col min="55" max="61" width="9.42578125" customWidth="1"/>
    <col min="62" max="62" width="3" customWidth="1"/>
    <col min="63" max="63" width="17.42578125" bestFit="1" customWidth="1"/>
    <col min="64" max="64" width="3" customWidth="1"/>
    <col min="65" max="65" width="12.5703125" customWidth="1"/>
    <col min="69" max="69" width="19.85546875" bestFit="1" customWidth="1"/>
    <col min="70" max="70" width="18.42578125" bestFit="1" customWidth="1"/>
    <col min="73" max="73" width="24.7109375" customWidth="1"/>
    <col min="74" max="74" width="32.5703125" customWidth="1"/>
    <col min="75" max="75" width="17.5703125" customWidth="1"/>
    <col min="77" max="77" width="21.42578125" bestFit="1" customWidth="1"/>
    <col min="78" max="78" width="19.28515625" customWidth="1"/>
    <col min="82" max="82" width="16.42578125" customWidth="1"/>
    <col min="85" max="85" width="26.28515625" customWidth="1"/>
    <col min="86" max="86" width="24.42578125" customWidth="1"/>
    <col min="87" max="87" width="24.5703125" customWidth="1"/>
    <col min="88" max="88" width="24.42578125" customWidth="1"/>
    <col min="89" max="89" width="25.5703125" customWidth="1"/>
    <col min="90" max="90" width="26.42578125" customWidth="1"/>
    <col min="91" max="92" width="21.42578125" bestFit="1" customWidth="1"/>
    <col min="93" max="93" width="24.42578125" bestFit="1" customWidth="1"/>
    <col min="94" max="94" width="21.42578125" bestFit="1" customWidth="1"/>
    <col min="95" max="95" width="21.5703125" bestFit="1" customWidth="1"/>
    <col min="96" max="96" width="19.5703125" bestFit="1" customWidth="1"/>
    <col min="97" max="97" width="21.5703125" bestFit="1" customWidth="1"/>
    <col min="98" max="98" width="19.5703125" bestFit="1" customWidth="1"/>
    <col min="99" max="99" width="24.42578125" bestFit="1" customWidth="1"/>
    <col min="100" max="100" width="21.42578125" bestFit="1" customWidth="1"/>
    <col min="101" max="102" width="19.5703125" bestFit="1" customWidth="1"/>
    <col min="103" max="103" width="24.42578125" bestFit="1" customWidth="1"/>
    <col min="104" max="104" width="21.42578125" bestFit="1" customWidth="1"/>
    <col min="105" max="105" width="19.5703125" bestFit="1" customWidth="1"/>
    <col min="106" max="106" width="20" bestFit="1" customWidth="1"/>
    <col min="107" max="110" width="19.5703125" bestFit="1" customWidth="1"/>
    <col min="111" max="111" width="24.42578125" bestFit="1" customWidth="1"/>
    <col min="112" max="112" width="21.42578125" bestFit="1" customWidth="1"/>
    <col min="113" max="113" width="24.42578125" bestFit="1" customWidth="1"/>
    <col min="114" max="114" width="21.42578125" bestFit="1" customWidth="1"/>
    <col min="115" max="116" width="19.5703125" bestFit="1" customWidth="1"/>
    <col min="118" max="118" width="12.5703125" bestFit="1" customWidth="1"/>
    <col min="124" max="124" width="59.5703125" customWidth="1"/>
    <col min="125" max="126" width="36.28515625" customWidth="1"/>
    <col min="127" max="127" width="52.5703125" bestFit="1" customWidth="1"/>
    <col min="134" max="134" width="57.140625" bestFit="1" customWidth="1"/>
    <col min="135" max="135" width="61.28515625" customWidth="1"/>
    <col min="136" max="136" width="9" bestFit="1" customWidth="1"/>
    <col min="144" max="144" width="16.42578125" customWidth="1"/>
    <col min="148" max="148" width="32.42578125" bestFit="1" customWidth="1"/>
    <col min="149" max="149" width="34.42578125" customWidth="1"/>
    <col min="150" max="150" width="22.42578125" bestFit="1" customWidth="1"/>
    <col min="155" max="155" width="24.85546875" customWidth="1"/>
    <col min="157" max="157" width="69.7109375" customWidth="1"/>
    <col min="159" max="159" width="21.85546875" customWidth="1"/>
  </cols>
  <sheetData>
    <row r="1" spans="1:159">
      <c r="A1" t="s">
        <v>24</v>
      </c>
      <c r="F1" t="s">
        <v>931</v>
      </c>
      <c r="H1" t="b">
        <v>0</v>
      </c>
      <c r="M1" t="s">
        <v>932</v>
      </c>
      <c r="P1" t="e">
        <f t="array" ref="P1">IF($S$1=Varianta_N1,_N1,IF($S$1=Varianta_A1,_A1,IF($S$1=Varianta_N2,_N2,IF($S$1=Varianta_A2,_A2,IF($S$1=Varianta_N3,_N3,IF($S$1=Varianta_A3,_A3,0))))))</f>
        <v>#N/A</v>
      </c>
      <c r="Q1" s="173" t="s">
        <v>997</v>
      </c>
      <c r="R1" s="2" t="e">
        <f>VLOOKUP(Ram_6!H8,kombinace_6!$A$3:$C$75,3,0)</f>
        <v>#N/A</v>
      </c>
      <c r="S1" t="e">
        <f>CONCATENATE("_",R1,V1)</f>
        <v>#N/A</v>
      </c>
      <c r="U1" s="173" t="s">
        <v>996</v>
      </c>
      <c r="V1" s="2">
        <f>IFERROR(VLOOKUP(Ram_6!H21,$EN$3:$EO$5,2,0),1)</f>
        <v>1</v>
      </c>
      <c r="X1" t="s">
        <v>933</v>
      </c>
      <c r="AA1" t="s">
        <v>599</v>
      </c>
      <c r="AF1" t="s">
        <v>934</v>
      </c>
      <c r="AX1" t="s">
        <v>399</v>
      </c>
      <c r="BC1" t="s">
        <v>8</v>
      </c>
      <c r="BK1" t="s">
        <v>565</v>
      </c>
      <c r="BM1" t="s">
        <v>986</v>
      </c>
      <c r="ED1" t="s">
        <v>3182</v>
      </c>
      <c r="EE1" t="s">
        <v>74</v>
      </c>
      <c r="ER1" t="s">
        <v>2152</v>
      </c>
      <c r="ES1" t="s">
        <v>2157</v>
      </c>
      <c r="EV1">
        <v>1</v>
      </c>
      <c r="EW1" t="s">
        <v>2174</v>
      </c>
      <c r="EY1" t="s">
        <v>2275</v>
      </c>
      <c r="FA1" t="s">
        <v>2276</v>
      </c>
      <c r="FC1" t="s">
        <v>2274</v>
      </c>
    </row>
    <row r="2" spans="1:159">
      <c r="A2" t="s">
        <v>935</v>
      </c>
      <c r="B2" t="s">
        <v>990</v>
      </c>
      <c r="C2" t="s">
        <v>991</v>
      </c>
      <c r="D2" t="s">
        <v>932</v>
      </c>
      <c r="F2" t="s">
        <v>937</v>
      </c>
      <c r="G2" t="s">
        <v>938</v>
      </c>
      <c r="H2" t="s">
        <v>939</v>
      </c>
      <c r="I2" t="s">
        <v>940</v>
      </c>
      <c r="M2" t="s">
        <v>941</v>
      </c>
      <c r="P2" t="s">
        <v>992</v>
      </c>
      <c r="X2" t="s">
        <v>942</v>
      </c>
      <c r="Y2" t="s">
        <v>943</v>
      </c>
      <c r="AA2" t="s">
        <v>814</v>
      </c>
      <c r="AB2" t="s">
        <v>944</v>
      </c>
      <c r="AC2" t="s">
        <v>945</v>
      </c>
      <c r="AD2" t="s">
        <v>565</v>
      </c>
      <c r="AF2" s="10" t="s">
        <v>946</v>
      </c>
      <c r="AG2" s="10" t="s">
        <v>564</v>
      </c>
      <c r="AH2">
        <v>1</v>
      </c>
      <c r="AI2">
        <v>2</v>
      </c>
      <c r="AJ2">
        <v>3</v>
      </c>
      <c r="AK2">
        <v>4</v>
      </c>
      <c r="AL2">
        <v>5</v>
      </c>
      <c r="AM2">
        <v>6</v>
      </c>
      <c r="AN2">
        <v>7</v>
      </c>
      <c r="AO2">
        <v>8</v>
      </c>
      <c r="AP2">
        <v>9</v>
      </c>
      <c r="AQ2">
        <v>10</v>
      </c>
      <c r="AR2">
        <v>11</v>
      </c>
      <c r="AS2">
        <v>12</v>
      </c>
      <c r="AT2">
        <v>13</v>
      </c>
      <c r="AU2">
        <v>14</v>
      </c>
      <c r="AV2">
        <v>15</v>
      </c>
      <c r="AX2" t="s">
        <v>936</v>
      </c>
      <c r="AY2" t="s">
        <v>814</v>
      </c>
      <c r="AZ2" t="s">
        <v>947</v>
      </c>
      <c r="BA2" t="s">
        <v>948</v>
      </c>
      <c r="BC2" s="174">
        <v>1</v>
      </c>
      <c r="BD2" s="174">
        <v>2</v>
      </c>
      <c r="BE2" s="174">
        <v>3</v>
      </c>
      <c r="BF2" s="174">
        <v>4</v>
      </c>
      <c r="BG2" s="174">
        <v>5</v>
      </c>
      <c r="BH2" s="174">
        <v>6</v>
      </c>
      <c r="BI2" s="174">
        <v>7</v>
      </c>
      <c r="BK2" s="174" t="s">
        <v>949</v>
      </c>
      <c r="BM2" t="s">
        <v>987</v>
      </c>
      <c r="BN2" t="s">
        <v>988</v>
      </c>
      <c r="BO2" t="s">
        <v>933</v>
      </c>
      <c r="BU2" t="str">
        <f>CONCATENATE("_",Ram_6!H12,"_",Ram_6!H13)</f>
        <v>__</v>
      </c>
      <c r="BV2" t="s">
        <v>1013</v>
      </c>
      <c r="BW2" t="s">
        <v>1009</v>
      </c>
      <c r="BY2" t="s">
        <v>110</v>
      </c>
      <c r="CA2" t="s">
        <v>1032</v>
      </c>
      <c r="CD2" t="s">
        <v>1106</v>
      </c>
      <c r="CF2" t="s">
        <v>1328</v>
      </c>
      <c r="DN2" t="str">
        <f>'Translate&amp;Prices&amp;Logo'!B555</f>
        <v>Naložený</v>
      </c>
      <c r="DP2" t="str">
        <f>'Translate&amp;Prices&amp;Logo'!$B$553</f>
        <v>Závěsy</v>
      </c>
      <c r="DQ2">
        <v>2</v>
      </c>
      <c r="ED2" t="s">
        <v>1649</v>
      </c>
      <c r="EE2" t="s">
        <v>3183</v>
      </c>
      <c r="ER2" t="s">
        <v>2153</v>
      </c>
      <c r="ES2" t="s">
        <v>2158</v>
      </c>
      <c r="EV2">
        <v>2</v>
      </c>
      <c r="EW2" t="s">
        <v>2175</v>
      </c>
      <c r="EY2" s="206" t="str">
        <f>'Translate&amp;Prices&amp;Logo'!B166</f>
        <v>síťka alu zlatá - rozměr oka 10x6x1 mm</v>
      </c>
      <c r="FA2" s="34" t="str">
        <f>'Translate&amp;Prices&amp;Logo'!B646</f>
        <v>520405 SALICE AIR SOFT niklový závěs s úhlem otevírání 92° sada 2ks</v>
      </c>
      <c r="FC2" t="b">
        <v>0</v>
      </c>
    </row>
    <row r="3" spans="1:159">
      <c r="A3" t="str">
        <f>'Translate&amp;Prices&amp;Logo'!$B$6</f>
        <v>BRW (elox.) - maximální doporučená délka profilu 2500 mm</v>
      </c>
      <c r="B3">
        <v>1</v>
      </c>
      <c r="C3" t="s">
        <v>651</v>
      </c>
      <c r="D3">
        <v>1</v>
      </c>
      <c r="F3" t="s">
        <v>950</v>
      </c>
      <c r="G3" t="s">
        <v>382</v>
      </c>
      <c r="H3" t="s">
        <v>951</v>
      </c>
      <c r="I3">
        <v>1</v>
      </c>
      <c r="J3">
        <v>2</v>
      </c>
      <c r="K3" t="s">
        <v>651</v>
      </c>
      <c r="M3" t="s">
        <v>952</v>
      </c>
      <c r="N3" t="s">
        <v>554</v>
      </c>
      <c r="X3" t="str">
        <f>'Translate&amp;Prices&amp;Logo'!$B$565</f>
        <v>Transparentní</v>
      </c>
      <c r="Y3">
        <v>1</v>
      </c>
      <c r="AA3" t="s">
        <v>2079</v>
      </c>
      <c r="AB3" t="s">
        <v>1009</v>
      </c>
      <c r="AF3" t="s">
        <v>105</v>
      </c>
      <c r="AG3" t="s">
        <v>2373</v>
      </c>
      <c r="AY3" t="s">
        <v>984</v>
      </c>
      <c r="BK3" t="s">
        <v>105</v>
      </c>
      <c r="BU3" t="e">
        <f>VLOOKUP(BU2,BV2:BW9,2,0)</f>
        <v>#N/A</v>
      </c>
      <c r="BV3" t="s">
        <v>1015</v>
      </c>
      <c r="BW3" t="s">
        <v>1012</v>
      </c>
      <c r="BY3" t="str">
        <f>'Translate&amp;Prices&amp;Logo'!$B$232</f>
        <v>Vlevo</v>
      </c>
      <c r="BZ3">
        <v>1</v>
      </c>
      <c r="CA3">
        <v>32</v>
      </c>
      <c r="CD3" t="s">
        <v>2370</v>
      </c>
      <c r="CE3">
        <v>1</v>
      </c>
      <c r="CF3">
        <v>1</v>
      </c>
      <c r="DN3" t="e">
        <f>IF(OR(Ram_6!$H$13&amp;Ram_6!$AU$7=Ram_6!$M$44,
Ram_6!$H$13&amp;Ram_6!$AU$7=Ram_6!$M$45,
Ram_6!$H$13&amp;Ram_6!$AU$7=Ram_6!$M$46,
Ram_6!$H$13&amp;Ram_6!$AU$7=Ram_6!$M$47),
'Translate&amp;Prices&amp;Logo'!B659,'Translate&amp;Prices&amp;Logo'!B556)</f>
        <v>#N/A</v>
      </c>
      <c r="DP3" t="str">
        <f>'Translate&amp;Prices&amp;Logo'!$B$554</f>
        <v>Výklopy</v>
      </c>
      <c r="DQ3">
        <v>3</v>
      </c>
      <c r="ED3" t="s">
        <v>1650</v>
      </c>
      <c r="EE3" t="s">
        <v>3186</v>
      </c>
      <c r="EJ3">
        <v>1</v>
      </c>
      <c r="EK3" t="s">
        <v>113</v>
      </c>
      <c r="EN3" t="str">
        <f>'Translate&amp;Prices&amp;Logo'!B640</f>
        <v>Bez úprav</v>
      </c>
      <c r="EO3">
        <v>1</v>
      </c>
      <c r="ER3" t="s">
        <v>2151</v>
      </c>
      <c r="ES3" t="s">
        <v>2159</v>
      </c>
      <c r="EV3">
        <v>3</v>
      </c>
      <c r="EW3" t="s">
        <v>2176</v>
      </c>
      <c r="EY3" s="206" t="str">
        <f>'Translate&amp;Prices&amp;Logo'!B167</f>
        <v>síťka ocel černá mat RAL 9005 – rozměr oka 8x4x1 mm</v>
      </c>
      <c r="FA3" s="34" t="str">
        <f>'Translate&amp;Prices&amp;Logo'!B647</f>
        <v>520406 SALICE AIR PUSH TO OPEN niklový závěs s adaptérem sada 2ks</v>
      </c>
    </row>
    <row r="4" spans="1:159">
      <c r="A4" t="str">
        <f>'Translate&amp;Prices&amp;Logo'!$B$8</f>
        <v>BRW bílá mat RAL 9003 - maximální doporučená délka profilu 2500 mm</v>
      </c>
      <c r="B4">
        <v>1</v>
      </c>
      <c r="C4" t="s">
        <v>651</v>
      </c>
      <c r="D4">
        <v>0</v>
      </c>
      <c r="G4" t="s">
        <v>951</v>
      </c>
      <c r="H4" t="s">
        <v>382</v>
      </c>
      <c r="I4">
        <v>0</v>
      </c>
      <c r="J4">
        <v>2</v>
      </c>
      <c r="K4" t="s">
        <v>651</v>
      </c>
      <c r="M4" t="s">
        <v>955</v>
      </c>
      <c r="N4" t="s">
        <v>856</v>
      </c>
      <c r="X4" t="str">
        <f>'Translate&amp;Prices&amp;Logo'!$B$566</f>
        <v>Bílá</v>
      </c>
      <c r="Y4">
        <v>2</v>
      </c>
      <c r="AA4" t="s">
        <v>954</v>
      </c>
      <c r="AB4" t="s">
        <v>2370</v>
      </c>
      <c r="AC4">
        <v>1</v>
      </c>
      <c r="AD4">
        <v>1</v>
      </c>
      <c r="AF4" t="s">
        <v>106</v>
      </c>
      <c r="AG4" t="s">
        <v>2373</v>
      </c>
      <c r="AY4" t="s">
        <v>984</v>
      </c>
      <c r="AZ4" t="s">
        <v>1017</v>
      </c>
      <c r="BK4" t="s">
        <v>106</v>
      </c>
      <c r="BV4" t="s">
        <v>1016</v>
      </c>
      <c r="BW4" t="s">
        <v>1011</v>
      </c>
      <c r="BY4" t="str">
        <f>'Translate&amp;Prices&amp;Logo'!$B$231</f>
        <v xml:space="preserve">Vpravo </v>
      </c>
      <c r="BZ4">
        <v>2</v>
      </c>
      <c r="CA4">
        <v>64</v>
      </c>
      <c r="CD4" t="s">
        <v>2150</v>
      </c>
      <c r="CE4">
        <v>1</v>
      </c>
      <c r="CF4">
        <v>0</v>
      </c>
      <c r="DN4" t="e">
        <f>IF(OR(Ram_6!$H$13&amp;Ram_6!$AU$7=Ram_6!$M$44,
Ram_6!$H$13&amp;Ram_6!$AU$7=Ram_6!$M$45,
Ram_6!$H$13&amp;Ram_6!$AU$7=Ram_6!$M$46,
Ram_6!$H$13&amp;Ram_6!$AU$7=Ram_6!$M$47),
'Translate&amp;Prices&amp;Logo'!B659,'Translate&amp;Prices&amp;Logo'!B557)</f>
        <v>#N/A</v>
      </c>
      <c r="ED4" t="s">
        <v>1651</v>
      </c>
      <c r="EE4" t="s">
        <v>3188</v>
      </c>
      <c r="EJ4">
        <v>2</v>
      </c>
      <c r="EK4" t="s">
        <v>114</v>
      </c>
      <c r="EN4" t="str">
        <f>'Translate&amp;Prices&amp;Logo'!B641</f>
        <v>Kalené (termín dodání 4 týdny)</v>
      </c>
      <c r="EO4">
        <v>2</v>
      </c>
      <c r="ER4" t="s">
        <v>2445</v>
      </c>
      <c r="ES4" t="s">
        <v>2446</v>
      </c>
      <c r="EV4">
        <v>4</v>
      </c>
      <c r="EW4" t="s">
        <v>2177</v>
      </c>
      <c r="EY4" s="206" t="str">
        <f>'Translate&amp;Prices&amp;Logo'!B168</f>
        <v>síťka ocel bílá - rozměr oka 8x4x1 mm</v>
      </c>
      <c r="FA4" s="34" t="str">
        <f>'Translate&amp;Prices&amp;Logo'!B648</f>
        <v>520407 SALICE AIR PUSH TO OPEN niklový závěs s adaptérem sada 2ks</v>
      </c>
    </row>
    <row r="5" spans="1:159">
      <c r="A5" t="str">
        <f>'Translate&amp;Prices&amp;Logo'!$B$9</f>
        <v>BRW bílá lesk RAL 9003 - maximální doporučená délka profilu 2500 mm</v>
      </c>
      <c r="B5">
        <v>1</v>
      </c>
      <c r="C5" t="s">
        <v>651</v>
      </c>
      <c r="D5">
        <v>0</v>
      </c>
      <c r="F5" t="s">
        <v>957</v>
      </c>
      <c r="G5" t="s">
        <v>381</v>
      </c>
      <c r="H5" t="s">
        <v>951</v>
      </c>
      <c r="I5">
        <v>1</v>
      </c>
      <c r="J5">
        <v>2</v>
      </c>
      <c r="K5" t="s">
        <v>651</v>
      </c>
      <c r="M5" t="s">
        <v>958</v>
      </c>
      <c r="N5" t="s">
        <v>556</v>
      </c>
      <c r="X5" t="str">
        <f>'Translate&amp;Prices&amp;Logo'!$B$567</f>
        <v>Černá</v>
      </c>
      <c r="Y5">
        <v>3</v>
      </c>
      <c r="AA5" t="s">
        <v>954</v>
      </c>
      <c r="AB5" t="s">
        <v>2374</v>
      </c>
      <c r="AC5">
        <v>0</v>
      </c>
      <c r="AD5">
        <v>0</v>
      </c>
      <c r="AF5" t="s">
        <v>105</v>
      </c>
      <c r="AG5" t="s">
        <v>2375</v>
      </c>
      <c r="AY5" t="s">
        <v>984</v>
      </c>
      <c r="AZ5" t="s">
        <v>1018</v>
      </c>
      <c r="BK5" t="s">
        <v>961</v>
      </c>
      <c r="BV5" t="s">
        <v>2497</v>
      </c>
      <c r="BW5" t="s">
        <v>2498</v>
      </c>
      <c r="BY5" t="str">
        <f>'Translate&amp;Prices&amp;Logo'!$B$229</f>
        <v>Nahoře</v>
      </c>
      <c r="BZ5">
        <v>3</v>
      </c>
      <c r="CA5">
        <v>76</v>
      </c>
      <c r="CD5" t="s">
        <v>964</v>
      </c>
      <c r="CE5">
        <v>1</v>
      </c>
      <c r="CF5">
        <v>0</v>
      </c>
      <c r="ED5" t="s">
        <v>1652</v>
      </c>
      <c r="EE5" t="s">
        <v>3189</v>
      </c>
      <c r="EJ5">
        <v>3</v>
      </c>
      <c r="EK5" t="s">
        <v>74</v>
      </c>
      <c r="EN5" t="str">
        <f>IF(Ram_6!H25="",'Translate&amp;Prices&amp;Logo'!B642,"")</f>
        <v>Folie</v>
      </c>
      <c r="EO5">
        <v>3</v>
      </c>
      <c r="ER5" t="s">
        <v>2447</v>
      </c>
      <c r="ES5" t="s">
        <v>2448</v>
      </c>
      <c r="EV5">
        <v>5</v>
      </c>
      <c r="EW5" t="s">
        <v>2175</v>
      </c>
      <c r="EY5" s="206" t="str">
        <f>'Translate&amp;Prices&amp;Logo'!B169</f>
        <v>síťka elox - rozměr oka 10x6x1 mm</v>
      </c>
      <c r="FA5" s="34" t="str">
        <f>'Translate&amp;Prices&amp;Logo'!B649</f>
        <v>520408 SALICE AIR SOFT niklový závěs s adaptérem sada 2ks</v>
      </c>
    </row>
    <row r="6" spans="1:159">
      <c r="A6" t="str">
        <f>'Translate&amp;Prices&amp;Logo'!$B$11</f>
        <v>BRW broušené - maximální doporučená délka profilu 2500 mm</v>
      </c>
      <c r="B6">
        <v>1</v>
      </c>
      <c r="C6" t="s">
        <v>651</v>
      </c>
      <c r="D6">
        <v>0</v>
      </c>
      <c r="G6" t="s">
        <v>951</v>
      </c>
      <c r="H6" t="s">
        <v>381</v>
      </c>
      <c r="I6">
        <v>0</v>
      </c>
      <c r="J6">
        <v>2</v>
      </c>
      <c r="K6" t="s">
        <v>651</v>
      </c>
      <c r="N6" t="s">
        <v>855</v>
      </c>
      <c r="AA6" t="s">
        <v>954</v>
      </c>
      <c r="AB6" t="s">
        <v>2376</v>
      </c>
      <c r="AC6">
        <v>0</v>
      </c>
      <c r="AD6">
        <v>0</v>
      </c>
      <c r="AF6" t="s">
        <v>106</v>
      </c>
      <c r="AG6" t="s">
        <v>2375</v>
      </c>
      <c r="AY6" t="s">
        <v>984</v>
      </c>
      <c r="AZ6" t="s">
        <v>1019</v>
      </c>
      <c r="BK6" t="s">
        <v>962</v>
      </c>
      <c r="BQ6" s="34"/>
      <c r="BV6" t="s">
        <v>1014</v>
      </c>
      <c r="BW6" t="s">
        <v>1010</v>
      </c>
      <c r="BY6" t="str">
        <f>'Translate&amp;Prices&amp;Logo'!$B$230</f>
        <v>Dole</v>
      </c>
      <c r="BZ6">
        <v>4</v>
      </c>
      <c r="CA6">
        <v>96</v>
      </c>
      <c r="CD6" t="s">
        <v>967</v>
      </c>
      <c r="CE6">
        <v>1</v>
      </c>
      <c r="CF6">
        <v>1</v>
      </c>
      <c r="ED6" t="s">
        <v>1653</v>
      </c>
      <c r="EE6" t="s">
        <v>3191</v>
      </c>
      <c r="EJ6">
        <v>4</v>
      </c>
      <c r="EK6" t="s">
        <v>75</v>
      </c>
      <c r="ER6" t="s">
        <v>2449</v>
      </c>
      <c r="ES6" t="s">
        <v>2450</v>
      </c>
      <c r="EV6">
        <v>6</v>
      </c>
      <c r="EW6" t="s">
        <v>2175</v>
      </c>
      <c r="FA6" s="34" t="str">
        <f>'Translate&amp;Prices&amp;Logo'!B650</f>
        <v>520410 SALICE AIR SOFT TITANIUM závěs s úhlem otevírání 92' sada 2ks</v>
      </c>
    </row>
    <row r="7" spans="1:159">
      <c r="A7" t="str">
        <f>'Translate&amp;Prices&amp;Logo'!$B$12</f>
        <v>BRW černá mat - maximální doporučená délka profilu 2500 mm</v>
      </c>
      <c r="B7">
        <v>1</v>
      </c>
      <c r="C7" t="s">
        <v>651</v>
      </c>
      <c r="D7">
        <v>1</v>
      </c>
      <c r="F7" t="s">
        <v>963</v>
      </c>
      <c r="G7" t="s">
        <v>383</v>
      </c>
      <c r="H7" t="s">
        <v>951</v>
      </c>
      <c r="I7">
        <v>1</v>
      </c>
      <c r="J7">
        <v>2</v>
      </c>
      <c r="K7" t="s">
        <v>651</v>
      </c>
      <c r="AA7" t="s">
        <v>954</v>
      </c>
      <c r="AB7" t="s">
        <v>2150</v>
      </c>
      <c r="AC7">
        <v>1</v>
      </c>
      <c r="AD7">
        <v>0</v>
      </c>
      <c r="AF7" t="s">
        <v>105</v>
      </c>
      <c r="AG7" t="s">
        <v>964</v>
      </c>
      <c r="AY7" t="s">
        <v>984</v>
      </c>
      <c r="AZ7" t="s">
        <v>1020</v>
      </c>
      <c r="BK7" t="s">
        <v>965</v>
      </c>
      <c r="BQ7" s="7"/>
      <c r="BV7" t="s">
        <v>1027</v>
      </c>
      <c r="BW7" t="s">
        <v>1029</v>
      </c>
      <c r="CA7">
        <v>128</v>
      </c>
      <c r="CD7" t="s">
        <v>969</v>
      </c>
      <c r="CE7">
        <v>1</v>
      </c>
      <c r="CF7">
        <v>0</v>
      </c>
      <c r="DN7" s="2" t="s">
        <v>68</v>
      </c>
      <c r="DO7" s="2" t="s">
        <v>68</v>
      </c>
      <c r="ED7" t="s">
        <v>1654</v>
      </c>
      <c r="EE7" t="s">
        <v>3193</v>
      </c>
      <c r="EJ7">
        <v>5</v>
      </c>
      <c r="EK7" t="s">
        <v>2074</v>
      </c>
      <c r="ER7" t="s">
        <v>2451</v>
      </c>
      <c r="ES7" t="s">
        <v>2452</v>
      </c>
      <c r="FA7" s="34" t="str">
        <f>'Translate&amp;Prices&amp;Logo'!B651</f>
        <v>520411 SALICE AIR TITANIUM PUSH TO OPEN závěs sada 2ks</v>
      </c>
    </row>
    <row r="8" spans="1:159">
      <c r="A8" t="str">
        <f>'Translate&amp;Prices&amp;Logo'!$B$14</f>
        <v>BRW černá broušená - maximální doporučená délka profilu 2500 mm</v>
      </c>
      <c r="B8">
        <v>1</v>
      </c>
      <c r="C8" t="s">
        <v>651</v>
      </c>
      <c r="D8">
        <v>0</v>
      </c>
      <c r="G8" t="s">
        <v>951</v>
      </c>
      <c r="H8" t="s">
        <v>383</v>
      </c>
      <c r="I8">
        <v>0</v>
      </c>
      <c r="J8">
        <v>2</v>
      </c>
      <c r="K8" t="s">
        <v>651</v>
      </c>
      <c r="AA8" t="s">
        <v>954</v>
      </c>
      <c r="AB8" t="s">
        <v>2371</v>
      </c>
      <c r="AC8">
        <v>0</v>
      </c>
      <c r="AD8">
        <v>0</v>
      </c>
      <c r="AF8" t="s">
        <v>106</v>
      </c>
      <c r="AG8" t="s">
        <v>964</v>
      </c>
      <c r="AY8" t="s">
        <v>984</v>
      </c>
      <c r="AZ8" t="s">
        <v>1021</v>
      </c>
      <c r="BV8" t="s">
        <v>1028</v>
      </c>
      <c r="BW8" t="s">
        <v>1030</v>
      </c>
      <c r="BY8">
        <v>2</v>
      </c>
      <c r="CA8">
        <v>160</v>
      </c>
      <c r="CD8" t="s">
        <v>1109</v>
      </c>
      <c r="CE8">
        <v>1</v>
      </c>
      <c r="CF8">
        <v>0</v>
      </c>
      <c r="DN8" s="2" t="s">
        <v>69</v>
      </c>
      <c r="DO8" s="2" t="s">
        <v>69</v>
      </c>
      <c r="ED8" t="s">
        <v>1655</v>
      </c>
      <c r="EE8" t="s">
        <v>3195</v>
      </c>
      <c r="EJ8">
        <v>6</v>
      </c>
      <c r="EK8" t="s">
        <v>4141</v>
      </c>
      <c r="ER8" t="s">
        <v>2453</v>
      </c>
      <c r="ES8" t="s">
        <v>2454</v>
      </c>
      <c r="FA8" s="34" t="str">
        <f>'Translate&amp;Prices&amp;Logo'!B652</f>
        <v>520412 SALICE AIR TITANIUM PUSH TO OPEN závěs s adaptérem sada 2ks</v>
      </c>
    </row>
    <row r="9" spans="1:159">
      <c r="A9" t="str">
        <f>'Translate&amp;Prices&amp;Logo'!$B$15</f>
        <v>BRW světlá nerez (INOX ACIER gratta) - maximální doporučená délka profilu 2500 mm</v>
      </c>
      <c r="B9">
        <v>1</v>
      </c>
      <c r="C9" t="s">
        <v>651</v>
      </c>
      <c r="D9">
        <v>0</v>
      </c>
      <c r="M9" t="s">
        <v>2377</v>
      </c>
      <c r="AA9" t="s">
        <v>954</v>
      </c>
      <c r="AB9" t="s">
        <v>2372</v>
      </c>
      <c r="AC9">
        <v>0</v>
      </c>
      <c r="AD9">
        <v>0</v>
      </c>
      <c r="AF9" t="s">
        <v>105</v>
      </c>
      <c r="AG9" t="s">
        <v>967</v>
      </c>
      <c r="AY9" t="s">
        <v>954</v>
      </c>
      <c r="BV9" t="s">
        <v>2443</v>
      </c>
      <c r="BW9" t="s">
        <v>2444</v>
      </c>
      <c r="BY9">
        <v>3</v>
      </c>
      <c r="CA9">
        <v>192</v>
      </c>
      <c r="CD9" t="s">
        <v>974</v>
      </c>
      <c r="CE9">
        <v>1</v>
      </c>
      <c r="CF9">
        <v>0</v>
      </c>
      <c r="DN9" s="2" t="s">
        <v>70</v>
      </c>
      <c r="DO9" s="2" t="s">
        <v>70</v>
      </c>
      <c r="ED9" t="s">
        <v>1656</v>
      </c>
      <c r="EE9" t="s">
        <v>3196</v>
      </c>
      <c r="ER9" t="s">
        <v>2455</v>
      </c>
      <c r="ES9" t="s">
        <v>2456</v>
      </c>
      <c r="FA9" t="str">
        <f>'Translate&amp;Prices&amp;Logo'!B653</f>
        <v>520413 SALICE AIR SOFT TITANIUM závěs s adaptérem sada 2ks</v>
      </c>
    </row>
    <row r="10" spans="1:159">
      <c r="A10" t="str">
        <f>'Translate&amp;Prices&amp;Logo'!$B$7</f>
        <v>BRW antracit RAL 7021 - maximální doporučená délka profilu 2500 mm</v>
      </c>
      <c r="B10">
        <v>1</v>
      </c>
      <c r="C10" t="s">
        <v>651</v>
      </c>
      <c r="D10">
        <v>0</v>
      </c>
      <c r="M10" t="str">
        <f>'Translate&amp;Prices&amp;Logo'!B560</f>
        <v>Horizontálně (termín dodání 4 týdny)</v>
      </c>
      <c r="N10">
        <f>IF(Ram_6!$H$9=kombinace_6!M10,1,0)</f>
        <v>0</v>
      </c>
      <c r="AA10" t="s">
        <v>954</v>
      </c>
      <c r="AB10" t="s">
        <v>2261</v>
      </c>
      <c r="AC10">
        <v>0</v>
      </c>
      <c r="AD10">
        <v>0</v>
      </c>
      <c r="AF10" t="s">
        <v>106</v>
      </c>
      <c r="AG10" t="s">
        <v>967</v>
      </c>
      <c r="AY10" t="s">
        <v>954</v>
      </c>
      <c r="AZ10" t="s">
        <v>1022</v>
      </c>
      <c r="BQ10" t="s">
        <v>2264</v>
      </c>
      <c r="BY10">
        <v>4</v>
      </c>
      <c r="CA10">
        <v>224</v>
      </c>
      <c r="CD10" t="s">
        <v>975</v>
      </c>
      <c r="CE10">
        <v>1</v>
      </c>
      <c r="CF10">
        <v>0</v>
      </c>
      <c r="DN10" t="s">
        <v>68</v>
      </c>
      <c r="DO10" s="2" t="s">
        <v>68</v>
      </c>
      <c r="ED10" t="s">
        <v>1657</v>
      </c>
      <c r="EE10" t="s">
        <v>1751</v>
      </c>
      <c r="ER10" t="s">
        <v>2154</v>
      </c>
      <c r="ES10" t="s">
        <v>2160</v>
      </c>
    </row>
    <row r="11" spans="1:159">
      <c r="A11" t="str">
        <f>'Translate&amp;Prices&amp;Logo'!$B$71</f>
        <v>BRW champagne - maximální doporučená délka profilu 2500 mm</v>
      </c>
      <c r="B11">
        <v>1</v>
      </c>
      <c r="C11" t="s">
        <v>651</v>
      </c>
      <c r="D11">
        <v>0</v>
      </c>
      <c r="M11" t="str">
        <f>'Translate&amp;Prices&amp;Logo'!B561</f>
        <v>Vertikálně (termín dodání 4 týdny)</v>
      </c>
      <c r="N11">
        <f>IF(Ram_6!$H$9=kombinace_6!M11,2,0)</f>
        <v>0</v>
      </c>
      <c r="AC11">
        <v>0</v>
      </c>
      <c r="AD11">
        <v>0</v>
      </c>
      <c r="AF11" t="s">
        <v>105</v>
      </c>
      <c r="AG11" t="s">
        <v>969</v>
      </c>
      <c r="AY11" t="s">
        <v>954</v>
      </c>
      <c r="AZ11" t="s">
        <v>1023</v>
      </c>
      <c r="BQ11" s="208" t="s">
        <v>2263</v>
      </c>
      <c r="BY11">
        <v>5</v>
      </c>
      <c r="CA11">
        <v>240</v>
      </c>
      <c r="CD11" t="str">
        <f>CONCATENATE('Translate&amp;Prices&amp;Logo'!B666,"_K12")</f>
        <v>spodní_K12</v>
      </c>
      <c r="CE11">
        <v>1</v>
      </c>
      <c r="CF11">
        <v>0</v>
      </c>
      <c r="DN11" t="s">
        <v>69</v>
      </c>
      <c r="DO11" s="2" t="s">
        <v>69</v>
      </c>
      <c r="ED11" t="s">
        <v>1658</v>
      </c>
      <c r="EE11" t="s">
        <v>1752</v>
      </c>
      <c r="ER11" t="s">
        <v>2155</v>
      </c>
      <c r="ES11" t="s">
        <v>2161</v>
      </c>
    </row>
    <row r="12" spans="1:159">
      <c r="A12" t="str">
        <f>'Translate&amp;Prices&amp;Logo'!$B$72</f>
        <v>BRW champagne light - maximální doporučená délka profilu 2500 mm</v>
      </c>
      <c r="B12">
        <v>1</v>
      </c>
      <c r="C12" t="s">
        <v>651</v>
      </c>
      <c r="D12">
        <v>0</v>
      </c>
      <c r="M12" t="str">
        <f>'Translate&amp;Prices&amp;Logo'!B562</f>
        <v>Horizontálně i vertikálně (termín dodání 4 týdny)</v>
      </c>
      <c r="N12">
        <f>IF(Ram_6!$H$9=kombinace_6!M12,3,0)</f>
        <v>0</v>
      </c>
      <c r="AC12">
        <v>0</v>
      </c>
      <c r="AD12">
        <v>0</v>
      </c>
      <c r="AF12" t="s">
        <v>106</v>
      </c>
      <c r="AG12" t="s">
        <v>969</v>
      </c>
      <c r="AY12" t="s">
        <v>954</v>
      </c>
      <c r="AZ12" t="s">
        <v>1024</v>
      </c>
      <c r="BQ12" s="209"/>
      <c r="BR12" t="s">
        <v>954</v>
      </c>
      <c r="BY12">
        <v>6</v>
      </c>
      <c r="CA12">
        <v>256</v>
      </c>
      <c r="CD12" t="s">
        <v>978</v>
      </c>
      <c r="CE12">
        <v>1</v>
      </c>
      <c r="CF12">
        <v>0</v>
      </c>
      <c r="DN12" t="s">
        <v>70</v>
      </c>
      <c r="DO12" s="2" t="s">
        <v>70</v>
      </c>
      <c r="ED12" t="s">
        <v>1659</v>
      </c>
      <c r="EE12" t="s">
        <v>1753</v>
      </c>
      <c r="ER12" t="s">
        <v>2156</v>
      </c>
      <c r="ES12" t="s">
        <v>2162</v>
      </c>
    </row>
    <row r="13" spans="1:159">
      <c r="A13" t="str">
        <f>'Translate&amp;Prices&amp;Logo'!$B$10</f>
        <v>BRW hnědá - maximální doporučená délka profilu 2500 mm</v>
      </c>
      <c r="B13">
        <v>1</v>
      </c>
      <c r="C13" t="s">
        <v>651</v>
      </c>
      <c r="D13">
        <v>0</v>
      </c>
      <c r="AC13">
        <v>0</v>
      </c>
      <c r="AD13">
        <v>0</v>
      </c>
      <c r="AF13" t="s">
        <v>105</v>
      </c>
      <c r="AG13" t="s">
        <v>972</v>
      </c>
      <c r="AY13" t="s">
        <v>954</v>
      </c>
      <c r="AZ13" t="s">
        <v>1025</v>
      </c>
      <c r="BQ13" s="209"/>
      <c r="BR13" t="s">
        <v>966</v>
      </c>
      <c r="BY13" t="str">
        <f>'Translate&amp;Prices&amp;Logo'!$B$560</f>
        <v>Horizontálně (termín dodání 4 týdny)</v>
      </c>
      <c r="BZ13">
        <v>1</v>
      </c>
      <c r="CA13">
        <v>288</v>
      </c>
      <c r="CD13" t="str">
        <f>CONCATENATE('Translate&amp;Prices&amp;Logo'!B666,"_kraby")</f>
        <v>spodní_kraby</v>
      </c>
      <c r="CE13">
        <v>1</v>
      </c>
      <c r="CF13">
        <v>0</v>
      </c>
      <c r="DN13" t="s">
        <v>220</v>
      </c>
      <c r="DO13" s="2" t="s">
        <v>68</v>
      </c>
      <c r="ED13" t="s">
        <v>2507</v>
      </c>
      <c r="EE13" t="s">
        <v>2506</v>
      </c>
      <c r="ER13" t="s">
        <v>2157</v>
      </c>
      <c r="ES13" t="s">
        <v>2157</v>
      </c>
    </row>
    <row r="14" spans="1:159">
      <c r="A14" t="str">
        <f>'Translate&amp;Prices&amp;Logo'!$B$16</f>
        <v>BRW tmavá nerez br. (INOX LIJA) - maximální doporučená délka profilu 2500 mm</v>
      </c>
      <c r="B14">
        <v>1</v>
      </c>
      <c r="C14" t="s">
        <v>651</v>
      </c>
      <c r="D14">
        <v>0</v>
      </c>
      <c r="F14">
        <f>'Translate&amp;Prices&amp;Logo'!$B$79</f>
        <v>0</v>
      </c>
      <c r="J14" t="b">
        <f>TRUE</f>
        <v>1</v>
      </c>
      <c r="K14">
        <v>1</v>
      </c>
      <c r="AA14" t="s">
        <v>2080</v>
      </c>
      <c r="AB14" t="s">
        <v>1012</v>
      </c>
      <c r="AF14" t="s">
        <v>106</v>
      </c>
      <c r="AG14" t="s">
        <v>972</v>
      </c>
      <c r="AY14" t="s">
        <v>954</v>
      </c>
      <c r="AZ14" t="s">
        <v>1026</v>
      </c>
      <c r="BQ14" s="209"/>
      <c r="BY14" t="str">
        <f>'Translate&amp;Prices&amp;Logo'!$B$561</f>
        <v>Vertikálně (termín dodání 4 týdny)</v>
      </c>
      <c r="BZ14">
        <v>2</v>
      </c>
      <c r="CA14">
        <v>320</v>
      </c>
      <c r="CD14" t="s">
        <v>980</v>
      </c>
      <c r="CE14">
        <v>1</v>
      </c>
      <c r="CF14">
        <v>0</v>
      </c>
      <c r="DN14" t="s">
        <v>221</v>
      </c>
      <c r="DO14" s="2" t="s">
        <v>69</v>
      </c>
      <c r="ED14" t="s">
        <v>1660</v>
      </c>
      <c r="EE14" t="s">
        <v>1754</v>
      </c>
      <c r="ER14" t="s">
        <v>2158</v>
      </c>
      <c r="ES14" t="s">
        <v>2158</v>
      </c>
    </row>
    <row r="15" spans="1:159">
      <c r="A15" t="str">
        <f>'Translate&amp;Prices&amp;Logo'!$B$64</f>
        <v>BRW kašmír - maximální doporučená délka profilu 2500 mm</v>
      </c>
      <c r="B15">
        <v>1</v>
      </c>
      <c r="C15" t="s">
        <v>651</v>
      </c>
      <c r="D15">
        <v>1</v>
      </c>
      <c r="F15">
        <f>'Translate&amp;Prices&amp;Logo'!$B$80</f>
        <v>0</v>
      </c>
      <c r="J15" t="b">
        <f>FALSE</f>
        <v>0</v>
      </c>
      <c r="K15">
        <v>2</v>
      </c>
      <c r="AA15" t="s">
        <v>966</v>
      </c>
      <c r="AB15" t="s">
        <v>964</v>
      </c>
      <c r="AC15">
        <v>1</v>
      </c>
      <c r="AD15">
        <v>0</v>
      </c>
      <c r="AF15" t="s">
        <v>105</v>
      </c>
      <c r="AG15" t="s">
        <v>974</v>
      </c>
      <c r="AY15" t="s">
        <v>2436</v>
      </c>
      <c r="BQ15" s="210"/>
      <c r="BY15" t="str">
        <f>'Translate&amp;Prices&amp;Logo'!$B$562</f>
        <v>Horizontálně i vertikálně (termín dodání 4 týdny)</v>
      </c>
      <c r="BZ15">
        <v>3</v>
      </c>
      <c r="CA15">
        <v>384</v>
      </c>
      <c r="CD15" t="s">
        <v>981</v>
      </c>
      <c r="CE15">
        <v>1</v>
      </c>
      <c r="CF15">
        <v>0</v>
      </c>
      <c r="DN15" t="s">
        <v>1145</v>
      </c>
      <c r="DO15" s="2" t="s">
        <v>70</v>
      </c>
      <c r="ED15" t="s">
        <v>1661</v>
      </c>
      <c r="EE15" t="s">
        <v>1755</v>
      </c>
      <c r="ER15" t="s">
        <v>2159</v>
      </c>
      <c r="ES15" t="s">
        <v>2159</v>
      </c>
    </row>
    <row r="16" spans="1:159">
      <c r="A16" t="str">
        <f>'Translate&amp;Prices&amp;Logo'!$B$13</f>
        <v>BRW zlatá - maximální doporučená délka profilu 2500 mm</v>
      </c>
      <c r="B16">
        <v>1</v>
      </c>
      <c r="C16" t="s">
        <v>651</v>
      </c>
      <c r="D16">
        <v>1</v>
      </c>
      <c r="F16">
        <f>'Translate&amp;Prices&amp;Logo'!$B$81</f>
        <v>0</v>
      </c>
      <c r="AA16" t="s">
        <v>966</v>
      </c>
      <c r="AB16" t="s">
        <v>967</v>
      </c>
      <c r="AC16">
        <v>1</v>
      </c>
      <c r="AD16">
        <v>1</v>
      </c>
      <c r="AF16" t="s">
        <v>106</v>
      </c>
      <c r="AG16" t="s">
        <v>974</v>
      </c>
      <c r="AY16" t="s">
        <v>2436</v>
      </c>
      <c r="AZ16" t="s">
        <v>2437</v>
      </c>
      <c r="CA16">
        <v>448</v>
      </c>
      <c r="CD16" t="str">
        <f>'Translate&amp;Prices&amp;Logo'!B661</f>
        <v>StrongLift_horní</v>
      </c>
      <c r="CE16">
        <v>1</v>
      </c>
      <c r="CF16">
        <v>1</v>
      </c>
      <c r="DN16" t="s">
        <v>284</v>
      </c>
      <c r="DO16" s="2" t="s">
        <v>68</v>
      </c>
      <c r="ED16" t="s">
        <v>1662</v>
      </c>
      <c r="EE16" t="s">
        <v>1756</v>
      </c>
      <c r="ER16" t="s">
        <v>2446</v>
      </c>
      <c r="ES16" t="s">
        <v>2446</v>
      </c>
      <c r="FC16" s="244"/>
    </row>
    <row r="17" spans="1:159">
      <c r="A17" t="str">
        <f>'Translate&amp;Prices&amp;Logo'!$B$55</f>
        <v>BRW zlatá broušená - maximální doporučená délka profilu 2500 mm</v>
      </c>
      <c r="B17">
        <v>1</v>
      </c>
      <c r="C17" t="s">
        <v>651</v>
      </c>
      <c r="D17">
        <v>0</v>
      </c>
      <c r="E17">
        <v>3</v>
      </c>
      <c r="F17">
        <f>'Translate&amp;Prices&amp;Logo'!$B$84</f>
        <v>0</v>
      </c>
      <c r="AA17" t="s">
        <v>966</v>
      </c>
      <c r="AB17" t="s">
        <v>970</v>
      </c>
      <c r="AC17">
        <v>0</v>
      </c>
      <c r="AD17">
        <v>0</v>
      </c>
      <c r="AF17" t="s">
        <v>105</v>
      </c>
      <c r="AG17" t="s">
        <v>975</v>
      </c>
      <c r="AY17" t="s">
        <v>2436</v>
      </c>
      <c r="AZ17" t="s">
        <v>2438</v>
      </c>
      <c r="CA17">
        <v>480</v>
      </c>
      <c r="CD17" t="str">
        <f>'Translate&amp;Prices&amp;Logo'!B662</f>
        <v>StrongLift_spodní</v>
      </c>
      <c r="CE17">
        <v>1</v>
      </c>
      <c r="CF17">
        <v>1</v>
      </c>
      <c r="DN17" t="s">
        <v>1244</v>
      </c>
      <c r="DO17" s="2" t="s">
        <v>69</v>
      </c>
      <c r="ED17" t="s">
        <v>1663</v>
      </c>
      <c r="EE17" t="s">
        <v>1757</v>
      </c>
      <c r="ER17" t="s">
        <v>2448</v>
      </c>
      <c r="ES17" t="s">
        <v>2448</v>
      </c>
      <c r="FC17" s="244"/>
    </row>
    <row r="18" spans="1:159">
      <c r="A18" t="str">
        <f>'Translate&amp;Prices&amp;Logo'!$B$17</f>
        <v>Corleone (elox.) - maximální doporučená délka profilu 1500 mm</v>
      </c>
      <c r="B18">
        <v>2</v>
      </c>
      <c r="C18" t="s">
        <v>651</v>
      </c>
      <c r="D18">
        <v>0</v>
      </c>
      <c r="E18">
        <v>3</v>
      </c>
      <c r="F18" t="str">
        <f>'Translate&amp;Prices&amp;Logo'!$B$82</f>
        <v>Rocca elox (Vlevo a vpravo) + Varna elox (Nahoře a dole)</v>
      </c>
      <c r="AA18" t="s">
        <v>966</v>
      </c>
      <c r="AB18" t="s">
        <v>971</v>
      </c>
      <c r="AC18">
        <v>0</v>
      </c>
      <c r="AD18">
        <v>0</v>
      </c>
      <c r="AF18" t="s">
        <v>106</v>
      </c>
      <c r="AG18" t="s">
        <v>975</v>
      </c>
      <c r="AY18" t="s">
        <v>2436</v>
      </c>
      <c r="AZ18" t="s">
        <v>2439</v>
      </c>
      <c r="CA18">
        <v>576</v>
      </c>
      <c r="CD18" t="s">
        <v>985</v>
      </c>
      <c r="CE18">
        <v>1</v>
      </c>
      <c r="CF18">
        <v>0</v>
      </c>
      <c r="DN18" t="s">
        <v>1245</v>
      </c>
      <c r="DO18" s="2" t="s">
        <v>70</v>
      </c>
      <c r="ED18" t="s">
        <v>1664</v>
      </c>
      <c r="EE18" t="s">
        <v>1758</v>
      </c>
      <c r="ER18" t="s">
        <v>2450</v>
      </c>
      <c r="ES18" t="s">
        <v>2450</v>
      </c>
      <c r="FC18" s="244"/>
    </row>
    <row r="19" spans="1:159">
      <c r="A19" t="str">
        <f>'Translate&amp;Prices&amp;Logo'!$B$18</f>
        <v>Corleone černá mat - maximální doporučená délka profilu 1500 mm</v>
      </c>
      <c r="B19">
        <v>2</v>
      </c>
      <c r="C19" t="s">
        <v>651</v>
      </c>
      <c r="D19">
        <v>0</v>
      </c>
      <c r="F19" t="str">
        <f>'Translate&amp;Prices&amp;Logo'!$B$83</f>
        <v>Rocca černá (Vlevo a vpravo) + Varna černá (Nahoře a dole)</v>
      </c>
      <c r="AA19" t="s">
        <v>966</v>
      </c>
      <c r="AB19" t="s">
        <v>973</v>
      </c>
      <c r="AC19">
        <v>0</v>
      </c>
      <c r="AD19">
        <v>0</v>
      </c>
      <c r="AF19" t="s">
        <v>105</v>
      </c>
      <c r="AG19" t="s">
        <v>977</v>
      </c>
      <c r="AY19" t="s">
        <v>2436</v>
      </c>
      <c r="AZ19" t="s">
        <v>2440</v>
      </c>
      <c r="CA19">
        <v>672</v>
      </c>
      <c r="DN19" t="s">
        <v>1595</v>
      </c>
      <c r="DO19" t="s">
        <v>68</v>
      </c>
      <c r="ED19" t="s">
        <v>1665</v>
      </c>
      <c r="EE19" t="s">
        <v>1759</v>
      </c>
      <c r="ER19" t="s">
        <v>2452</v>
      </c>
      <c r="ES19" t="s">
        <v>2452</v>
      </c>
    </row>
    <row r="20" spans="1:159">
      <c r="A20" t="str">
        <f>'Translate&amp;Prices&amp;Logo'!$B$59</f>
        <v>ASTI černá mat - maximální doporučená délka profilu 2150 mm</v>
      </c>
      <c r="B20">
        <v>1</v>
      </c>
      <c r="C20" t="s">
        <v>998</v>
      </c>
      <c r="D20">
        <v>0</v>
      </c>
      <c r="AA20" t="s">
        <v>966</v>
      </c>
      <c r="AB20" t="s">
        <v>969</v>
      </c>
      <c r="AC20">
        <v>1</v>
      </c>
      <c r="AD20">
        <v>0</v>
      </c>
      <c r="AF20" t="s">
        <v>106</v>
      </c>
      <c r="AG20" t="s">
        <v>977</v>
      </c>
      <c r="AY20" t="s">
        <v>2436</v>
      </c>
      <c r="AZ20" t="s">
        <v>2441</v>
      </c>
      <c r="CA20">
        <v>736</v>
      </c>
      <c r="DN20" t="s">
        <v>1452</v>
      </c>
      <c r="DO20" t="s">
        <v>69</v>
      </c>
      <c r="ED20" t="s">
        <v>1666</v>
      </c>
      <c r="EE20" t="s">
        <v>1760</v>
      </c>
      <c r="ER20" t="s">
        <v>2454</v>
      </c>
      <c r="ES20" t="s">
        <v>2454</v>
      </c>
    </row>
    <row r="21" spans="1:159">
      <c r="A21" t="str">
        <f>'Translate&amp;Prices&amp;Logo'!$B$60</f>
        <v>ASTI antracit RAL 7021 mat - maximální doporučená délka profilu 2500 mm</v>
      </c>
      <c r="B21">
        <v>1</v>
      </c>
      <c r="C21" t="s">
        <v>998</v>
      </c>
      <c r="D21">
        <v>0</v>
      </c>
      <c r="AA21" t="s">
        <v>966</v>
      </c>
      <c r="AB21" t="s">
        <v>1109</v>
      </c>
      <c r="AC21">
        <v>1</v>
      </c>
      <c r="AD21">
        <v>0</v>
      </c>
      <c r="AF21" t="s">
        <v>105</v>
      </c>
      <c r="AG21" t="s">
        <v>978</v>
      </c>
      <c r="CA21">
        <v>768</v>
      </c>
      <c r="DN21" t="s">
        <v>905</v>
      </c>
      <c r="DO21" t="s">
        <v>70</v>
      </c>
      <c r="ED21" t="s">
        <v>1667</v>
      </c>
      <c r="EE21" t="s">
        <v>1761</v>
      </c>
      <c r="ER21" t="s">
        <v>2456</v>
      </c>
      <c r="ES21" t="s">
        <v>2456</v>
      </c>
    </row>
    <row r="22" spans="1:159">
      <c r="A22" t="str">
        <f>'Translate&amp;Prices&amp;Logo'!$B$19</f>
        <v>Imola (elox.) - maximální doporučená délka profilu 2500 mm</v>
      </c>
      <c r="B22">
        <v>2</v>
      </c>
      <c r="C22" t="s">
        <v>998</v>
      </c>
      <c r="D22">
        <v>0</v>
      </c>
      <c r="AA22" t="s">
        <v>966</v>
      </c>
      <c r="AB22" t="s">
        <v>974</v>
      </c>
      <c r="AC22">
        <v>1</v>
      </c>
      <c r="AD22">
        <v>0</v>
      </c>
      <c r="AF22" t="s">
        <v>106</v>
      </c>
      <c r="AG22" t="s">
        <v>978</v>
      </c>
      <c r="CA22">
        <v>832</v>
      </c>
      <c r="DN22" s="318" t="s">
        <v>3774</v>
      </c>
      <c r="DO22" s="2" t="s">
        <v>68</v>
      </c>
      <c r="ED22" t="s">
        <v>1668</v>
      </c>
      <c r="EE22" t="s">
        <v>1762</v>
      </c>
      <c r="ER22" t="s">
        <v>2160</v>
      </c>
      <c r="ES22" t="s">
        <v>2160</v>
      </c>
    </row>
    <row r="23" spans="1:159">
      <c r="A23" t="str">
        <f>'Translate&amp;Prices&amp;Logo'!$B$20</f>
        <v>Imola černá mat - maximální doporučená délka profilu 2500 mm</v>
      </c>
      <c r="B23">
        <v>2</v>
      </c>
      <c r="C23" t="s">
        <v>998</v>
      </c>
      <c r="D23">
        <v>0</v>
      </c>
      <c r="AA23" t="s">
        <v>966</v>
      </c>
      <c r="AB23" t="e">
        <f>IF(Ram_6!AU7=2,"FREEspace"," ")</f>
        <v>#N/A</v>
      </c>
      <c r="AC23">
        <v>0</v>
      </c>
      <c r="AD23">
        <v>0</v>
      </c>
      <c r="AF23" t="s">
        <v>105</v>
      </c>
      <c r="AG23" t="s">
        <v>979</v>
      </c>
      <c r="CA23">
        <v>960</v>
      </c>
      <c r="DN23" s="318" t="s">
        <v>3775</v>
      </c>
      <c r="DO23" s="2" t="s">
        <v>69</v>
      </c>
      <c r="ED23" t="s">
        <v>1669</v>
      </c>
      <c r="EE23" t="s">
        <v>3198</v>
      </c>
      <c r="ER23" t="s">
        <v>2161</v>
      </c>
      <c r="ES23" t="s">
        <v>2161</v>
      </c>
    </row>
    <row r="24" spans="1:159">
      <c r="A24" t="str">
        <f>'Translate&amp;Prices&amp;Logo'!$B$21</f>
        <v>Imola bílá mat RAL 9003 - maximální doporučená délka profilu 2500 mm</v>
      </c>
      <c r="B24">
        <v>2</v>
      </c>
      <c r="C24" t="s">
        <v>998</v>
      </c>
      <c r="D24">
        <v>0</v>
      </c>
      <c r="AF24" t="s">
        <v>106</v>
      </c>
      <c r="AG24" t="s">
        <v>979</v>
      </c>
      <c r="DN24" s="318" t="s">
        <v>3776</v>
      </c>
      <c r="DO24" s="2" t="s">
        <v>70</v>
      </c>
      <c r="ED24" t="s">
        <v>1670</v>
      </c>
      <c r="EE24" t="s">
        <v>3199</v>
      </c>
      <c r="ER24" t="s">
        <v>2162</v>
      </c>
      <c r="ES24" t="s">
        <v>2162</v>
      </c>
    </row>
    <row r="25" spans="1:159">
      <c r="A25" t="str">
        <f>'Translate&amp;Prices&amp;Logo'!$B$45</f>
        <v>Imola zlatá - maximální doporučená délka profilu 2150 mm</v>
      </c>
      <c r="B25">
        <v>2</v>
      </c>
      <c r="C25" t="s">
        <v>998</v>
      </c>
      <c r="D25">
        <v>0</v>
      </c>
      <c r="AF25" t="s">
        <v>105</v>
      </c>
      <c r="AG25" t="s">
        <v>980</v>
      </c>
      <c r="ED25" t="s">
        <v>1671</v>
      </c>
      <c r="EE25" t="s">
        <v>3200</v>
      </c>
      <c r="ER25" t="s">
        <v>2167</v>
      </c>
      <c r="ES25" t="s">
        <v>2167</v>
      </c>
    </row>
    <row r="26" spans="1:159">
      <c r="A26" t="str">
        <f>'Translate&amp;Prices&amp;Logo'!$B$22</f>
        <v>Modena (elox.) - maximální doporučená délka profilu 2500 mm</v>
      </c>
      <c r="B26">
        <v>2</v>
      </c>
      <c r="C26" t="s">
        <v>651</v>
      </c>
      <c r="D26">
        <v>0</v>
      </c>
      <c r="AF26" t="s">
        <v>106</v>
      </c>
      <c r="AG26" t="s">
        <v>980</v>
      </c>
      <c r="ED26" t="s">
        <v>1672</v>
      </c>
      <c r="EE26" t="s">
        <v>3201</v>
      </c>
      <c r="ER26" t="s">
        <v>2168</v>
      </c>
      <c r="ES26" t="s">
        <v>2168</v>
      </c>
    </row>
    <row r="27" spans="1:159">
      <c r="A27" t="str">
        <f>'Translate&amp;Prices&amp;Logo'!$B$23</f>
        <v>Modena černá mat - maximální doporučená délka profilu 2500 mm</v>
      </c>
      <c r="B27">
        <v>2</v>
      </c>
      <c r="C27" t="s">
        <v>651</v>
      </c>
      <c r="D27">
        <v>0</v>
      </c>
      <c r="AF27" t="s">
        <v>105</v>
      </c>
      <c r="AG27" t="s">
        <v>981</v>
      </c>
      <c r="ED27" t="s">
        <v>1673</v>
      </c>
      <c r="EE27" t="s">
        <v>3203</v>
      </c>
      <c r="ER27" t="s">
        <v>2169</v>
      </c>
      <c r="ES27" t="s">
        <v>2169</v>
      </c>
    </row>
    <row r="28" spans="1:159">
      <c r="A28" t="str">
        <f>'Translate&amp;Prices&amp;Logo'!$B$25</f>
        <v>Modena černá broušená - maximální doporučená délka profilu 2500 mm</v>
      </c>
      <c r="B28">
        <v>2</v>
      </c>
      <c r="C28" t="s">
        <v>651</v>
      </c>
      <c r="D28">
        <v>0</v>
      </c>
      <c r="AA28" t="s">
        <v>2081</v>
      </c>
      <c r="AB28" t="s">
        <v>1011</v>
      </c>
      <c r="AF28" t="s">
        <v>106</v>
      </c>
      <c r="AG28" t="s">
        <v>981</v>
      </c>
      <c r="ED28" t="s">
        <v>1674</v>
      </c>
      <c r="EE28" t="s">
        <v>3204</v>
      </c>
      <c r="ER28" t="s">
        <v>2457</v>
      </c>
      <c r="ES28" t="s">
        <v>2457</v>
      </c>
    </row>
    <row r="29" spans="1:159">
      <c r="A29" t="str">
        <f>'Translate&amp;Prices&amp;Logo'!$B$26</f>
        <v>Modena tmavá nerez br. (inox lija) - maximální doporučená délka profilu 2500 mm</v>
      </c>
      <c r="B29">
        <v>2</v>
      </c>
      <c r="C29" t="s">
        <v>651</v>
      </c>
      <c r="D29">
        <v>0</v>
      </c>
      <c r="AA29" t="s">
        <v>976</v>
      </c>
      <c r="AB29" t="s">
        <v>975</v>
      </c>
      <c r="AC29">
        <v>1</v>
      </c>
      <c r="AD29">
        <v>0</v>
      </c>
      <c r="AF29" t="s">
        <v>105</v>
      </c>
      <c r="AG29" t="s">
        <v>982</v>
      </c>
      <c r="ED29" t="s">
        <v>1675</v>
      </c>
      <c r="EE29" t="s">
        <v>3205</v>
      </c>
      <c r="ER29" t="s">
        <v>2458</v>
      </c>
      <c r="ES29" t="s">
        <v>2458</v>
      </c>
    </row>
    <row r="30" spans="1:159">
      <c r="A30" t="str">
        <f>'Translate&amp;Prices&amp;Logo'!$B$61</f>
        <v>Modena hnědá - maximální doporučená délka profilu 2500 mm</v>
      </c>
      <c r="B30">
        <v>2</v>
      </c>
      <c r="C30" t="s">
        <v>651</v>
      </c>
      <c r="D30">
        <v>0</v>
      </c>
      <c r="AA30" t="s">
        <v>976</v>
      </c>
      <c r="AB30" t="str">
        <f>CONCATENATE('Translate&amp;Prices&amp;Logo'!B666,"_K12")</f>
        <v>spodní_K12</v>
      </c>
      <c r="AC30">
        <v>1</v>
      </c>
      <c r="AD30">
        <v>0</v>
      </c>
      <c r="AF30" t="s">
        <v>106</v>
      </c>
      <c r="AG30" t="s">
        <v>982</v>
      </c>
      <c r="ED30" t="s">
        <v>1676</v>
      </c>
      <c r="EE30" t="s">
        <v>3206</v>
      </c>
      <c r="ER30" t="s">
        <v>2459</v>
      </c>
      <c r="ES30" t="s">
        <v>2459</v>
      </c>
    </row>
    <row r="31" spans="1:159">
      <c r="A31" t="str">
        <f>'Translate&amp;Prices&amp;Logo'!$B$29</f>
        <v>Pisa (elox.) - maximální doporučená délka profilu 2500 mm</v>
      </c>
      <c r="B31">
        <v>2</v>
      </c>
      <c r="C31" t="s">
        <v>998</v>
      </c>
      <c r="D31">
        <v>0</v>
      </c>
      <c r="AA31" t="s">
        <v>976</v>
      </c>
      <c r="AB31" t="s">
        <v>978</v>
      </c>
      <c r="AC31">
        <v>1</v>
      </c>
      <c r="AD31">
        <v>0</v>
      </c>
      <c r="AF31" t="s">
        <v>105</v>
      </c>
      <c r="AG31" t="s">
        <v>983</v>
      </c>
      <c r="ED31" t="s">
        <v>1677</v>
      </c>
      <c r="EE31" t="s">
        <v>3207</v>
      </c>
      <c r="ER31" t="s">
        <v>2460</v>
      </c>
      <c r="ES31" t="s">
        <v>2460</v>
      </c>
    </row>
    <row r="32" spans="1:159">
      <c r="A32" t="str">
        <f>'Translate&amp;Prices&amp;Logo'!$B$52</f>
        <v>Pisa bílá mat RAL 9003 - maximální doporučená délka profilu 2500 mm</v>
      </c>
      <c r="B32">
        <v>2</v>
      </c>
      <c r="C32" t="s">
        <v>998</v>
      </c>
      <c r="D32">
        <v>0</v>
      </c>
      <c r="AA32" t="s">
        <v>976</v>
      </c>
      <c r="AB32" t="str">
        <f>CONCATENATE('Translate&amp;Prices&amp;Logo'!B666,"_kraby")</f>
        <v>spodní_kraby</v>
      </c>
      <c r="AC32">
        <v>1</v>
      </c>
      <c r="AD32">
        <v>0</v>
      </c>
      <c r="AF32" t="s">
        <v>106</v>
      </c>
      <c r="AG32" t="s">
        <v>983</v>
      </c>
      <c r="BY32" t="str">
        <f>'Translate&amp;Prices&amp;Logo'!$B$232</f>
        <v>Vlevo</v>
      </c>
      <c r="BZ32" t="str">
        <f>'Translate&amp;Prices&amp;Logo'!$B$244&amp;" "&amp;'Translate&amp;Prices&amp;Logo'!$B$593</f>
        <v>Vzdálenost od levého okraje (horního)</v>
      </c>
      <c r="CA32" t="str">
        <f>'Translate&amp;Prices&amp;Logo'!$B$244&amp;" "&amp;'Translate&amp;Prices&amp;Logo'!$B$591</f>
        <v>Vzdálenost od levého okraje (spodního)</v>
      </c>
      <c r="CC32" t="s">
        <v>4537</v>
      </c>
      <c r="CD32" t="s">
        <v>4532</v>
      </c>
      <c r="ED32" t="s">
        <v>1678</v>
      </c>
      <c r="EE32" t="s">
        <v>3208</v>
      </c>
      <c r="ER32" t="s">
        <v>2461</v>
      </c>
      <c r="ES32" t="s">
        <v>2461</v>
      </c>
    </row>
    <row r="33" spans="1:149">
      <c r="A33" t="str">
        <f>'Translate&amp;Prices&amp;Logo'!$B$53</f>
        <v>Pisa bílá lesk RAL 9003 - maximální doporučená délka profilu 2500 mm</v>
      </c>
      <c r="B33">
        <v>2</v>
      </c>
      <c r="C33" t="s">
        <v>998</v>
      </c>
      <c r="D33">
        <v>0</v>
      </c>
      <c r="AA33" t="s">
        <v>976</v>
      </c>
      <c r="AB33" t="s">
        <v>980</v>
      </c>
      <c r="AC33">
        <v>1</v>
      </c>
      <c r="AD33">
        <v>0</v>
      </c>
      <c r="AF33" t="s">
        <v>105</v>
      </c>
      <c r="AG33" t="s">
        <v>985</v>
      </c>
      <c r="BY33" t="str">
        <f>'Translate&amp;Prices&amp;Logo'!$B$231</f>
        <v xml:space="preserve">Vpravo </v>
      </c>
      <c r="BZ33" t="str">
        <f>'Translate&amp;Prices&amp;Logo'!$B$645&amp;" "&amp;'Translate&amp;Prices&amp;Logo'!$B$593</f>
        <v>Vzdálenost od pravého okraje (horního)</v>
      </c>
      <c r="CA33" t="str">
        <f>'Translate&amp;Prices&amp;Logo'!$B$645&amp;" "&amp;'Translate&amp;Prices&amp;Logo'!$B$591</f>
        <v>Vzdálenost od pravého okraje (spodního)</v>
      </c>
      <c r="CC33" t="s">
        <v>4540</v>
      </c>
      <c r="CD33" t="s">
        <v>4538</v>
      </c>
      <c r="ED33" t="s">
        <v>1679</v>
      </c>
      <c r="EE33" t="s">
        <v>3209</v>
      </c>
      <c r="ER33" t="s">
        <v>2462</v>
      </c>
      <c r="ES33" t="s">
        <v>2462</v>
      </c>
    </row>
    <row r="34" spans="1:149">
      <c r="A34" t="str">
        <f>'Translate&amp;Prices&amp;Logo'!$B$30</f>
        <v>Pisa černá mat - maximální doporučená délka profilu 2500 mm</v>
      </c>
      <c r="B34">
        <v>2</v>
      </c>
      <c r="C34" t="s">
        <v>998</v>
      </c>
      <c r="D34">
        <v>0</v>
      </c>
      <c r="AA34" t="s">
        <v>976</v>
      </c>
      <c r="AB34" t="s">
        <v>981</v>
      </c>
      <c r="AC34">
        <v>1</v>
      </c>
      <c r="AD34">
        <v>0</v>
      </c>
      <c r="AF34" t="s">
        <v>106</v>
      </c>
      <c r="AG34" t="s">
        <v>985</v>
      </c>
      <c r="BY34" t="str">
        <f>'Translate&amp;Prices&amp;Logo'!$B$229</f>
        <v>Nahoře</v>
      </c>
      <c r="BZ34" t="str">
        <f>'Translate&amp;Prices&amp;Logo'!$B$674&amp;" "&amp;'Translate&amp;Prices&amp;Logo'!$B$592</f>
        <v>Vzdálenost od horního okraje (levého)</v>
      </c>
      <c r="CA34" t="str">
        <f>'Translate&amp;Prices&amp;Logo'!$B$674&amp;" "&amp;'Translate&amp;Prices&amp;Logo'!$B$594</f>
        <v>Vzdálenost od horního okraje (pravého)</v>
      </c>
      <c r="CC34" t="s">
        <v>4534</v>
      </c>
      <c r="CD34" t="s">
        <v>4536</v>
      </c>
      <c r="ED34" t="s">
        <v>1680</v>
      </c>
      <c r="EE34" t="s">
        <v>3210</v>
      </c>
      <c r="ER34" t="s">
        <v>2170</v>
      </c>
      <c r="ES34" t="s">
        <v>2170</v>
      </c>
    </row>
    <row r="35" spans="1:149">
      <c r="A35" t="str">
        <f>'Translate&amp;Prices&amp;Logo'!$B$58</f>
        <v>Pisa zlatá - maximální doporučená délka profilu 2150 mm</v>
      </c>
      <c r="B35">
        <v>2</v>
      </c>
      <c r="C35" t="s">
        <v>998</v>
      </c>
      <c r="D35">
        <v>0</v>
      </c>
      <c r="BY35" t="str">
        <f>'Translate&amp;Prices&amp;Logo'!$B$230</f>
        <v>Dole</v>
      </c>
      <c r="BZ35" t="str">
        <f>'Translate&amp;Prices&amp;Logo'!$B$675&amp;" "&amp;'Translate&amp;Prices&amp;Logo'!$B$592</f>
        <v>Vzdálenost od spodního okraje (levého)</v>
      </c>
      <c r="CA35" t="str">
        <f>'Translate&amp;Prices&amp;Logo'!$B$675&amp;" "&amp;'Translate&amp;Prices&amp;Logo'!$B$594</f>
        <v>Vzdálenost od spodního okraje (pravého)</v>
      </c>
      <c r="CC35" t="s">
        <v>4533</v>
      </c>
      <c r="CD35" t="s">
        <v>4535</v>
      </c>
      <c r="ED35" t="s">
        <v>1681</v>
      </c>
      <c r="EE35" t="s">
        <v>1775</v>
      </c>
      <c r="ER35" t="s">
        <v>2171</v>
      </c>
      <c r="ES35" t="s">
        <v>2171</v>
      </c>
    </row>
    <row r="36" spans="1:149">
      <c r="A36" t="str">
        <f>'Translate&amp;Prices&amp;Logo'!$B$66</f>
        <v>Rimini elox - max délka profilu 1100 mm</v>
      </c>
      <c r="B36">
        <v>1</v>
      </c>
      <c r="C36" t="s">
        <v>651</v>
      </c>
      <c r="D36">
        <v>0</v>
      </c>
      <c r="ED36" t="s">
        <v>1620</v>
      </c>
      <c r="EE36" t="s">
        <v>1776</v>
      </c>
      <c r="ER36" t="s">
        <v>2172</v>
      </c>
      <c r="ES36" t="s">
        <v>2172</v>
      </c>
    </row>
    <row r="37" spans="1:149">
      <c r="A37" t="str">
        <f>'Translate&amp;Prices&amp;Logo'!$B$67</f>
        <v>Rimini černý mat - max délka profilu 1100 mm</v>
      </c>
      <c r="B37">
        <v>1</v>
      </c>
      <c r="C37" t="s">
        <v>651</v>
      </c>
      <c r="D37">
        <v>0</v>
      </c>
      <c r="BY37" t="s">
        <v>1332</v>
      </c>
      <c r="ED37" t="s">
        <v>1621</v>
      </c>
      <c r="EE37" t="s">
        <v>1777</v>
      </c>
      <c r="ER37" t="s">
        <v>2215</v>
      </c>
      <c r="ES37" t="s">
        <v>2209</v>
      </c>
    </row>
    <row r="38" spans="1:149">
      <c r="A38" t="str">
        <f>'Translate&amp;Prices&amp;Logo'!$B$68</f>
        <v>Rimini champagne - max délka profilu 1100 mm</v>
      </c>
      <c r="B38">
        <v>1</v>
      </c>
      <c r="C38" t="s">
        <v>651</v>
      </c>
      <c r="D38">
        <v>0</v>
      </c>
      <c r="ED38" t="s">
        <v>1622</v>
      </c>
      <c r="EE38" t="s">
        <v>1778</v>
      </c>
      <c r="ER38" t="s">
        <v>2216</v>
      </c>
      <c r="ES38" t="s">
        <v>2210</v>
      </c>
    </row>
    <row r="39" spans="1:149">
      <c r="A39" t="str">
        <f>'Translate&amp;Prices&amp;Logo'!$B$69</f>
        <v>Rimini zlatá - max délka profilu 1100 mm</v>
      </c>
      <c r="B39">
        <v>1</v>
      </c>
      <c r="C39" t="s">
        <v>651</v>
      </c>
      <c r="D39">
        <v>0</v>
      </c>
      <c r="AA39" t="s">
        <v>2500</v>
      </c>
      <c r="AB39" t="s">
        <v>2498</v>
      </c>
      <c r="ED39" t="s">
        <v>1623</v>
      </c>
      <c r="EE39" t="s">
        <v>1779</v>
      </c>
      <c r="ER39" t="s">
        <v>2217</v>
      </c>
      <c r="ES39" t="s">
        <v>2211</v>
      </c>
    </row>
    <row r="40" spans="1:149">
      <c r="A40" t="str">
        <f>'Translate&amp;Prices&amp;Logo'!$B$70</f>
        <v>Rimini zlatá broušená - max délka profilu 1100 mm</v>
      </c>
      <c r="B40">
        <v>1</v>
      </c>
      <c r="C40" t="s">
        <v>651</v>
      </c>
      <c r="D40">
        <v>0</v>
      </c>
      <c r="AA40" t="s">
        <v>2500</v>
      </c>
      <c r="AB40" t="str">
        <f>'Translate&amp;Prices&amp;Logo'!B661</f>
        <v>StrongLift_horní</v>
      </c>
      <c r="AC40">
        <v>1</v>
      </c>
      <c r="AD40">
        <v>0</v>
      </c>
      <c r="ED40" t="s">
        <v>1624</v>
      </c>
      <c r="EE40" t="s">
        <v>1780</v>
      </c>
      <c r="ER40" t="s">
        <v>2218</v>
      </c>
      <c r="ES40" t="s">
        <v>2212</v>
      </c>
    </row>
    <row r="41" spans="1:149">
      <c r="A41" t="str">
        <f>'Translate&amp;Prices&amp;Logo'!$B$50</f>
        <v>Rocca (elox.) - maximální doporučená délka profilu 2150 mm</v>
      </c>
      <c r="B41">
        <v>1</v>
      </c>
      <c r="C41" t="s">
        <v>651</v>
      </c>
      <c r="D41">
        <v>0</v>
      </c>
      <c r="AB41" t="str">
        <f>'Translate&amp;Prices&amp;Logo'!B662</f>
        <v>StrongLift_spodní</v>
      </c>
      <c r="AC41">
        <v>1</v>
      </c>
      <c r="AD41">
        <v>0</v>
      </c>
      <c r="ED41" t="s">
        <v>1625</v>
      </c>
      <c r="EE41" t="s">
        <v>1781</v>
      </c>
      <c r="ER41" t="s">
        <v>2219</v>
      </c>
      <c r="ES41" t="s">
        <v>2213</v>
      </c>
    </row>
    <row r="42" spans="1:149">
      <c r="A42" t="str">
        <f>'Translate&amp;Prices&amp;Logo'!$B$42</f>
        <v>Rocca černá mat - maximální doporučená délka profilu 2150 mm</v>
      </c>
      <c r="B42">
        <v>1</v>
      </c>
      <c r="C42" t="s">
        <v>651</v>
      </c>
      <c r="D42">
        <v>0</v>
      </c>
      <c r="AA42" t="s">
        <v>2082</v>
      </c>
      <c r="AB42" t="s">
        <v>1010</v>
      </c>
      <c r="ED42" t="s">
        <v>1626</v>
      </c>
      <c r="EE42" t="s">
        <v>1782</v>
      </c>
      <c r="ER42" t="s">
        <v>2220</v>
      </c>
      <c r="ES42" t="s">
        <v>2214</v>
      </c>
    </row>
    <row r="43" spans="1:149">
      <c r="A43" t="str">
        <f>'Translate&amp;Prices&amp;Logo'!$B$63</f>
        <v>Treviso černá mat - maximální doporučená délka profilu 2750 mm</v>
      </c>
      <c r="B43">
        <v>1</v>
      </c>
      <c r="C43" t="s">
        <v>651</v>
      </c>
      <c r="D43">
        <v>0</v>
      </c>
      <c r="AA43" t="s">
        <v>984</v>
      </c>
      <c r="AB43" t="s">
        <v>1110</v>
      </c>
      <c r="AC43">
        <v>0</v>
      </c>
      <c r="AD43">
        <v>0</v>
      </c>
      <c r="ED43" t="s">
        <v>1627</v>
      </c>
      <c r="EE43" t="s">
        <v>1783</v>
      </c>
      <c r="ER43" t="s">
        <v>2471</v>
      </c>
      <c r="ES43" t="s">
        <v>2463</v>
      </c>
    </row>
    <row r="44" spans="1:149">
      <c r="A44" t="str">
        <f>'Translate&amp;Prices&amp;Logo'!$B$34</f>
        <v>Verona (elox.) - maximální doporučená délka profilu 2500 mm</v>
      </c>
      <c r="B44">
        <v>1</v>
      </c>
      <c r="C44" t="s">
        <v>651</v>
      </c>
      <c r="D44">
        <v>0</v>
      </c>
      <c r="AA44" t="s">
        <v>984</v>
      </c>
      <c r="AB44" t="s">
        <v>985</v>
      </c>
      <c r="AC44">
        <v>1</v>
      </c>
      <c r="AD44">
        <v>0</v>
      </c>
      <c r="ED44" t="s">
        <v>1628</v>
      </c>
      <c r="EE44" t="s">
        <v>1784</v>
      </c>
      <c r="ER44" t="s">
        <v>2472</v>
      </c>
      <c r="ES44" t="s">
        <v>2464</v>
      </c>
    </row>
    <row r="45" spans="1:149">
      <c r="A45" t="str">
        <f>'Translate&amp;Prices&amp;Logo'!$B$35</f>
        <v>Verona broušený hliník - maximální doporučená délka profilu 2500 mm</v>
      </c>
      <c r="B45">
        <v>1</v>
      </c>
      <c r="C45" t="s">
        <v>651</v>
      </c>
      <c r="D45">
        <v>0</v>
      </c>
      <c r="AB45" t="s">
        <v>1111</v>
      </c>
      <c r="AC45">
        <v>0</v>
      </c>
      <c r="AD45">
        <v>0</v>
      </c>
      <c r="ED45" t="s">
        <v>1629</v>
      </c>
      <c r="EE45" t="s">
        <v>1785</v>
      </c>
      <c r="ER45" t="s">
        <v>2239</v>
      </c>
      <c r="ES45" t="s">
        <v>2233</v>
      </c>
    </row>
    <row r="46" spans="1:149">
      <c r="A46" t="str">
        <f>'Translate&amp;Prices&amp;Logo'!$B$37</f>
        <v>Verona černá mat - maximální doporučená délka profilu 2500 mm</v>
      </c>
      <c r="B46">
        <v>1</v>
      </c>
      <c r="C46" t="s">
        <v>651</v>
      </c>
      <c r="D46">
        <v>0</v>
      </c>
      <c r="ED46" t="s">
        <v>1630</v>
      </c>
      <c r="EE46" t="s">
        <v>1786</v>
      </c>
      <c r="ER46" t="s">
        <v>2240</v>
      </c>
      <c r="ES46" t="s">
        <v>2234</v>
      </c>
    </row>
    <row r="47" spans="1:149">
      <c r="A47" t="str">
        <f>'Translate&amp;Prices&amp;Logo'!$B$36</f>
        <v>Verona černá lesk - maximální doporučená délka profilu 2500 mm</v>
      </c>
      <c r="B47">
        <v>1</v>
      </c>
      <c r="C47" t="s">
        <v>651</v>
      </c>
      <c r="D47">
        <v>0</v>
      </c>
      <c r="ED47" t="s">
        <v>1631</v>
      </c>
      <c r="EE47" t="s">
        <v>1787</v>
      </c>
      <c r="ER47" t="s">
        <v>2241</v>
      </c>
      <c r="ES47" t="s">
        <v>2235</v>
      </c>
    </row>
    <row r="48" spans="1:149">
      <c r="A48" t="str">
        <f>'Translate&amp;Prices&amp;Logo'!$B$38</f>
        <v>Verona hnědá - maximální doporučená délka profilu 2500 mm</v>
      </c>
      <c r="B48">
        <v>1</v>
      </c>
      <c r="C48" t="s">
        <v>651</v>
      </c>
      <c r="D48">
        <v>0</v>
      </c>
      <c r="ED48" t="s">
        <v>1632</v>
      </c>
      <c r="EE48" t="s">
        <v>1788</v>
      </c>
      <c r="ER48" t="s">
        <v>2242</v>
      </c>
      <c r="ES48" t="s">
        <v>2236</v>
      </c>
    </row>
    <row r="49" spans="1:149">
      <c r="A49" t="str">
        <f>'Translate&amp;Prices&amp;Logo'!$B$39</f>
        <v>Verona champagne - maximální doporučená délka profilu 2500 mm</v>
      </c>
      <c r="B49">
        <v>1</v>
      </c>
      <c r="C49" t="s">
        <v>651</v>
      </c>
      <c r="D49">
        <v>0</v>
      </c>
      <c r="AA49" t="s">
        <v>2083</v>
      </c>
      <c r="AB49" t="s">
        <v>2085</v>
      </c>
      <c r="ED49" t="s">
        <v>1633</v>
      </c>
      <c r="EE49" t="s">
        <v>1789</v>
      </c>
      <c r="ER49" t="s">
        <v>2243</v>
      </c>
      <c r="ES49" t="s">
        <v>2237</v>
      </c>
    </row>
    <row r="50" spans="1:149">
      <c r="A50" t="str">
        <f>'Translate&amp;Prices&amp;Logo'!$B$40</f>
        <v>Verona tmavá nerez broušená (Inox Lija)- maximální doporučená délka profilu 2500 mm</v>
      </c>
      <c r="B50">
        <v>1</v>
      </c>
      <c r="C50" t="s">
        <v>651</v>
      </c>
      <c r="D50">
        <v>0</v>
      </c>
      <c r="AB50" t="s">
        <v>2374</v>
      </c>
      <c r="AC50">
        <v>0</v>
      </c>
      <c r="AD50">
        <v>0</v>
      </c>
      <c r="ED50" t="s">
        <v>1634</v>
      </c>
      <c r="EE50" t="s">
        <v>1790</v>
      </c>
      <c r="ER50" t="s">
        <v>2244</v>
      </c>
      <c r="ES50" t="s">
        <v>2238</v>
      </c>
    </row>
    <row r="51" spans="1:149">
      <c r="A51" t="str">
        <f>'Translate&amp;Prices&amp;Logo'!$B$41</f>
        <v>Verona světlá nerez (Acier gratta) - maximální doporučená délka profilu 2500 mm</v>
      </c>
      <c r="B51">
        <v>1</v>
      </c>
      <c r="C51" t="s">
        <v>651</v>
      </c>
      <c r="D51">
        <v>0</v>
      </c>
      <c r="AB51" t="s">
        <v>2376</v>
      </c>
      <c r="AC51">
        <v>0</v>
      </c>
      <c r="AD51">
        <v>0</v>
      </c>
      <c r="ED51" t="s">
        <v>1635</v>
      </c>
      <c r="EE51" t="s">
        <v>1791</v>
      </c>
      <c r="ER51" t="s">
        <v>2473</v>
      </c>
      <c r="ES51" t="s">
        <v>2465</v>
      </c>
    </row>
    <row r="52" spans="1:149">
      <c r="A52" t="str">
        <f>'Translate&amp;Prices&amp;Logo'!$B$62</f>
        <v>Verona Ivory mat - maximální doporučená délka profilu 2150 mm</v>
      </c>
      <c r="B52">
        <v>1</v>
      </c>
      <c r="C52" t="s">
        <v>651</v>
      </c>
      <c r="D52">
        <v>0</v>
      </c>
      <c r="AB52" t="s">
        <v>2371</v>
      </c>
      <c r="AC52">
        <v>0</v>
      </c>
      <c r="AD52">
        <v>0</v>
      </c>
      <c r="ED52" t="s">
        <v>1636</v>
      </c>
      <c r="EE52" t="s">
        <v>1792</v>
      </c>
      <c r="ER52" t="s">
        <v>2474</v>
      </c>
      <c r="ES52" t="s">
        <v>2466</v>
      </c>
    </row>
    <row r="53" spans="1:149">
      <c r="A53" t="str">
        <f>'Translate&amp;Prices&amp;Logo'!$B$65</f>
        <v>Verona kašmír - maximální doporučená délka profilu 2150 mm</v>
      </c>
      <c r="B53">
        <v>1</v>
      </c>
      <c r="C53" t="s">
        <v>651</v>
      </c>
      <c r="D53">
        <v>0</v>
      </c>
      <c r="AB53" t="s">
        <v>2372</v>
      </c>
      <c r="AC53">
        <v>0</v>
      </c>
      <c r="AD53">
        <v>0</v>
      </c>
      <c r="ED53" t="s">
        <v>1637</v>
      </c>
      <c r="EE53" t="s">
        <v>1793</v>
      </c>
      <c r="ER53" t="s">
        <v>2475</v>
      </c>
      <c r="ES53" t="s">
        <v>2467</v>
      </c>
    </row>
    <row r="54" spans="1:149">
      <c r="A54" t="str">
        <f>'Translate&amp;Prices&amp;Logo'!$B$24</f>
        <v>Verona zlatá - maximální doporučená délka profilu 2150 mm</v>
      </c>
      <c r="B54">
        <v>1</v>
      </c>
      <c r="C54" t="s">
        <v>651</v>
      </c>
      <c r="D54">
        <v>0</v>
      </c>
      <c r="ED54" t="s">
        <v>1638</v>
      </c>
      <c r="EE54" t="s">
        <v>1794</v>
      </c>
      <c r="ER54" t="s">
        <v>2476</v>
      </c>
      <c r="ES54" t="s">
        <v>2468</v>
      </c>
    </row>
    <row r="55" spans="1:149">
      <c r="A55" t="str">
        <f>'Translate&amp;Prices&amp;Logo'!$B$56</f>
        <v>Verona zlatá broušená - maximální doporučená délka profilu 2150 mm</v>
      </c>
      <c r="B55">
        <v>1</v>
      </c>
      <c r="C55" t="s">
        <v>651</v>
      </c>
      <c r="D55">
        <v>0</v>
      </c>
      <c r="ED55" t="s">
        <v>1639</v>
      </c>
      <c r="EE55" t="s">
        <v>1795</v>
      </c>
      <c r="ER55" t="s">
        <v>2477</v>
      </c>
      <c r="ES55" t="s">
        <v>2469</v>
      </c>
    </row>
    <row r="56" spans="1:149">
      <c r="A56" t="str">
        <f>'Translate&amp;Prices&amp;Logo'!$B$43</f>
        <v>Vivaro (elox.) - maximální doporučená délka profilu 2500 mm</v>
      </c>
      <c r="B56">
        <v>2</v>
      </c>
      <c r="C56" t="s">
        <v>651</v>
      </c>
      <c r="D56">
        <v>1</v>
      </c>
      <c r="ED56" t="s">
        <v>1640</v>
      </c>
      <c r="EE56" t="s">
        <v>1796</v>
      </c>
      <c r="ER56" t="s">
        <v>2478</v>
      </c>
      <c r="ES56" t="s">
        <v>2470</v>
      </c>
    </row>
    <row r="57" spans="1:149">
      <c r="A57" t="str">
        <f>'Translate&amp;Prices&amp;Logo'!$B$44</f>
        <v>Vivaro černá mat - maximální doporučená délka profilu 2500 mm</v>
      </c>
      <c r="B57">
        <v>2</v>
      </c>
      <c r="C57" t="s">
        <v>651</v>
      </c>
      <c r="D57">
        <v>1</v>
      </c>
      <c r="ED57" t="s">
        <v>1641</v>
      </c>
      <c r="EE57" t="s">
        <v>1797</v>
      </c>
      <c r="ER57" t="s">
        <v>2221</v>
      </c>
      <c r="ES57" t="s">
        <v>2209</v>
      </c>
    </row>
    <row r="58" spans="1:149">
      <c r="A58" t="str">
        <f>'Translate&amp;Prices&amp;Logo'!$B$46</f>
        <v>Vivaro tmavá nerez br. (inox lija) - maximální doporučená délka profilu 2500 mm</v>
      </c>
      <c r="B58">
        <v>2</v>
      </c>
      <c r="C58" t="s">
        <v>651</v>
      </c>
      <c r="D58">
        <v>0</v>
      </c>
      <c r="ED58" t="s">
        <v>1642</v>
      </c>
      <c r="EE58" t="s">
        <v>1798</v>
      </c>
      <c r="ER58" t="s">
        <v>2222</v>
      </c>
      <c r="ES58" t="s">
        <v>2210</v>
      </c>
    </row>
    <row r="59" spans="1:149">
      <c r="A59" t="str">
        <f>'Translate&amp;Prices&amp;Logo'!$B$47</f>
        <v>Vivaro bílá mat RAL 9003 - maximální doporučená délka profilu 2500 mm</v>
      </c>
      <c r="B59">
        <v>2</v>
      </c>
      <c r="C59" t="s">
        <v>651</v>
      </c>
      <c r="D59">
        <v>0</v>
      </c>
      <c r="AA59" t="s">
        <v>2084</v>
      </c>
      <c r="AB59" t="s">
        <v>2086</v>
      </c>
      <c r="ED59" t="s">
        <v>1643</v>
      </c>
      <c r="EE59" t="s">
        <v>1799</v>
      </c>
      <c r="ER59" t="s">
        <v>2223</v>
      </c>
      <c r="ES59" t="s">
        <v>2211</v>
      </c>
    </row>
    <row r="60" spans="1:149">
      <c r="A60" t="str">
        <f>'Translate&amp;Prices&amp;Logo'!$B$48</f>
        <v>Vivaro bílá lesk RAL 9003 - maximální doporučená délka profilu 2500 mm</v>
      </c>
      <c r="B60">
        <v>2</v>
      </c>
      <c r="C60" t="s">
        <v>651</v>
      </c>
      <c r="D60">
        <v>0</v>
      </c>
      <c r="AB60" t="s">
        <v>968</v>
      </c>
      <c r="AC60">
        <v>0</v>
      </c>
      <c r="AD60">
        <v>0</v>
      </c>
      <c r="ED60" t="s">
        <v>1644</v>
      </c>
      <c r="EE60" t="s">
        <v>1800</v>
      </c>
      <c r="ER60" t="s">
        <v>2224</v>
      </c>
      <c r="ES60" t="s">
        <v>2212</v>
      </c>
    </row>
    <row r="61" spans="1:149">
      <c r="A61" t="str">
        <f>'Translate&amp;Prices&amp;Logo'!$B$31</f>
        <v>Vivaro zlatá - maximální doporučená délka profilu 2150 mm</v>
      </c>
      <c r="B61">
        <v>2</v>
      </c>
      <c r="C61" t="s">
        <v>651</v>
      </c>
      <c r="D61">
        <v>1</v>
      </c>
      <c r="AB61" t="s">
        <v>970</v>
      </c>
      <c r="AC61">
        <v>0</v>
      </c>
      <c r="AD61">
        <v>0</v>
      </c>
      <c r="ED61" t="s">
        <v>1645</v>
      </c>
      <c r="EE61" t="s">
        <v>1801</v>
      </c>
      <c r="ER61" t="s">
        <v>2225</v>
      </c>
      <c r="ES61" t="s">
        <v>2213</v>
      </c>
    </row>
    <row r="62" spans="1:149">
      <c r="A62" t="str">
        <f>'Translate&amp;Prices&amp;Logo'!$B$57</f>
        <v>Vivaro zlatá broušená - maximální doporučená délka profilu 2150 mm</v>
      </c>
      <c r="B62">
        <v>2</v>
      </c>
      <c r="C62" t="s">
        <v>651</v>
      </c>
      <c r="D62">
        <v>0</v>
      </c>
      <c r="AB62" t="s">
        <v>971</v>
      </c>
      <c r="AC62">
        <v>0</v>
      </c>
      <c r="AD62">
        <v>0</v>
      </c>
      <c r="ED62" t="s">
        <v>1646</v>
      </c>
      <c r="EE62" t="s">
        <v>1802</v>
      </c>
      <c r="ER62" t="s">
        <v>2226</v>
      </c>
      <c r="ES62" t="s">
        <v>2214</v>
      </c>
    </row>
    <row r="63" spans="1:149">
      <c r="A63" t="str">
        <f>'Translate&amp;Prices&amp;Logo'!$B$82</f>
        <v>Rocca elox (Vlevo a vpravo) + Varna elox (Nahoře a dole)</v>
      </c>
      <c r="B63">
        <v>3</v>
      </c>
      <c r="C63" t="s">
        <v>651</v>
      </c>
      <c r="D63">
        <v>0</v>
      </c>
      <c r="AB63" t="s">
        <v>973</v>
      </c>
      <c r="AC63">
        <v>0</v>
      </c>
      <c r="AD63">
        <v>0</v>
      </c>
      <c r="ED63" t="s">
        <v>1647</v>
      </c>
      <c r="EE63" t="s">
        <v>1803</v>
      </c>
      <c r="ER63" t="s">
        <v>2479</v>
      </c>
      <c r="ES63" t="s">
        <v>2463</v>
      </c>
    </row>
    <row r="64" spans="1:149">
      <c r="A64" t="str">
        <f>'Translate&amp;Prices&amp;Logo'!$B$83</f>
        <v>Rocca černá (Vlevo a vpravo) + Varna černá (Nahoře a dole)</v>
      </c>
      <c r="B64">
        <v>3</v>
      </c>
      <c r="C64" t="s">
        <v>651</v>
      </c>
      <c r="D64">
        <v>0</v>
      </c>
      <c r="ED64" t="s">
        <v>1648</v>
      </c>
      <c r="EE64" t="s">
        <v>1804</v>
      </c>
      <c r="ER64" t="s">
        <v>2480</v>
      </c>
      <c r="ES64" t="s">
        <v>2464</v>
      </c>
    </row>
    <row r="65" spans="1:149">
      <c r="A65" t="str">
        <f>'Translate&amp;Prices&amp;Logo'!$B$73</f>
        <v>ROMA černá mat - maximální doporučená délka profilu 2696 mm</v>
      </c>
      <c r="B65">
        <v>1</v>
      </c>
      <c r="C65" t="s">
        <v>651</v>
      </c>
      <c r="D65">
        <v>0</v>
      </c>
      <c r="ED65" t="s">
        <v>1682</v>
      </c>
      <c r="EE65" t="s">
        <v>3183</v>
      </c>
      <c r="EF65">
        <f>LEN(EE65)</f>
        <v>71</v>
      </c>
      <c r="ER65" t="s">
        <v>2245</v>
      </c>
      <c r="ES65" t="s">
        <v>2233</v>
      </c>
    </row>
    <row r="66" spans="1:149">
      <c r="A66" t="str">
        <f>'Translate&amp;Prices&amp;Logo'!$B$74</f>
        <v>ROMA champagne mat - maximální doporučená délka profilu 2696 mm</v>
      </c>
      <c r="B66">
        <v>1</v>
      </c>
      <c r="C66" t="s">
        <v>651</v>
      </c>
      <c r="D66">
        <v>0</v>
      </c>
      <c r="ED66" t="s">
        <v>1683</v>
      </c>
      <c r="EE66" t="s">
        <v>3186</v>
      </c>
      <c r="ER66" t="s">
        <v>2246</v>
      </c>
      <c r="ES66" t="s">
        <v>2234</v>
      </c>
    </row>
    <row r="67" spans="1:149">
      <c r="A67" t="str">
        <f>'Translate&amp;Prices&amp;Logo'!$B$75</f>
        <v>ROMA GRIP černá mat - maximální doporučená délka profilu 2696 mm</v>
      </c>
      <c r="B67">
        <v>1</v>
      </c>
      <c r="C67" t="s">
        <v>651</v>
      </c>
      <c r="D67">
        <v>0</v>
      </c>
      <c r="Q67" t="str">
        <f>'Translate&amp;Prices&amp;Logo'!$B$71</f>
        <v>BRW champagne - maximální doporučená délka profilu 2500 mm</v>
      </c>
      <c r="ED67" t="s">
        <v>1684</v>
      </c>
      <c r="EE67" t="s">
        <v>3188</v>
      </c>
      <c r="ER67" t="s">
        <v>2247</v>
      </c>
      <c r="ES67" t="s">
        <v>2235</v>
      </c>
    </row>
    <row r="68" spans="1:149">
      <c r="A68" t="str">
        <f>'Translate&amp;Prices&amp;Logo'!$B$76</f>
        <v>ROMA GRIP champagne mat - maximální doporučená délka profilu 2696 mm</v>
      </c>
      <c r="B68">
        <v>1</v>
      </c>
      <c r="C68" t="s">
        <v>651</v>
      </c>
      <c r="D68">
        <v>0</v>
      </c>
      <c r="ED68" t="s">
        <v>1685</v>
      </c>
      <c r="EE68" t="s">
        <v>3189</v>
      </c>
      <c r="ER68" t="s">
        <v>2248</v>
      </c>
      <c r="ES68" t="s">
        <v>2236</v>
      </c>
    </row>
    <row r="69" spans="1:149">
      <c r="ED69" t="s">
        <v>1686</v>
      </c>
      <c r="EE69" t="s">
        <v>3191</v>
      </c>
      <c r="ER69" t="s">
        <v>2249</v>
      </c>
      <c r="ES69" t="s">
        <v>2237</v>
      </c>
    </row>
    <row r="70" spans="1:149">
      <c r="ED70" t="s">
        <v>1687</v>
      </c>
      <c r="EE70" t="s">
        <v>3193</v>
      </c>
      <c r="ER70" t="s">
        <v>2250</v>
      </c>
      <c r="ES70" t="s">
        <v>2238</v>
      </c>
    </row>
    <row r="71" spans="1:149">
      <c r="ED71" t="s">
        <v>1688</v>
      </c>
      <c r="EE71" t="s">
        <v>3195</v>
      </c>
      <c r="ER71" t="s">
        <v>2481</v>
      </c>
      <c r="ES71" t="s">
        <v>2465</v>
      </c>
    </row>
    <row r="72" spans="1:149">
      <c r="ED72" t="s">
        <v>1689</v>
      </c>
      <c r="EE72" t="s">
        <v>3196</v>
      </c>
      <c r="ER72" t="s">
        <v>2482</v>
      </c>
      <c r="ES72" t="s">
        <v>2466</v>
      </c>
    </row>
    <row r="73" spans="1:149">
      <c r="ED73" t="s">
        <v>1690</v>
      </c>
      <c r="EE73" t="s">
        <v>1751</v>
      </c>
      <c r="ER73" t="s">
        <v>2483</v>
      </c>
      <c r="ES73" t="s">
        <v>2467</v>
      </c>
    </row>
    <row r="74" spans="1:149">
      <c r="ED74" t="s">
        <v>1691</v>
      </c>
      <c r="EE74" t="s">
        <v>1752</v>
      </c>
      <c r="ER74" t="s">
        <v>2484</v>
      </c>
      <c r="ES74" t="s">
        <v>2468</v>
      </c>
    </row>
    <row r="75" spans="1:149">
      <c r="ED75" t="s">
        <v>1692</v>
      </c>
      <c r="EE75" t="s">
        <v>1753</v>
      </c>
      <c r="ER75" t="s">
        <v>2485</v>
      </c>
      <c r="ES75" t="s">
        <v>2469</v>
      </c>
    </row>
    <row r="76" spans="1:149">
      <c r="ED76" t="s">
        <v>2505</v>
      </c>
      <c r="EE76" t="s">
        <v>2506</v>
      </c>
      <c r="ER76" t="s">
        <v>2486</v>
      </c>
      <c r="ES76" t="s">
        <v>2470</v>
      </c>
    </row>
    <row r="77" spans="1:149">
      <c r="ED77" t="s">
        <v>1693</v>
      </c>
      <c r="EE77" t="s">
        <v>1754</v>
      </c>
      <c r="ER77" t="s">
        <v>2227</v>
      </c>
      <c r="ES77" t="s">
        <v>2209</v>
      </c>
    </row>
    <row r="78" spans="1:149">
      <c r="A78" t="s">
        <v>375</v>
      </c>
      <c r="ED78" t="s">
        <v>1694</v>
      </c>
      <c r="EE78" t="s">
        <v>1755</v>
      </c>
      <c r="ER78" t="s">
        <v>2228</v>
      </c>
      <c r="ES78" t="s">
        <v>2210</v>
      </c>
    </row>
    <row r="79" spans="1:149">
      <c r="ED79" t="s">
        <v>1695</v>
      </c>
      <c r="EE79" t="s">
        <v>1756</v>
      </c>
      <c r="ER79" t="s">
        <v>2229</v>
      </c>
      <c r="ES79" t="s">
        <v>2211</v>
      </c>
    </row>
    <row r="80" spans="1:149">
      <c r="ED80" t="s">
        <v>1696</v>
      </c>
      <c r="EE80" t="s">
        <v>1757</v>
      </c>
      <c r="ER80" t="s">
        <v>2230</v>
      </c>
      <c r="ES80" t="s">
        <v>2212</v>
      </c>
    </row>
    <row r="81" spans="134:149">
      <c r="ED81" t="s">
        <v>1697</v>
      </c>
      <c r="EE81" t="s">
        <v>1758</v>
      </c>
      <c r="ER81" t="s">
        <v>2231</v>
      </c>
      <c r="ES81" t="s">
        <v>2213</v>
      </c>
    </row>
    <row r="82" spans="134:149">
      <c r="ED82" t="s">
        <v>1698</v>
      </c>
      <c r="EE82" t="s">
        <v>1759</v>
      </c>
      <c r="ER82" t="s">
        <v>2232</v>
      </c>
      <c r="ES82" t="s">
        <v>2214</v>
      </c>
    </row>
    <row r="83" spans="134:149">
      <c r="ED83" t="s">
        <v>1699</v>
      </c>
      <c r="EE83" t="s">
        <v>1760</v>
      </c>
      <c r="ER83" t="s">
        <v>2487</v>
      </c>
      <c r="ES83" t="s">
        <v>2463</v>
      </c>
    </row>
    <row r="84" spans="134:149">
      <c r="ED84" t="s">
        <v>1700</v>
      </c>
      <c r="EE84" t="s">
        <v>1761</v>
      </c>
      <c r="ER84" t="s">
        <v>2488</v>
      </c>
      <c r="ES84" t="s">
        <v>2464</v>
      </c>
    </row>
    <row r="85" spans="134:149">
      <c r="ED85" t="s">
        <v>1701</v>
      </c>
      <c r="EE85" t="s">
        <v>1762</v>
      </c>
      <c r="ER85" t="s">
        <v>2251</v>
      </c>
      <c r="ES85" t="s">
        <v>2233</v>
      </c>
    </row>
    <row r="86" spans="134:149">
      <c r="ED86" t="s">
        <v>1614</v>
      </c>
      <c r="EE86" t="s">
        <v>3198</v>
      </c>
      <c r="ER86" t="s">
        <v>2252</v>
      </c>
      <c r="ES86" t="s">
        <v>2234</v>
      </c>
    </row>
    <row r="87" spans="134:149">
      <c r="ED87" t="s">
        <v>1702</v>
      </c>
      <c r="EE87" t="s">
        <v>3199</v>
      </c>
      <c r="ER87" t="s">
        <v>2253</v>
      </c>
      <c r="ES87" t="s">
        <v>2235</v>
      </c>
    </row>
    <row r="88" spans="134:149">
      <c r="ED88" t="s">
        <v>1703</v>
      </c>
      <c r="EE88" t="s">
        <v>3200</v>
      </c>
      <c r="ER88" t="s">
        <v>2254</v>
      </c>
      <c r="ES88" t="s">
        <v>2236</v>
      </c>
    </row>
    <row r="89" spans="134:149">
      <c r="ED89" t="s">
        <v>1704</v>
      </c>
      <c r="EE89" t="s">
        <v>3201</v>
      </c>
      <c r="ER89" t="s">
        <v>2255</v>
      </c>
      <c r="ES89" t="s">
        <v>2237</v>
      </c>
    </row>
    <row r="90" spans="134:149">
      <c r="ED90" t="s">
        <v>1705</v>
      </c>
      <c r="EE90" t="s">
        <v>3203</v>
      </c>
      <c r="ER90" t="s">
        <v>2256</v>
      </c>
      <c r="ES90" t="s">
        <v>2238</v>
      </c>
    </row>
    <row r="91" spans="134:149">
      <c r="ED91" t="s">
        <v>1706</v>
      </c>
      <c r="EE91" t="s">
        <v>3204</v>
      </c>
      <c r="ER91" t="s">
        <v>2489</v>
      </c>
      <c r="ES91" t="s">
        <v>2465</v>
      </c>
    </row>
    <row r="92" spans="134:149">
      <c r="ED92" t="s">
        <v>1707</v>
      </c>
      <c r="EE92" t="s">
        <v>3205</v>
      </c>
      <c r="ER92" t="s">
        <v>2490</v>
      </c>
      <c r="ES92" t="s">
        <v>2466</v>
      </c>
    </row>
    <row r="93" spans="134:149">
      <c r="ED93" t="s">
        <v>1708</v>
      </c>
      <c r="EE93" t="s">
        <v>3206</v>
      </c>
      <c r="ER93" t="s">
        <v>2491</v>
      </c>
      <c r="ES93" t="s">
        <v>2467</v>
      </c>
    </row>
    <row r="94" spans="134:149">
      <c r="ED94" t="s">
        <v>1709</v>
      </c>
      <c r="EE94" t="s">
        <v>3207</v>
      </c>
      <c r="ER94" t="s">
        <v>2492</v>
      </c>
      <c r="ES94" t="s">
        <v>2468</v>
      </c>
    </row>
    <row r="95" spans="134:149">
      <c r="ED95" t="s">
        <v>1710</v>
      </c>
      <c r="EE95" t="s">
        <v>3208</v>
      </c>
      <c r="ER95" t="s">
        <v>2493</v>
      </c>
      <c r="ES95" t="s">
        <v>2469</v>
      </c>
    </row>
    <row r="96" spans="134:149">
      <c r="ED96" t="s">
        <v>1711</v>
      </c>
      <c r="EE96" t="s">
        <v>3209</v>
      </c>
      <c r="ER96" t="s">
        <v>2494</v>
      </c>
      <c r="ES96" t="s">
        <v>2470</v>
      </c>
    </row>
    <row r="97" spans="134:149">
      <c r="ED97" t="s">
        <v>1712</v>
      </c>
      <c r="EE97" t="s">
        <v>3210</v>
      </c>
      <c r="ER97" t="s">
        <v>2315</v>
      </c>
      <c r="ES97" t="s">
        <v>2315</v>
      </c>
    </row>
    <row r="98" spans="134:149">
      <c r="ED98" t="s">
        <v>1713</v>
      </c>
      <c r="EE98" t="s">
        <v>1775</v>
      </c>
      <c r="ER98" t="s">
        <v>2316</v>
      </c>
      <c r="ES98" t="s">
        <v>2315</v>
      </c>
    </row>
    <row r="99" spans="134:149">
      <c r="ED99" t="s">
        <v>1714</v>
      </c>
      <c r="EE99" t="s">
        <v>1776</v>
      </c>
      <c r="ER99" t="s">
        <v>2317</v>
      </c>
      <c r="ES99" t="s">
        <v>2315</v>
      </c>
    </row>
    <row r="100" spans="134:149">
      <c r="ED100" t="s">
        <v>1715</v>
      </c>
      <c r="EE100" t="s">
        <v>1777</v>
      </c>
      <c r="ER100" t="s">
        <v>2318</v>
      </c>
      <c r="ES100" t="s">
        <v>2315</v>
      </c>
    </row>
    <row r="101" spans="134:149">
      <c r="ED101" t="s">
        <v>1716</v>
      </c>
      <c r="EE101" t="s">
        <v>1778</v>
      </c>
      <c r="ER101" t="s">
        <v>2313</v>
      </c>
      <c r="ES101" t="s">
        <v>2313</v>
      </c>
    </row>
    <row r="102" spans="134:149">
      <c r="ED102" t="s">
        <v>1717</v>
      </c>
      <c r="EE102" t="s">
        <v>1779</v>
      </c>
      <c r="ER102" t="s">
        <v>2319</v>
      </c>
      <c r="ES102" t="s">
        <v>2313</v>
      </c>
    </row>
    <row r="103" spans="134:149">
      <c r="ED103" t="s">
        <v>1718</v>
      </c>
      <c r="EE103" t="s">
        <v>1780</v>
      </c>
      <c r="ER103" t="s">
        <v>2320</v>
      </c>
      <c r="ES103" t="s">
        <v>2313</v>
      </c>
    </row>
    <row r="104" spans="134:149">
      <c r="ED104" t="s">
        <v>1719</v>
      </c>
      <c r="EE104" t="s">
        <v>1781</v>
      </c>
      <c r="ER104" t="s">
        <v>2321</v>
      </c>
      <c r="ES104" t="s">
        <v>2313</v>
      </c>
    </row>
    <row r="105" spans="134:149">
      <c r="ED105" t="s">
        <v>1720</v>
      </c>
      <c r="EE105" t="s">
        <v>1782</v>
      </c>
      <c r="ER105" t="s">
        <v>2314</v>
      </c>
      <c r="ES105" t="s">
        <v>2314</v>
      </c>
    </row>
    <row r="106" spans="134:149">
      <c r="ED106" t="s">
        <v>1721</v>
      </c>
      <c r="EE106" t="s">
        <v>1783</v>
      </c>
      <c r="ER106" t="s">
        <v>2322</v>
      </c>
      <c r="ES106" t="s">
        <v>2314</v>
      </c>
    </row>
    <row r="107" spans="134:149">
      <c r="ED107" t="s">
        <v>1722</v>
      </c>
      <c r="EE107" t="s">
        <v>1784</v>
      </c>
      <c r="ER107" t="s">
        <v>2323</v>
      </c>
      <c r="ES107" t="s">
        <v>2314</v>
      </c>
    </row>
    <row r="108" spans="134:149">
      <c r="ED108" t="s">
        <v>1723</v>
      </c>
      <c r="EE108" t="s">
        <v>1785</v>
      </c>
      <c r="ER108" t="s">
        <v>2324</v>
      </c>
      <c r="ES108" t="s">
        <v>2314</v>
      </c>
    </row>
    <row r="109" spans="134:149">
      <c r="ED109" t="s">
        <v>1724</v>
      </c>
      <c r="EE109" t="s">
        <v>1786</v>
      </c>
    </row>
    <row r="110" spans="134:149">
      <c r="ED110" t="s">
        <v>1725</v>
      </c>
      <c r="EE110" t="s">
        <v>1787</v>
      </c>
    </row>
    <row r="111" spans="134:149">
      <c r="ED111" t="s">
        <v>1726</v>
      </c>
      <c r="EE111" t="s">
        <v>1788</v>
      </c>
    </row>
    <row r="112" spans="134:149">
      <c r="ED112" t="s">
        <v>1727</v>
      </c>
      <c r="EE112" t="s">
        <v>1789</v>
      </c>
    </row>
    <row r="113" spans="134:135">
      <c r="ED113" t="s">
        <v>1728</v>
      </c>
      <c r="EE113" t="s">
        <v>1790</v>
      </c>
    </row>
    <row r="114" spans="134:135">
      <c r="ED114" t="s">
        <v>1729</v>
      </c>
      <c r="EE114" t="s">
        <v>1791</v>
      </c>
    </row>
    <row r="115" spans="134:135">
      <c r="ED115" t="s">
        <v>1730</v>
      </c>
      <c r="EE115" t="s">
        <v>1792</v>
      </c>
    </row>
    <row r="116" spans="134:135">
      <c r="ED116" t="s">
        <v>1731</v>
      </c>
      <c r="EE116" t="s">
        <v>1793</v>
      </c>
    </row>
    <row r="117" spans="134:135">
      <c r="ED117" t="s">
        <v>1732</v>
      </c>
      <c r="EE117" t="s">
        <v>1794</v>
      </c>
    </row>
    <row r="118" spans="134:135">
      <c r="ED118" t="s">
        <v>1733</v>
      </c>
      <c r="EE118" t="s">
        <v>1795</v>
      </c>
    </row>
    <row r="119" spans="134:135">
      <c r="ED119" t="s">
        <v>1734</v>
      </c>
      <c r="EE119" t="s">
        <v>1796</v>
      </c>
    </row>
    <row r="120" spans="134:135">
      <c r="ED120" t="s">
        <v>1735</v>
      </c>
      <c r="EE120" t="s">
        <v>1797</v>
      </c>
    </row>
    <row r="121" spans="134:135">
      <c r="ED121" t="s">
        <v>1736</v>
      </c>
      <c r="EE121" t="s">
        <v>1798</v>
      </c>
    </row>
    <row r="122" spans="134:135">
      <c r="ED122" t="s">
        <v>1737</v>
      </c>
      <c r="EE122" t="s">
        <v>1799</v>
      </c>
    </row>
    <row r="123" spans="134:135">
      <c r="ED123" t="s">
        <v>1738</v>
      </c>
      <c r="EE123" t="s">
        <v>1800</v>
      </c>
    </row>
    <row r="124" spans="134:135">
      <c r="ED124" t="s">
        <v>1739</v>
      </c>
      <c r="EE124" t="s">
        <v>1801</v>
      </c>
    </row>
    <row r="125" spans="134:135">
      <c r="ED125" t="s">
        <v>1740</v>
      </c>
      <c r="EE125" t="s">
        <v>1802</v>
      </c>
    </row>
    <row r="126" spans="134:135">
      <c r="ED126" t="s">
        <v>1741</v>
      </c>
      <c r="EE126" t="s">
        <v>1803</v>
      </c>
    </row>
    <row r="127" spans="134:135">
      <c r="ED127" t="s">
        <v>1742</v>
      </c>
      <c r="EE127" t="s">
        <v>1804</v>
      </c>
    </row>
    <row r="128" spans="134:135">
      <c r="ED128" t="s">
        <v>1743</v>
      </c>
      <c r="EE128" t="s">
        <v>3183</v>
      </c>
    </row>
    <row r="129" spans="134:135">
      <c r="ED129" t="s">
        <v>1744</v>
      </c>
      <c r="EE129" t="s">
        <v>3186</v>
      </c>
    </row>
    <row r="130" spans="134:135">
      <c r="ED130" t="s">
        <v>1745</v>
      </c>
      <c r="EE130" t="s">
        <v>3188</v>
      </c>
    </row>
    <row r="131" spans="134:135">
      <c r="ED131" t="s">
        <v>1746</v>
      </c>
      <c r="EE131" t="s">
        <v>3189</v>
      </c>
    </row>
    <row r="132" spans="134:135">
      <c r="ED132" t="s">
        <v>1747</v>
      </c>
      <c r="EE132" t="s">
        <v>3191</v>
      </c>
    </row>
    <row r="133" spans="134:135">
      <c r="ED133" t="s">
        <v>1748</v>
      </c>
      <c r="EE133" t="s">
        <v>3193</v>
      </c>
    </row>
    <row r="134" spans="134:135">
      <c r="ED134" t="s">
        <v>1749</v>
      </c>
      <c r="EE134" t="s">
        <v>3195</v>
      </c>
    </row>
    <row r="135" spans="134:135">
      <c r="ED135" t="s">
        <v>1750</v>
      </c>
      <c r="EE135" t="s">
        <v>3196</v>
      </c>
    </row>
    <row r="136" spans="134:135">
      <c r="ED136" t="s">
        <v>1751</v>
      </c>
      <c r="EE136" t="s">
        <v>1751</v>
      </c>
    </row>
    <row r="137" spans="134:135">
      <c r="ED137" t="s">
        <v>1752</v>
      </c>
      <c r="EE137" t="s">
        <v>1752</v>
      </c>
    </row>
    <row r="138" spans="134:135">
      <c r="ED138" t="s">
        <v>1753</v>
      </c>
      <c r="EE138" t="s">
        <v>1753</v>
      </c>
    </row>
    <row r="139" spans="134:135">
      <c r="ED139" t="s">
        <v>2506</v>
      </c>
      <c r="EE139" t="s">
        <v>2506</v>
      </c>
    </row>
    <row r="140" spans="134:135">
      <c r="ED140" t="s">
        <v>1754</v>
      </c>
      <c r="EE140" t="s">
        <v>1754</v>
      </c>
    </row>
    <row r="141" spans="134:135">
      <c r="ED141" t="s">
        <v>1755</v>
      </c>
      <c r="EE141" t="s">
        <v>1755</v>
      </c>
    </row>
    <row r="142" spans="134:135">
      <c r="ED142" t="s">
        <v>1756</v>
      </c>
      <c r="EE142" t="s">
        <v>1756</v>
      </c>
    </row>
    <row r="143" spans="134:135">
      <c r="ED143" t="s">
        <v>1757</v>
      </c>
      <c r="EE143" t="s">
        <v>1757</v>
      </c>
    </row>
    <row r="144" spans="134:135">
      <c r="ED144" t="s">
        <v>1758</v>
      </c>
      <c r="EE144" t="s">
        <v>1758</v>
      </c>
    </row>
    <row r="145" spans="134:135">
      <c r="ED145" t="s">
        <v>1759</v>
      </c>
      <c r="EE145" t="s">
        <v>1759</v>
      </c>
    </row>
    <row r="146" spans="134:135">
      <c r="ED146" t="s">
        <v>1760</v>
      </c>
      <c r="EE146" t="s">
        <v>1760</v>
      </c>
    </row>
    <row r="147" spans="134:135">
      <c r="ED147" t="s">
        <v>1761</v>
      </c>
      <c r="EE147" t="s">
        <v>1761</v>
      </c>
    </row>
    <row r="148" spans="134:135">
      <c r="ED148" t="s">
        <v>1762</v>
      </c>
      <c r="EE148" t="s">
        <v>1762</v>
      </c>
    </row>
    <row r="149" spans="134:135">
      <c r="ED149" t="s">
        <v>1763</v>
      </c>
      <c r="EE149" t="s">
        <v>3198</v>
      </c>
    </row>
    <row r="150" spans="134:135">
      <c r="ED150" t="s">
        <v>1764</v>
      </c>
      <c r="EE150" t="s">
        <v>3199</v>
      </c>
    </row>
    <row r="151" spans="134:135">
      <c r="ED151" t="s">
        <v>1765</v>
      </c>
      <c r="EE151" t="s">
        <v>3200</v>
      </c>
    </row>
    <row r="152" spans="134:135">
      <c r="ED152" t="s">
        <v>1766</v>
      </c>
      <c r="EE152" t="s">
        <v>3201</v>
      </c>
    </row>
    <row r="153" spans="134:135">
      <c r="ED153" t="s">
        <v>1767</v>
      </c>
      <c r="EE153" t="s">
        <v>3203</v>
      </c>
    </row>
    <row r="154" spans="134:135">
      <c r="ED154" t="s">
        <v>1768</v>
      </c>
      <c r="EE154" t="s">
        <v>3204</v>
      </c>
    </row>
    <row r="155" spans="134:135">
      <c r="ED155" t="s">
        <v>1769</v>
      </c>
      <c r="EE155" t="s">
        <v>3205</v>
      </c>
    </row>
    <row r="156" spans="134:135">
      <c r="ED156" t="s">
        <v>1770</v>
      </c>
      <c r="EE156" t="s">
        <v>3206</v>
      </c>
    </row>
    <row r="157" spans="134:135">
      <c r="ED157" t="s">
        <v>1771</v>
      </c>
      <c r="EE157" t="s">
        <v>3207</v>
      </c>
    </row>
    <row r="158" spans="134:135">
      <c r="ED158" t="s">
        <v>1772</v>
      </c>
      <c r="EE158" t="s">
        <v>3208</v>
      </c>
    </row>
    <row r="159" spans="134:135">
      <c r="ED159" t="s">
        <v>1773</v>
      </c>
      <c r="EE159" t="s">
        <v>3209</v>
      </c>
    </row>
    <row r="160" spans="134:135">
      <c r="ED160" t="s">
        <v>1774</v>
      </c>
      <c r="EE160" t="s">
        <v>3210</v>
      </c>
    </row>
    <row r="161" spans="134:135">
      <c r="ED161" t="s">
        <v>1775</v>
      </c>
      <c r="EE161" t="s">
        <v>1775</v>
      </c>
    </row>
    <row r="162" spans="134:135">
      <c r="ED162" t="s">
        <v>1776</v>
      </c>
      <c r="EE162" t="s">
        <v>1776</v>
      </c>
    </row>
    <row r="163" spans="134:135">
      <c r="ED163" t="s">
        <v>1777</v>
      </c>
      <c r="EE163" t="s">
        <v>1777</v>
      </c>
    </row>
    <row r="164" spans="134:135">
      <c r="ED164" t="s">
        <v>1778</v>
      </c>
      <c r="EE164" t="s">
        <v>1778</v>
      </c>
    </row>
    <row r="165" spans="134:135">
      <c r="ED165" t="s">
        <v>1779</v>
      </c>
      <c r="EE165" t="s">
        <v>1779</v>
      </c>
    </row>
    <row r="166" spans="134:135">
      <c r="ED166" t="s">
        <v>1780</v>
      </c>
      <c r="EE166" t="s">
        <v>1780</v>
      </c>
    </row>
    <row r="167" spans="134:135">
      <c r="ED167" t="s">
        <v>1781</v>
      </c>
      <c r="EE167" t="s">
        <v>1781</v>
      </c>
    </row>
    <row r="168" spans="134:135">
      <c r="ED168" t="s">
        <v>1782</v>
      </c>
      <c r="EE168" t="s">
        <v>1782</v>
      </c>
    </row>
    <row r="169" spans="134:135">
      <c r="ED169" t="s">
        <v>1783</v>
      </c>
      <c r="EE169" t="s">
        <v>1783</v>
      </c>
    </row>
    <row r="170" spans="134:135">
      <c r="ED170" t="s">
        <v>1784</v>
      </c>
      <c r="EE170" t="s">
        <v>1784</v>
      </c>
    </row>
    <row r="171" spans="134:135">
      <c r="ED171" t="s">
        <v>1785</v>
      </c>
      <c r="EE171" t="s">
        <v>1785</v>
      </c>
    </row>
    <row r="172" spans="134:135">
      <c r="ED172" t="s">
        <v>1786</v>
      </c>
      <c r="EE172" t="s">
        <v>1786</v>
      </c>
    </row>
    <row r="173" spans="134:135">
      <c r="ED173" t="s">
        <v>1787</v>
      </c>
      <c r="EE173" t="s">
        <v>1787</v>
      </c>
    </row>
    <row r="174" spans="134:135">
      <c r="ED174" t="s">
        <v>1788</v>
      </c>
      <c r="EE174" t="s">
        <v>1788</v>
      </c>
    </row>
    <row r="175" spans="134:135">
      <c r="ED175" t="s">
        <v>1789</v>
      </c>
      <c r="EE175" t="s">
        <v>1789</v>
      </c>
    </row>
    <row r="176" spans="134:135">
      <c r="ED176" t="s">
        <v>1790</v>
      </c>
      <c r="EE176" t="s">
        <v>1790</v>
      </c>
    </row>
    <row r="177" spans="134:135">
      <c r="ED177" t="s">
        <v>1791</v>
      </c>
      <c r="EE177" t="s">
        <v>1791</v>
      </c>
    </row>
    <row r="178" spans="134:135">
      <c r="ED178" t="s">
        <v>1792</v>
      </c>
      <c r="EE178" t="s">
        <v>1792</v>
      </c>
    </row>
    <row r="179" spans="134:135">
      <c r="ED179" t="s">
        <v>1793</v>
      </c>
      <c r="EE179" t="s">
        <v>1793</v>
      </c>
    </row>
    <row r="180" spans="134:135">
      <c r="ED180" t="s">
        <v>1794</v>
      </c>
      <c r="EE180" t="s">
        <v>1794</v>
      </c>
    </row>
    <row r="181" spans="134:135">
      <c r="ED181" t="s">
        <v>1795</v>
      </c>
      <c r="EE181" t="s">
        <v>1795</v>
      </c>
    </row>
    <row r="182" spans="134:135">
      <c r="ED182" t="s">
        <v>1796</v>
      </c>
      <c r="EE182" t="s">
        <v>1796</v>
      </c>
    </row>
    <row r="183" spans="134:135">
      <c r="ED183" t="s">
        <v>1797</v>
      </c>
      <c r="EE183" t="s">
        <v>1797</v>
      </c>
    </row>
    <row r="184" spans="134:135">
      <c r="ED184" t="s">
        <v>1798</v>
      </c>
      <c r="EE184" t="s">
        <v>1798</v>
      </c>
    </row>
    <row r="185" spans="134:135">
      <c r="ED185" t="s">
        <v>1799</v>
      </c>
      <c r="EE185" t="s">
        <v>1799</v>
      </c>
    </row>
    <row r="186" spans="134:135">
      <c r="ED186" t="s">
        <v>1800</v>
      </c>
      <c r="EE186" t="s">
        <v>1800</v>
      </c>
    </row>
    <row r="187" spans="134:135">
      <c r="ED187" t="s">
        <v>1801</v>
      </c>
      <c r="EE187" t="s">
        <v>1801</v>
      </c>
    </row>
    <row r="188" spans="134:135">
      <c r="ED188" t="s">
        <v>1802</v>
      </c>
      <c r="EE188" t="s">
        <v>1802</v>
      </c>
    </row>
    <row r="189" spans="134:135">
      <c r="ED189" t="s">
        <v>1803</v>
      </c>
      <c r="EE189" t="s">
        <v>1803</v>
      </c>
    </row>
    <row r="190" spans="134:135">
      <c r="ED190" t="s">
        <v>1804</v>
      </c>
      <c r="EE190" t="s">
        <v>1804</v>
      </c>
    </row>
    <row r="191" spans="134:135">
      <c r="ED191" t="s">
        <v>1805</v>
      </c>
      <c r="EE191" t="s">
        <v>3184</v>
      </c>
    </row>
    <row r="192" spans="134:135">
      <c r="ED192" t="s">
        <v>1806</v>
      </c>
      <c r="EE192" t="s">
        <v>3186</v>
      </c>
    </row>
    <row r="193" spans="134:135">
      <c r="ED193" t="s">
        <v>1807</v>
      </c>
      <c r="EE193" t="s">
        <v>3188</v>
      </c>
    </row>
    <row r="194" spans="134:135">
      <c r="ED194" t="s">
        <v>1808</v>
      </c>
      <c r="EE194" t="s">
        <v>3189</v>
      </c>
    </row>
    <row r="195" spans="134:135">
      <c r="ED195" t="s">
        <v>1809</v>
      </c>
      <c r="EE195" t="s">
        <v>3191</v>
      </c>
    </row>
    <row r="196" spans="134:135">
      <c r="ED196" t="s">
        <v>1810</v>
      </c>
      <c r="EE196" t="s">
        <v>3193</v>
      </c>
    </row>
    <row r="197" spans="134:135">
      <c r="ED197" t="s">
        <v>1811</v>
      </c>
      <c r="EE197" t="s">
        <v>3195</v>
      </c>
    </row>
    <row r="198" spans="134:135">
      <c r="ED198" t="s">
        <v>1812</v>
      </c>
      <c r="EE198" t="s">
        <v>3196</v>
      </c>
    </row>
    <row r="199" spans="134:135">
      <c r="ED199" t="s">
        <v>1813</v>
      </c>
      <c r="EE199" t="s">
        <v>1751</v>
      </c>
    </row>
    <row r="200" spans="134:135">
      <c r="ED200" t="s">
        <v>1814</v>
      </c>
      <c r="EE200" t="s">
        <v>1752</v>
      </c>
    </row>
    <row r="201" spans="134:135">
      <c r="ED201" t="s">
        <v>1815</v>
      </c>
      <c r="EE201" t="s">
        <v>1753</v>
      </c>
    </row>
    <row r="202" spans="134:135">
      <c r="ED202" t="s">
        <v>1816</v>
      </c>
      <c r="EE202" t="s">
        <v>2506</v>
      </c>
    </row>
    <row r="203" spans="134:135">
      <c r="ED203" t="s">
        <v>1817</v>
      </c>
      <c r="EE203" t="s">
        <v>1754</v>
      </c>
    </row>
    <row r="204" spans="134:135">
      <c r="ED204" t="s">
        <v>1818</v>
      </c>
      <c r="EE204" t="s">
        <v>1755</v>
      </c>
    </row>
    <row r="205" spans="134:135">
      <c r="ED205" t="s">
        <v>1819</v>
      </c>
      <c r="EE205" t="s">
        <v>1756</v>
      </c>
    </row>
    <row r="206" spans="134:135">
      <c r="ED206" t="s">
        <v>1820</v>
      </c>
      <c r="EE206" t="s">
        <v>1757</v>
      </c>
    </row>
    <row r="207" spans="134:135">
      <c r="ED207" t="s">
        <v>1821</v>
      </c>
      <c r="EE207" t="s">
        <v>1758</v>
      </c>
    </row>
    <row r="208" spans="134:135">
      <c r="ED208" t="s">
        <v>1822</v>
      </c>
      <c r="EE208" t="s">
        <v>1759</v>
      </c>
    </row>
    <row r="209" spans="124:135">
      <c r="ED209" t="s">
        <v>1823</v>
      </c>
      <c r="EE209" t="s">
        <v>1760</v>
      </c>
    </row>
    <row r="210" spans="124:135">
      <c r="ED210" t="s">
        <v>1824</v>
      </c>
      <c r="EE210" t="s">
        <v>1761</v>
      </c>
    </row>
    <row r="211" spans="124:135">
      <c r="ED211" t="s">
        <v>1825</v>
      </c>
      <c r="EE211" t="s">
        <v>1762</v>
      </c>
    </row>
    <row r="212" spans="124:135">
      <c r="ED212" t="s">
        <v>1826</v>
      </c>
      <c r="EE212" t="s">
        <v>3198</v>
      </c>
    </row>
    <row r="213" spans="124:135">
      <c r="ED213" t="s">
        <v>1827</v>
      </c>
      <c r="EE213" t="s">
        <v>3199</v>
      </c>
    </row>
    <row r="214" spans="124:135">
      <c r="ED214" t="s">
        <v>1828</v>
      </c>
      <c r="EE214" t="s">
        <v>3200</v>
      </c>
    </row>
    <row r="215" spans="124:135">
      <c r="ED215" t="s">
        <v>1829</v>
      </c>
      <c r="EE215" t="s">
        <v>3201</v>
      </c>
    </row>
    <row r="216" spans="124:135">
      <c r="ED216" t="s">
        <v>1830</v>
      </c>
      <c r="EE216" t="s">
        <v>3203</v>
      </c>
    </row>
    <row r="217" spans="124:135">
      <c r="ED217" t="s">
        <v>1831</v>
      </c>
      <c r="EE217" t="s">
        <v>3204</v>
      </c>
    </row>
    <row r="218" spans="124:135">
      <c r="ED218" t="s">
        <v>1832</v>
      </c>
      <c r="EE218" t="s">
        <v>3205</v>
      </c>
    </row>
    <row r="219" spans="124:135">
      <c r="ED219" t="s">
        <v>1833</v>
      </c>
      <c r="EE219" t="s">
        <v>3206</v>
      </c>
    </row>
    <row r="220" spans="124:135">
      <c r="ED220" t="s">
        <v>1834</v>
      </c>
      <c r="EE220" t="s">
        <v>3207</v>
      </c>
    </row>
    <row r="221" spans="124:135">
      <c r="ED221" t="s">
        <v>1835</v>
      </c>
      <c r="EE221" t="s">
        <v>3208</v>
      </c>
    </row>
    <row r="222" spans="124:135">
      <c r="DT222" s="185"/>
      <c r="ED222" t="s">
        <v>1836</v>
      </c>
      <c r="EE222" t="s">
        <v>3209</v>
      </c>
    </row>
    <row r="223" spans="124:135">
      <c r="DT223" s="185"/>
      <c r="ED223" t="s">
        <v>1837</v>
      </c>
      <c r="EE223" t="s">
        <v>3210</v>
      </c>
    </row>
    <row r="224" spans="124:135">
      <c r="DT224" s="185"/>
      <c r="ED224" t="s">
        <v>1838</v>
      </c>
      <c r="EE224" t="s">
        <v>1775</v>
      </c>
    </row>
    <row r="225" spans="124:135">
      <c r="DT225" s="185"/>
      <c r="ED225" t="s">
        <v>1839</v>
      </c>
      <c r="EE225" t="s">
        <v>1776</v>
      </c>
    </row>
    <row r="226" spans="124:135">
      <c r="DT226" s="206"/>
      <c r="ED226" t="s">
        <v>1840</v>
      </c>
      <c r="EE226" t="s">
        <v>1777</v>
      </c>
    </row>
    <row r="227" spans="124:135">
      <c r="DT227" s="206"/>
      <c r="ED227" t="s">
        <v>1841</v>
      </c>
      <c r="EE227" t="s">
        <v>1778</v>
      </c>
    </row>
    <row r="228" spans="124:135">
      <c r="DT228" s="206"/>
      <c r="ED228" t="s">
        <v>1842</v>
      </c>
      <c r="EE228" t="s">
        <v>1779</v>
      </c>
    </row>
    <row r="229" spans="124:135">
      <c r="DT229" s="206"/>
      <c r="ED229" t="s">
        <v>1843</v>
      </c>
      <c r="EE229" t="s">
        <v>1780</v>
      </c>
    </row>
    <row r="230" spans="124:135">
      <c r="DT230" s="205"/>
      <c r="ED230" t="s">
        <v>1844</v>
      </c>
      <c r="EE230" t="s">
        <v>1781</v>
      </c>
    </row>
    <row r="231" spans="124:135">
      <c r="DT231" s="205"/>
      <c r="ED231" t="s">
        <v>1845</v>
      </c>
      <c r="EE231" t="s">
        <v>1782</v>
      </c>
    </row>
    <row r="232" spans="124:135">
      <c r="DT232" s="205"/>
      <c r="ED232" t="s">
        <v>1846</v>
      </c>
      <c r="EE232" t="s">
        <v>1783</v>
      </c>
    </row>
    <row r="233" spans="124:135">
      <c r="DT233" s="205"/>
      <c r="ED233" t="s">
        <v>1847</v>
      </c>
      <c r="EE233" t="s">
        <v>1784</v>
      </c>
    </row>
    <row r="234" spans="124:135">
      <c r="DT234" s="34"/>
      <c r="ED234" t="s">
        <v>1848</v>
      </c>
      <c r="EE234" t="s">
        <v>1785</v>
      </c>
    </row>
    <row r="235" spans="124:135">
      <c r="DT235" s="34"/>
      <c r="ED235" t="s">
        <v>1849</v>
      </c>
      <c r="EE235" t="s">
        <v>1786</v>
      </c>
    </row>
    <row r="236" spans="124:135">
      <c r="DT236" s="34"/>
      <c r="ED236" t="s">
        <v>1850</v>
      </c>
      <c r="EE236" t="s">
        <v>1787</v>
      </c>
    </row>
    <row r="237" spans="124:135">
      <c r="DT237" s="34"/>
      <c r="ED237" t="s">
        <v>1851</v>
      </c>
      <c r="EE237" t="s">
        <v>1788</v>
      </c>
    </row>
    <row r="238" spans="124:135">
      <c r="DT238" s="205"/>
      <c r="ED238" t="s">
        <v>1852</v>
      </c>
      <c r="EE238" t="s">
        <v>1789</v>
      </c>
    </row>
    <row r="239" spans="124:135">
      <c r="DT239" s="205"/>
      <c r="ED239" t="s">
        <v>1853</v>
      </c>
      <c r="EE239" t="s">
        <v>1790</v>
      </c>
    </row>
    <row r="240" spans="124:135">
      <c r="DT240" s="205"/>
      <c r="ED240" t="s">
        <v>1854</v>
      </c>
      <c r="EE240" t="s">
        <v>1791</v>
      </c>
    </row>
    <row r="241" spans="124:135">
      <c r="DT241" s="205"/>
      <c r="ED241" t="s">
        <v>1855</v>
      </c>
      <c r="EE241" t="s">
        <v>1792</v>
      </c>
    </row>
    <row r="242" spans="124:135">
      <c r="DT242" s="192"/>
      <c r="ED242" t="s">
        <v>1856</v>
      </c>
      <c r="EE242" t="s">
        <v>1793</v>
      </c>
    </row>
    <row r="243" spans="124:135">
      <c r="ED243" t="s">
        <v>1857</v>
      </c>
      <c r="EE243" t="s">
        <v>1794</v>
      </c>
    </row>
    <row r="244" spans="124:135">
      <c r="DT244" s="192"/>
      <c r="ED244" t="s">
        <v>1858</v>
      </c>
      <c r="EE244" t="s">
        <v>1795</v>
      </c>
    </row>
    <row r="245" spans="124:135">
      <c r="DT245" s="192"/>
      <c r="ED245" t="s">
        <v>1859</v>
      </c>
      <c r="EE245" t="s">
        <v>1796</v>
      </c>
    </row>
    <row r="246" spans="124:135">
      <c r="DT246" s="192"/>
      <c r="ED246" t="s">
        <v>1860</v>
      </c>
      <c r="EE246" t="s">
        <v>1797</v>
      </c>
    </row>
    <row r="247" spans="124:135">
      <c r="DT247" s="227"/>
      <c r="ED247" t="s">
        <v>1861</v>
      </c>
      <c r="EE247" t="s">
        <v>1798</v>
      </c>
    </row>
    <row r="248" spans="124:135">
      <c r="DT248" s="227"/>
      <c r="ED248" t="s">
        <v>1862</v>
      </c>
      <c r="EE248" t="s">
        <v>1799</v>
      </c>
    </row>
    <row r="249" spans="124:135">
      <c r="DT249" s="227"/>
      <c r="ED249" t="s">
        <v>1863</v>
      </c>
      <c r="EE249" t="s">
        <v>1800</v>
      </c>
    </row>
    <row r="250" spans="124:135">
      <c r="DT250" s="227"/>
      <c r="ED250" t="s">
        <v>1864</v>
      </c>
      <c r="EE250" t="s">
        <v>1801</v>
      </c>
    </row>
    <row r="251" spans="124:135">
      <c r="DT251" s="227"/>
      <c r="ED251" t="s">
        <v>1865</v>
      </c>
      <c r="EE251" t="s">
        <v>1802</v>
      </c>
    </row>
    <row r="252" spans="124:135">
      <c r="DT252" s="227"/>
      <c r="ED252" t="s">
        <v>1866</v>
      </c>
      <c r="EE252" t="s">
        <v>1803</v>
      </c>
    </row>
    <row r="253" spans="124:135">
      <c r="DT253" s="227"/>
      <c r="ED253" t="s">
        <v>1867</v>
      </c>
      <c r="EE253" t="s">
        <v>1804</v>
      </c>
    </row>
    <row r="254" spans="124:135">
      <c r="DT254" s="227"/>
      <c r="ED254" t="s">
        <v>1868</v>
      </c>
      <c r="EE254" t="s">
        <v>3183</v>
      </c>
    </row>
    <row r="255" spans="124:135">
      <c r="DT255" s="227"/>
      <c r="ED255" t="s">
        <v>1869</v>
      </c>
      <c r="EE255" t="s">
        <v>3186</v>
      </c>
    </row>
    <row r="256" spans="124:135">
      <c r="DT256" s="227"/>
      <c r="ED256" t="s">
        <v>1870</v>
      </c>
      <c r="EE256" t="s">
        <v>3188</v>
      </c>
    </row>
    <row r="257" spans="118:135">
      <c r="ED257" t="s">
        <v>1871</v>
      </c>
      <c r="EE257" t="s">
        <v>3189</v>
      </c>
    </row>
    <row r="258" spans="118:135">
      <c r="ED258" t="s">
        <v>1872</v>
      </c>
      <c r="EE258" t="s">
        <v>3191</v>
      </c>
    </row>
    <row r="259" spans="118:135">
      <c r="DN259" s="192"/>
      <c r="ED259" t="s">
        <v>1873</v>
      </c>
      <c r="EE259" t="s">
        <v>3193</v>
      </c>
    </row>
    <row r="260" spans="118:135">
      <c r="ED260" t="s">
        <v>1874</v>
      </c>
      <c r="EE260" t="s">
        <v>3195</v>
      </c>
    </row>
    <row r="261" spans="118:135">
      <c r="ED261" t="s">
        <v>1875</v>
      </c>
      <c r="EE261" t="s">
        <v>3196</v>
      </c>
    </row>
    <row r="262" spans="118:135">
      <c r="ED262" t="s">
        <v>1876</v>
      </c>
      <c r="EE262" t="s">
        <v>1751</v>
      </c>
    </row>
    <row r="263" spans="118:135">
      <c r="ED263" t="s">
        <v>1877</v>
      </c>
      <c r="EE263" t="s">
        <v>1752</v>
      </c>
    </row>
    <row r="264" spans="118:135">
      <c r="ED264" t="s">
        <v>1878</v>
      </c>
      <c r="EE264" t="s">
        <v>1753</v>
      </c>
    </row>
    <row r="265" spans="118:135">
      <c r="ED265" t="s">
        <v>1879</v>
      </c>
      <c r="EE265" t="s">
        <v>2506</v>
      </c>
    </row>
    <row r="266" spans="118:135">
      <c r="ED266" t="s">
        <v>1880</v>
      </c>
      <c r="EE266" t="s">
        <v>1754</v>
      </c>
    </row>
    <row r="267" spans="118:135">
      <c r="ED267" t="s">
        <v>1881</v>
      </c>
      <c r="EE267" t="s">
        <v>1755</v>
      </c>
    </row>
    <row r="268" spans="118:135">
      <c r="ED268" t="s">
        <v>1882</v>
      </c>
      <c r="EE268" t="s">
        <v>1756</v>
      </c>
    </row>
    <row r="269" spans="118:135">
      <c r="ED269" t="s">
        <v>1883</v>
      </c>
      <c r="EE269" t="s">
        <v>1757</v>
      </c>
    </row>
    <row r="270" spans="118:135">
      <c r="ED270" t="s">
        <v>1884</v>
      </c>
      <c r="EE270" t="s">
        <v>1758</v>
      </c>
    </row>
    <row r="271" spans="118:135">
      <c r="ED271" t="s">
        <v>1885</v>
      </c>
      <c r="EE271" t="s">
        <v>1759</v>
      </c>
    </row>
    <row r="272" spans="118:135">
      <c r="ED272" t="s">
        <v>1886</v>
      </c>
      <c r="EE272" t="s">
        <v>1760</v>
      </c>
    </row>
    <row r="273" spans="127:135">
      <c r="DW273" s="133"/>
      <c r="ED273" t="s">
        <v>1887</v>
      </c>
      <c r="EE273" t="s">
        <v>1761</v>
      </c>
    </row>
    <row r="274" spans="127:135">
      <c r="ED274" t="s">
        <v>1888</v>
      </c>
      <c r="EE274" t="s">
        <v>1762</v>
      </c>
    </row>
    <row r="275" spans="127:135">
      <c r="ED275" t="s">
        <v>1889</v>
      </c>
      <c r="EE275" t="s">
        <v>3198</v>
      </c>
    </row>
    <row r="276" spans="127:135">
      <c r="ED276" t="s">
        <v>1890</v>
      </c>
      <c r="EE276" t="s">
        <v>3199</v>
      </c>
    </row>
    <row r="277" spans="127:135">
      <c r="ED277" t="s">
        <v>1891</v>
      </c>
      <c r="EE277" t="s">
        <v>3200</v>
      </c>
    </row>
    <row r="278" spans="127:135">
      <c r="ED278" t="s">
        <v>1892</v>
      </c>
      <c r="EE278" t="s">
        <v>3201</v>
      </c>
    </row>
    <row r="279" spans="127:135">
      <c r="ED279" t="s">
        <v>1893</v>
      </c>
      <c r="EE279" t="s">
        <v>3203</v>
      </c>
    </row>
    <row r="280" spans="127:135">
      <c r="ED280" t="s">
        <v>1894</v>
      </c>
      <c r="EE280" t="s">
        <v>3204</v>
      </c>
    </row>
    <row r="281" spans="127:135">
      <c r="ED281" t="s">
        <v>1895</v>
      </c>
      <c r="EE281" t="s">
        <v>3205</v>
      </c>
    </row>
    <row r="282" spans="127:135">
      <c r="ED282" t="s">
        <v>1896</v>
      </c>
      <c r="EE282" t="s">
        <v>3206</v>
      </c>
    </row>
    <row r="283" spans="127:135">
      <c r="ED283" t="s">
        <v>1897</v>
      </c>
      <c r="EE283" t="s">
        <v>3207</v>
      </c>
    </row>
    <row r="284" spans="127:135">
      <c r="ED284" t="s">
        <v>1898</v>
      </c>
      <c r="EE284" t="s">
        <v>3208</v>
      </c>
    </row>
    <row r="285" spans="127:135">
      <c r="ED285" t="s">
        <v>1899</v>
      </c>
      <c r="EE285" t="s">
        <v>3209</v>
      </c>
    </row>
    <row r="286" spans="127:135">
      <c r="ED286" t="s">
        <v>1900</v>
      </c>
      <c r="EE286" t="s">
        <v>3210</v>
      </c>
    </row>
    <row r="287" spans="127:135">
      <c r="ED287" t="s">
        <v>1901</v>
      </c>
      <c r="EE287" t="s">
        <v>1775</v>
      </c>
    </row>
    <row r="288" spans="127:135">
      <c r="ED288" t="s">
        <v>1902</v>
      </c>
      <c r="EE288" t="s">
        <v>1776</v>
      </c>
    </row>
    <row r="289" spans="124:135">
      <c r="ED289" t="s">
        <v>1903</v>
      </c>
      <c r="EE289" t="s">
        <v>1777</v>
      </c>
    </row>
    <row r="290" spans="124:135">
      <c r="ED290" t="s">
        <v>1904</v>
      </c>
      <c r="EE290" t="s">
        <v>1778</v>
      </c>
    </row>
    <row r="291" spans="124:135">
      <c r="ED291" t="s">
        <v>1905</v>
      </c>
      <c r="EE291" t="s">
        <v>1779</v>
      </c>
    </row>
    <row r="292" spans="124:135">
      <c r="DT292" s="185"/>
      <c r="DU292" s="205"/>
      <c r="ED292" t="s">
        <v>1906</v>
      </c>
      <c r="EE292" t="s">
        <v>1780</v>
      </c>
    </row>
    <row r="293" spans="124:135">
      <c r="DT293" s="185"/>
      <c r="DU293" s="205"/>
      <c r="ED293" t="s">
        <v>1907</v>
      </c>
      <c r="EE293" t="s">
        <v>1781</v>
      </c>
    </row>
    <row r="294" spans="124:135">
      <c r="DT294" s="185"/>
      <c r="DU294" s="205"/>
      <c r="ED294" t="s">
        <v>1908</v>
      </c>
      <c r="EE294" t="s">
        <v>1782</v>
      </c>
    </row>
    <row r="295" spans="124:135">
      <c r="DT295" s="185"/>
      <c r="DU295" s="205"/>
      <c r="ED295" t="s">
        <v>1909</v>
      </c>
      <c r="EE295" t="s">
        <v>1783</v>
      </c>
    </row>
    <row r="296" spans="124:135">
      <c r="DT296" s="206"/>
      <c r="DU296" s="205"/>
      <c r="ED296" t="s">
        <v>1910</v>
      </c>
      <c r="EE296" t="s">
        <v>1784</v>
      </c>
    </row>
    <row r="297" spans="124:135">
      <c r="DT297" s="206"/>
      <c r="DU297" s="205"/>
      <c r="ED297" t="s">
        <v>1911</v>
      </c>
      <c r="EE297" t="s">
        <v>1785</v>
      </c>
    </row>
    <row r="298" spans="124:135">
      <c r="DT298" s="206"/>
      <c r="DU298" s="205"/>
      <c r="ED298" t="s">
        <v>1912</v>
      </c>
      <c r="EE298" t="s">
        <v>1786</v>
      </c>
    </row>
    <row r="299" spans="124:135">
      <c r="DT299" s="206"/>
      <c r="DU299" s="205"/>
      <c r="ED299" t="s">
        <v>1913</v>
      </c>
      <c r="EE299" t="s">
        <v>1787</v>
      </c>
    </row>
    <row r="300" spans="124:135">
      <c r="DT300" s="205"/>
      <c r="DU300" s="205"/>
      <c r="ED300" t="s">
        <v>1914</v>
      </c>
      <c r="EE300" t="s">
        <v>1788</v>
      </c>
    </row>
    <row r="301" spans="124:135">
      <c r="DT301" s="205"/>
      <c r="DU301" s="205"/>
      <c r="ED301" t="s">
        <v>1915</v>
      </c>
      <c r="EE301" t="s">
        <v>1789</v>
      </c>
    </row>
    <row r="302" spans="124:135">
      <c r="DT302" s="205"/>
      <c r="DU302" s="205"/>
      <c r="ED302" t="s">
        <v>1916</v>
      </c>
      <c r="EE302" t="s">
        <v>1790</v>
      </c>
    </row>
    <row r="303" spans="124:135">
      <c r="DT303" s="205"/>
      <c r="DU303" s="205"/>
      <c r="ED303" t="s">
        <v>1917</v>
      </c>
      <c r="EE303" t="s">
        <v>1791</v>
      </c>
    </row>
    <row r="304" spans="124:135">
      <c r="DT304" s="34"/>
      <c r="DU304" s="205"/>
      <c r="ED304" t="s">
        <v>1918</v>
      </c>
      <c r="EE304" t="s">
        <v>1792</v>
      </c>
    </row>
    <row r="305" spans="124:135">
      <c r="DT305" s="34"/>
      <c r="DU305" s="205"/>
      <c r="ED305" t="s">
        <v>1919</v>
      </c>
      <c r="EE305" t="s">
        <v>1793</v>
      </c>
    </row>
    <row r="306" spans="124:135">
      <c r="DT306" s="34"/>
      <c r="DU306" s="205"/>
      <c r="ED306" t="s">
        <v>1920</v>
      </c>
      <c r="EE306" t="s">
        <v>1794</v>
      </c>
    </row>
    <row r="307" spans="124:135">
      <c r="DT307" s="34"/>
      <c r="DU307" s="205"/>
      <c r="ED307" t="s">
        <v>1921</v>
      </c>
      <c r="EE307" t="s">
        <v>1795</v>
      </c>
    </row>
    <row r="308" spans="124:135">
      <c r="DT308" s="205"/>
      <c r="DU308" s="205"/>
      <c r="ED308" t="s">
        <v>1922</v>
      </c>
      <c r="EE308" t="s">
        <v>1796</v>
      </c>
    </row>
    <row r="309" spans="124:135">
      <c r="DT309" s="205"/>
      <c r="DU309" s="205"/>
      <c r="ED309" t="s">
        <v>1923</v>
      </c>
      <c r="EE309" t="s">
        <v>1797</v>
      </c>
    </row>
    <row r="310" spans="124:135">
      <c r="DT310" s="205"/>
      <c r="DU310" s="205"/>
      <c r="ED310" t="s">
        <v>1924</v>
      </c>
      <c r="EE310" t="s">
        <v>1798</v>
      </c>
    </row>
    <row r="311" spans="124:135">
      <c r="DT311" s="205"/>
      <c r="DU311" s="205"/>
      <c r="ED311" t="s">
        <v>1925</v>
      </c>
      <c r="EE311" t="s">
        <v>1799</v>
      </c>
    </row>
    <row r="312" spans="124:135">
      <c r="DT312" s="227"/>
      <c r="DU312" s="227"/>
      <c r="ED312" t="s">
        <v>1926</v>
      </c>
      <c r="EE312" t="s">
        <v>1800</v>
      </c>
    </row>
    <row r="313" spans="124:135">
      <c r="DT313" s="227"/>
      <c r="DU313" s="227"/>
      <c r="ED313" t="s">
        <v>1927</v>
      </c>
      <c r="EE313" t="s">
        <v>1801</v>
      </c>
    </row>
    <row r="314" spans="124:135">
      <c r="DT314" s="227"/>
      <c r="DU314" s="227"/>
      <c r="ED314" t="s">
        <v>1928</v>
      </c>
      <c r="EE314" t="s">
        <v>1802</v>
      </c>
    </row>
    <row r="315" spans="124:135">
      <c r="DT315" s="227"/>
      <c r="DU315" s="227"/>
      <c r="ED315" t="s">
        <v>1929</v>
      </c>
      <c r="EE315" t="s">
        <v>1803</v>
      </c>
    </row>
    <row r="316" spans="124:135">
      <c r="ED316" t="s">
        <v>1930</v>
      </c>
      <c r="EE316" t="s">
        <v>1804</v>
      </c>
    </row>
    <row r="317" spans="124:135">
      <c r="ED317" t="s">
        <v>2501</v>
      </c>
      <c r="EE317" t="s">
        <v>3011</v>
      </c>
    </row>
    <row r="318" spans="124:135">
      <c r="ED318" t="s">
        <v>2502</v>
      </c>
      <c r="EE318" t="s">
        <v>3012</v>
      </c>
    </row>
    <row r="319" spans="124:135">
      <c r="ED319" t="s">
        <v>2512</v>
      </c>
      <c r="EE319" t="s">
        <v>3011</v>
      </c>
    </row>
    <row r="320" spans="124:135">
      <c r="ED320" t="s">
        <v>2513</v>
      </c>
      <c r="EE320" t="s">
        <v>3012</v>
      </c>
    </row>
    <row r="321" spans="134:135">
      <c r="ED321" t="s">
        <v>2511</v>
      </c>
      <c r="EE321" t="s">
        <v>3011</v>
      </c>
    </row>
    <row r="322" spans="134:135">
      <c r="ED322" t="s">
        <v>2516</v>
      </c>
      <c r="EE322" t="s">
        <v>3012</v>
      </c>
    </row>
    <row r="323" spans="134:135">
      <c r="ED323" t="s">
        <v>2514</v>
      </c>
      <c r="EE323" t="s">
        <v>3011</v>
      </c>
    </row>
    <row r="324" spans="134:135">
      <c r="ED324" t="s">
        <v>2517</v>
      </c>
      <c r="EE324" t="s">
        <v>3012</v>
      </c>
    </row>
    <row r="325" spans="134:135">
      <c r="ED325" t="s">
        <v>2515</v>
      </c>
      <c r="EE325" t="s">
        <v>3011</v>
      </c>
    </row>
    <row r="326" spans="134:135">
      <c r="ED326" t="s">
        <v>2518</v>
      </c>
      <c r="EE326" t="s">
        <v>3012</v>
      </c>
    </row>
    <row r="327" spans="134:135">
      <c r="ED327" t="s">
        <v>2548</v>
      </c>
      <c r="EE327" t="s">
        <v>2551</v>
      </c>
    </row>
    <row r="328" spans="134:135">
      <c r="ED328" t="s">
        <v>2549</v>
      </c>
      <c r="EE328" t="s">
        <v>2552</v>
      </c>
    </row>
    <row r="329" spans="134:135">
      <c r="ED329" t="s">
        <v>2533</v>
      </c>
      <c r="EE329" t="s">
        <v>2551</v>
      </c>
    </row>
    <row r="330" spans="134:135">
      <c r="ED330" t="s">
        <v>2534</v>
      </c>
      <c r="EE330" t="s">
        <v>2552</v>
      </c>
    </row>
    <row r="331" spans="134:135">
      <c r="ED331" s="133" t="s">
        <v>2553</v>
      </c>
      <c r="EE331" t="s">
        <v>2551</v>
      </c>
    </row>
    <row r="332" spans="134:135">
      <c r="ED332" t="s">
        <v>2554</v>
      </c>
      <c r="EE332" t="s">
        <v>2552</v>
      </c>
    </row>
    <row r="333" spans="134:135">
      <c r="ED333" t="s">
        <v>2650</v>
      </c>
      <c r="EE333" t="s">
        <v>3185</v>
      </c>
    </row>
    <row r="334" spans="134:135">
      <c r="ED334" t="s">
        <v>2652</v>
      </c>
      <c r="EE334" t="s">
        <v>3187</v>
      </c>
    </row>
    <row r="335" spans="134:135">
      <c r="ED335" t="s">
        <v>2654</v>
      </c>
      <c r="EE335" t="s">
        <v>3188</v>
      </c>
    </row>
    <row r="336" spans="134:135">
      <c r="ED336" t="s">
        <v>2656</v>
      </c>
      <c r="EE336" t="s">
        <v>3189</v>
      </c>
    </row>
    <row r="337" spans="134:135">
      <c r="ED337" t="s">
        <v>2658</v>
      </c>
      <c r="EE337" t="s">
        <v>3190</v>
      </c>
    </row>
    <row r="338" spans="134:135">
      <c r="ED338" t="s">
        <v>2660</v>
      </c>
      <c r="EE338" t="s">
        <v>3192</v>
      </c>
    </row>
    <row r="339" spans="134:135">
      <c r="ED339" t="s">
        <v>2662</v>
      </c>
      <c r="EE339" t="s">
        <v>3194</v>
      </c>
    </row>
    <row r="340" spans="134:135">
      <c r="ED340" t="s">
        <v>2664</v>
      </c>
      <c r="EE340" t="s">
        <v>3195</v>
      </c>
    </row>
    <row r="341" spans="134:135">
      <c r="ED341" t="s">
        <v>2666</v>
      </c>
      <c r="EE341" t="s">
        <v>3197</v>
      </c>
    </row>
    <row r="342" spans="134:135">
      <c r="ED342" t="s">
        <v>2668</v>
      </c>
      <c r="EE342" t="s">
        <v>2669</v>
      </c>
    </row>
    <row r="343" spans="134:135">
      <c r="ED343" t="s">
        <v>2670</v>
      </c>
      <c r="EE343" t="s">
        <v>2671</v>
      </c>
    </row>
    <row r="344" spans="134:135">
      <c r="ED344" t="s">
        <v>2672</v>
      </c>
      <c r="EE344" t="s">
        <v>2673</v>
      </c>
    </row>
    <row r="345" spans="134:135">
      <c r="ED345" t="s">
        <v>2674</v>
      </c>
      <c r="EE345" t="s">
        <v>2675</v>
      </c>
    </row>
    <row r="346" spans="134:135">
      <c r="ED346" t="s">
        <v>2676</v>
      </c>
      <c r="EE346" t="s">
        <v>2677</v>
      </c>
    </row>
    <row r="347" spans="134:135">
      <c r="ED347" t="s">
        <v>2678</v>
      </c>
      <c r="EE347" t="s">
        <v>2679</v>
      </c>
    </row>
    <row r="348" spans="134:135">
      <c r="ED348" t="s">
        <v>2680</v>
      </c>
      <c r="EE348" t="s">
        <v>2681</v>
      </c>
    </row>
    <row r="349" spans="134:135">
      <c r="ED349" t="s">
        <v>2682</v>
      </c>
      <c r="EE349" t="s">
        <v>2683</v>
      </c>
    </row>
    <row r="350" spans="134:135">
      <c r="ED350" t="s">
        <v>2684</v>
      </c>
      <c r="EE350" t="s">
        <v>2685</v>
      </c>
    </row>
    <row r="351" spans="134:135">
      <c r="ED351" t="s">
        <v>2686</v>
      </c>
      <c r="EE351" t="s">
        <v>2687</v>
      </c>
    </row>
    <row r="352" spans="134:135">
      <c r="ED352" t="s">
        <v>2173</v>
      </c>
      <c r="EE352" t="s">
        <v>2688</v>
      </c>
    </row>
    <row r="353" spans="127:135">
      <c r="DW353" s="185"/>
      <c r="ED353" t="s">
        <v>2689</v>
      </c>
      <c r="EE353" t="s">
        <v>2690</v>
      </c>
    </row>
    <row r="354" spans="127:135">
      <c r="DW354" s="185"/>
      <c r="ED354" t="s">
        <v>2691</v>
      </c>
      <c r="EE354" t="s">
        <v>2692</v>
      </c>
    </row>
    <row r="355" spans="127:135">
      <c r="DW355" s="185"/>
      <c r="ED355" t="s">
        <v>2693</v>
      </c>
      <c r="EE355" t="s">
        <v>3198</v>
      </c>
    </row>
    <row r="356" spans="127:135">
      <c r="DW356" s="185"/>
      <c r="ED356" t="s">
        <v>2695</v>
      </c>
      <c r="EE356" t="s">
        <v>3199</v>
      </c>
    </row>
    <row r="357" spans="127:135">
      <c r="DW357" s="185"/>
      <c r="ED357" t="s">
        <v>2697</v>
      </c>
      <c r="EE357" t="s">
        <v>3200</v>
      </c>
    </row>
    <row r="358" spans="127:135">
      <c r="DW358" s="185"/>
      <c r="ED358" t="s">
        <v>2699</v>
      </c>
      <c r="EE358" t="s">
        <v>3201</v>
      </c>
    </row>
    <row r="359" spans="127:135">
      <c r="DW359" s="34"/>
      <c r="ED359" t="s">
        <v>2701</v>
      </c>
      <c r="EE359" t="s">
        <v>3202</v>
      </c>
    </row>
    <row r="360" spans="127:135">
      <c r="DW360" s="185"/>
      <c r="ED360" t="s">
        <v>2703</v>
      </c>
      <c r="EE360" t="s">
        <v>3203</v>
      </c>
    </row>
    <row r="361" spans="127:135">
      <c r="DW361" s="185"/>
      <c r="ED361" t="s">
        <v>2705</v>
      </c>
      <c r="EE361" t="s">
        <v>3204</v>
      </c>
    </row>
    <row r="362" spans="127:135">
      <c r="DW362" s="185"/>
      <c r="ED362" t="s">
        <v>2707</v>
      </c>
      <c r="EE362" t="s">
        <v>3205</v>
      </c>
    </row>
    <row r="363" spans="127:135">
      <c r="DW363" s="185"/>
      <c r="ED363" t="s">
        <v>2709</v>
      </c>
      <c r="EE363" t="s">
        <v>3206</v>
      </c>
    </row>
    <row r="364" spans="127:135">
      <c r="ED364" t="s">
        <v>2711</v>
      </c>
      <c r="EE364" t="s">
        <v>3207</v>
      </c>
    </row>
    <row r="365" spans="127:135">
      <c r="ED365" t="s">
        <v>2713</v>
      </c>
      <c r="EE365" t="s">
        <v>3208</v>
      </c>
    </row>
    <row r="366" spans="127:135">
      <c r="ED366" t="s">
        <v>2715</v>
      </c>
      <c r="EE366" t="s">
        <v>3209</v>
      </c>
    </row>
    <row r="367" spans="127:135">
      <c r="ED367" t="s">
        <v>2717</v>
      </c>
      <c r="EE367" t="s">
        <v>3210</v>
      </c>
    </row>
    <row r="368" spans="127:135">
      <c r="ED368" t="s">
        <v>2719</v>
      </c>
      <c r="EE368" t="s">
        <v>2720</v>
      </c>
    </row>
    <row r="369" spans="134:135">
      <c r="ED369" t="s">
        <v>2721</v>
      </c>
      <c r="EE369" t="s">
        <v>2722</v>
      </c>
    </row>
    <row r="370" spans="134:135">
      <c r="ED370" t="s">
        <v>2723</v>
      </c>
      <c r="EE370" t="s">
        <v>2724</v>
      </c>
    </row>
    <row r="371" spans="134:135">
      <c r="ED371" t="s">
        <v>2725</v>
      </c>
      <c r="EE371" t="s">
        <v>2726</v>
      </c>
    </row>
    <row r="372" spans="134:135">
      <c r="ED372" t="s">
        <v>2727</v>
      </c>
      <c r="EE372" t="s">
        <v>2728</v>
      </c>
    </row>
    <row r="373" spans="134:135">
      <c r="ED373" t="s">
        <v>2729</v>
      </c>
      <c r="EE373" t="s">
        <v>2730</v>
      </c>
    </row>
    <row r="374" spans="134:135">
      <c r="ED374" t="s">
        <v>2731</v>
      </c>
      <c r="EE374" t="s">
        <v>2732</v>
      </c>
    </row>
    <row r="375" spans="134:135">
      <c r="ED375" t="s">
        <v>2733</v>
      </c>
      <c r="EE375" t="s">
        <v>2734</v>
      </c>
    </row>
    <row r="376" spans="134:135">
      <c r="ED376" t="s">
        <v>2735</v>
      </c>
      <c r="EE376" t="s">
        <v>2736</v>
      </c>
    </row>
    <row r="377" spans="134:135">
      <c r="ED377" t="s">
        <v>2737</v>
      </c>
      <c r="EE377" t="s">
        <v>2738</v>
      </c>
    </row>
    <row r="378" spans="134:135">
      <c r="ED378" t="s">
        <v>2739</v>
      </c>
      <c r="EE378" t="s">
        <v>2740</v>
      </c>
    </row>
    <row r="379" spans="134:135">
      <c r="ED379" t="s">
        <v>2741</v>
      </c>
      <c r="EE379" t="s">
        <v>2742</v>
      </c>
    </row>
    <row r="380" spans="134:135">
      <c r="ED380" t="s">
        <v>2743</v>
      </c>
      <c r="EE380" t="s">
        <v>2744</v>
      </c>
    </row>
    <row r="381" spans="134:135">
      <c r="ED381" t="s">
        <v>2745</v>
      </c>
      <c r="EE381" t="s">
        <v>2746</v>
      </c>
    </row>
    <row r="382" spans="134:135">
      <c r="ED382" t="s">
        <v>2747</v>
      </c>
      <c r="EE382" t="s">
        <v>2748</v>
      </c>
    </row>
    <row r="383" spans="134:135">
      <c r="ED383" t="s">
        <v>2749</v>
      </c>
      <c r="EE383" t="s">
        <v>2750</v>
      </c>
    </row>
    <row r="384" spans="134:135">
      <c r="ED384" t="s">
        <v>2751</v>
      </c>
      <c r="EE384" t="s">
        <v>2752</v>
      </c>
    </row>
    <row r="385" spans="134:135">
      <c r="ED385" t="s">
        <v>2753</v>
      </c>
      <c r="EE385" t="s">
        <v>2754</v>
      </c>
    </row>
    <row r="386" spans="134:135">
      <c r="ED386" t="s">
        <v>2755</v>
      </c>
      <c r="EE386" t="s">
        <v>2756</v>
      </c>
    </row>
    <row r="387" spans="134:135">
      <c r="ED387" t="s">
        <v>2757</v>
      </c>
      <c r="EE387" t="s">
        <v>2758</v>
      </c>
    </row>
    <row r="388" spans="134:135">
      <c r="ED388" t="s">
        <v>2759</v>
      </c>
      <c r="EE388" t="s">
        <v>2760</v>
      </c>
    </row>
    <row r="389" spans="134:135">
      <c r="ED389" t="s">
        <v>2761</v>
      </c>
      <c r="EE389" t="s">
        <v>2762</v>
      </c>
    </row>
    <row r="390" spans="134:135">
      <c r="ED390" t="s">
        <v>2763</v>
      </c>
      <c r="EE390" t="s">
        <v>2764</v>
      </c>
    </row>
    <row r="391" spans="134:135">
      <c r="ED391" t="s">
        <v>2765</v>
      </c>
      <c r="EE391" t="s">
        <v>2766</v>
      </c>
    </row>
    <row r="392" spans="134:135">
      <c r="ED392" t="s">
        <v>2767</v>
      </c>
      <c r="EE392" t="s">
        <v>2768</v>
      </c>
    </row>
    <row r="393" spans="134:135">
      <c r="ED393" t="s">
        <v>2769</v>
      </c>
      <c r="EE393" t="s">
        <v>2770</v>
      </c>
    </row>
    <row r="394" spans="134:135">
      <c r="ED394" t="s">
        <v>2771</v>
      </c>
      <c r="EE394" t="s">
        <v>2772</v>
      </c>
    </row>
    <row r="395" spans="134:135">
      <c r="ED395" t="s">
        <v>2773</v>
      </c>
      <c r="EE395" t="s">
        <v>2774</v>
      </c>
    </row>
    <row r="396" spans="134:135">
      <c r="ED396" t="s">
        <v>2775</v>
      </c>
      <c r="EE396" t="s">
        <v>2776</v>
      </c>
    </row>
    <row r="397" spans="134:135">
      <c r="ED397" t="s">
        <v>2777</v>
      </c>
      <c r="EE397" t="s">
        <v>2778</v>
      </c>
    </row>
    <row r="398" spans="134:135">
      <c r="ED398" t="s">
        <v>2779</v>
      </c>
      <c r="EE398" t="s">
        <v>3185</v>
      </c>
    </row>
    <row r="399" spans="134:135">
      <c r="ED399" t="s">
        <v>2780</v>
      </c>
      <c r="EE399" t="s">
        <v>3187</v>
      </c>
    </row>
    <row r="400" spans="134:135">
      <c r="ED400" t="s">
        <v>2781</v>
      </c>
      <c r="EE400" t="s">
        <v>3188</v>
      </c>
    </row>
    <row r="401" spans="128:135">
      <c r="ED401" t="s">
        <v>2782</v>
      </c>
      <c r="EE401" t="s">
        <v>3189</v>
      </c>
    </row>
    <row r="402" spans="128:135">
      <c r="ED402" t="s">
        <v>2783</v>
      </c>
      <c r="EE402" t="s">
        <v>3190</v>
      </c>
    </row>
    <row r="403" spans="128:135">
      <c r="ED403" t="s">
        <v>2784</v>
      </c>
      <c r="EE403" t="s">
        <v>3192</v>
      </c>
    </row>
    <row r="404" spans="128:135">
      <c r="ED404" t="s">
        <v>2785</v>
      </c>
      <c r="EE404" t="s">
        <v>3194</v>
      </c>
    </row>
    <row r="405" spans="128:135">
      <c r="ED405" t="s">
        <v>2786</v>
      </c>
      <c r="EE405" t="s">
        <v>3195</v>
      </c>
    </row>
    <row r="406" spans="128:135">
      <c r="ED406" t="s">
        <v>2787</v>
      </c>
      <c r="EE406" t="s">
        <v>3197</v>
      </c>
    </row>
    <row r="407" spans="128:135">
      <c r="ED407" t="s">
        <v>2788</v>
      </c>
      <c r="EE407" t="s">
        <v>2669</v>
      </c>
    </row>
    <row r="408" spans="128:135">
      <c r="ED408" t="s">
        <v>2789</v>
      </c>
      <c r="EE408" t="s">
        <v>2671</v>
      </c>
    </row>
    <row r="409" spans="128:135">
      <c r="ED409" t="s">
        <v>2790</v>
      </c>
      <c r="EE409" t="s">
        <v>2673</v>
      </c>
    </row>
    <row r="410" spans="128:135">
      <c r="ED410" t="s">
        <v>2791</v>
      </c>
      <c r="EE410" t="s">
        <v>2675</v>
      </c>
    </row>
    <row r="411" spans="128:135">
      <c r="ED411" t="s">
        <v>2792</v>
      </c>
      <c r="EE411" t="s">
        <v>2677</v>
      </c>
    </row>
    <row r="412" spans="128:135">
      <c r="ED412" t="s">
        <v>2793</v>
      </c>
      <c r="EE412" t="s">
        <v>2679</v>
      </c>
    </row>
    <row r="413" spans="128:135">
      <c r="ED413" t="s">
        <v>2794</v>
      </c>
      <c r="EE413" t="s">
        <v>2681</v>
      </c>
    </row>
    <row r="414" spans="128:135">
      <c r="DX414" s="133"/>
      <c r="ED414" t="s">
        <v>2795</v>
      </c>
      <c r="EE414" t="s">
        <v>2683</v>
      </c>
    </row>
    <row r="415" spans="128:135">
      <c r="DX415" s="133"/>
      <c r="ED415" t="s">
        <v>2796</v>
      </c>
      <c r="EE415" t="s">
        <v>2685</v>
      </c>
    </row>
    <row r="416" spans="128:135">
      <c r="DX416" s="133"/>
      <c r="ED416" t="s">
        <v>2797</v>
      </c>
      <c r="EE416" t="s">
        <v>2687</v>
      </c>
    </row>
    <row r="417" spans="127:135">
      <c r="DX417" s="133"/>
      <c r="ED417" t="s">
        <v>2798</v>
      </c>
      <c r="EE417" t="s">
        <v>2688</v>
      </c>
    </row>
    <row r="418" spans="127:135">
      <c r="DX418" s="133"/>
      <c r="ED418" t="s">
        <v>2649</v>
      </c>
      <c r="EE418" t="s">
        <v>2690</v>
      </c>
    </row>
    <row r="419" spans="127:135">
      <c r="DW419" s="184"/>
      <c r="ED419" t="s">
        <v>2799</v>
      </c>
      <c r="EE419" t="s">
        <v>2692</v>
      </c>
    </row>
    <row r="420" spans="127:135">
      <c r="DW420" s="184"/>
      <c r="ED420" t="s">
        <v>2800</v>
      </c>
      <c r="EE420" t="s">
        <v>3198</v>
      </c>
    </row>
    <row r="421" spans="127:135">
      <c r="DW421" s="192"/>
      <c r="ED421" t="s">
        <v>2801</v>
      </c>
      <c r="EE421" t="s">
        <v>3199</v>
      </c>
    </row>
    <row r="422" spans="127:135">
      <c r="DW422" s="192"/>
      <c r="ED422" t="s">
        <v>2802</v>
      </c>
      <c r="EE422" t="s">
        <v>3200</v>
      </c>
    </row>
    <row r="423" spans="127:135">
      <c r="DW423" s="181"/>
      <c r="ED423" t="s">
        <v>2803</v>
      </c>
      <c r="EE423" t="s">
        <v>3201</v>
      </c>
    </row>
    <row r="424" spans="127:135">
      <c r="DW424" s="133"/>
      <c r="ED424" t="s">
        <v>2804</v>
      </c>
      <c r="EE424" t="s">
        <v>3202</v>
      </c>
    </row>
    <row r="425" spans="127:135">
      <c r="DW425" s="133"/>
      <c r="ED425" t="s">
        <v>2805</v>
      </c>
      <c r="EE425" t="s">
        <v>3203</v>
      </c>
    </row>
    <row r="426" spans="127:135">
      <c r="DW426" s="133"/>
      <c r="ED426" t="s">
        <v>2806</v>
      </c>
      <c r="EE426" t="s">
        <v>3204</v>
      </c>
    </row>
    <row r="427" spans="127:135">
      <c r="DW427" s="181"/>
      <c r="ED427" t="s">
        <v>2807</v>
      </c>
      <c r="EE427" t="s">
        <v>3205</v>
      </c>
    </row>
    <row r="428" spans="127:135">
      <c r="DW428" s="133"/>
      <c r="ED428" t="s">
        <v>2808</v>
      </c>
      <c r="EE428" t="s">
        <v>3206</v>
      </c>
    </row>
    <row r="429" spans="127:135">
      <c r="DW429" s="192"/>
      <c r="ED429" t="s">
        <v>2809</v>
      </c>
      <c r="EE429" t="s">
        <v>3207</v>
      </c>
    </row>
    <row r="430" spans="127:135">
      <c r="DW430" s="192"/>
      <c r="ED430" t="s">
        <v>2810</v>
      </c>
      <c r="EE430" t="s">
        <v>3208</v>
      </c>
    </row>
    <row r="431" spans="127:135">
      <c r="DW431" s="181"/>
      <c r="ED431" t="s">
        <v>2811</v>
      </c>
      <c r="EE431" t="s">
        <v>3209</v>
      </c>
    </row>
    <row r="432" spans="127:135">
      <c r="DW432" s="192"/>
      <c r="ED432" t="s">
        <v>2812</v>
      </c>
      <c r="EE432" t="s">
        <v>3210</v>
      </c>
    </row>
    <row r="433" spans="127:135">
      <c r="DW433" s="133"/>
      <c r="ED433" t="s">
        <v>2813</v>
      </c>
      <c r="EE433" t="s">
        <v>2720</v>
      </c>
    </row>
    <row r="434" spans="127:135">
      <c r="DW434" s="181"/>
      <c r="DX434" s="133"/>
      <c r="ED434" t="s">
        <v>2814</v>
      </c>
      <c r="EE434" t="s">
        <v>2722</v>
      </c>
    </row>
    <row r="435" spans="127:135">
      <c r="DW435" s="181"/>
      <c r="DX435" s="133"/>
      <c r="ED435" t="s">
        <v>2815</v>
      </c>
      <c r="EE435" t="s">
        <v>2724</v>
      </c>
    </row>
    <row r="436" spans="127:135">
      <c r="DW436" s="181"/>
      <c r="DX436" s="133"/>
      <c r="ED436" t="s">
        <v>2816</v>
      </c>
      <c r="EE436" t="s">
        <v>2726</v>
      </c>
    </row>
    <row r="437" spans="127:135">
      <c r="DW437" s="133"/>
      <c r="DX437" s="133"/>
      <c r="ED437" t="s">
        <v>2817</v>
      </c>
      <c r="EE437" t="s">
        <v>2728</v>
      </c>
    </row>
    <row r="438" spans="127:135">
      <c r="DW438" s="202"/>
      <c r="DX438" s="202"/>
      <c r="ED438" t="s">
        <v>2818</v>
      </c>
      <c r="EE438" t="s">
        <v>2730</v>
      </c>
    </row>
    <row r="439" spans="127:135">
      <c r="DW439" s="177"/>
      <c r="DX439" s="202"/>
      <c r="ED439" t="s">
        <v>2819</v>
      </c>
      <c r="EE439" t="s">
        <v>2732</v>
      </c>
    </row>
    <row r="440" spans="127:135">
      <c r="DW440" s="185"/>
      <c r="DX440" s="185"/>
      <c r="ED440" t="s">
        <v>2820</v>
      </c>
      <c r="EE440" t="s">
        <v>2734</v>
      </c>
    </row>
    <row r="441" spans="127:135">
      <c r="DW441" s="185"/>
      <c r="DX441" s="185"/>
      <c r="ED441" t="s">
        <v>2821</v>
      </c>
      <c r="EE441" t="s">
        <v>2736</v>
      </c>
    </row>
    <row r="442" spans="127:135">
      <c r="DW442" s="185"/>
      <c r="DX442" s="185"/>
      <c r="ED442" t="s">
        <v>2822</v>
      </c>
      <c r="EE442" t="s">
        <v>2738</v>
      </c>
    </row>
    <row r="443" spans="127:135">
      <c r="DW443" s="185"/>
      <c r="DX443" s="185"/>
      <c r="ED443" t="s">
        <v>2823</v>
      </c>
      <c r="EE443" t="s">
        <v>2740</v>
      </c>
    </row>
    <row r="444" spans="127:135">
      <c r="DW444" s="185"/>
      <c r="DX444" s="185"/>
      <c r="ED444" t="s">
        <v>2824</v>
      </c>
      <c r="EE444" t="s">
        <v>2742</v>
      </c>
    </row>
    <row r="445" spans="127:135">
      <c r="DW445" s="185"/>
      <c r="DX445" s="185"/>
      <c r="ED445" t="s">
        <v>2825</v>
      </c>
      <c r="EE445" t="s">
        <v>2744</v>
      </c>
    </row>
    <row r="446" spans="127:135">
      <c r="DW446" s="185"/>
      <c r="DX446" s="185"/>
      <c r="ED446" t="s">
        <v>2826</v>
      </c>
      <c r="EE446" t="s">
        <v>2746</v>
      </c>
    </row>
    <row r="447" spans="127:135">
      <c r="DW447" s="185"/>
      <c r="DX447" s="185"/>
      <c r="ED447" t="s">
        <v>2827</v>
      </c>
      <c r="EE447" t="s">
        <v>2748</v>
      </c>
    </row>
    <row r="448" spans="127:135">
      <c r="DW448" s="185"/>
      <c r="DX448" s="185"/>
      <c r="ED448" t="s">
        <v>2828</v>
      </c>
      <c r="EE448" t="s">
        <v>2750</v>
      </c>
    </row>
    <row r="449" spans="127:135">
      <c r="DW449" s="185"/>
      <c r="DX449" s="185"/>
      <c r="ED449" t="s">
        <v>2829</v>
      </c>
      <c r="EE449" t="s">
        <v>2752</v>
      </c>
    </row>
    <row r="450" spans="127:135">
      <c r="DW450" s="185"/>
      <c r="DX450" s="185"/>
      <c r="ED450" t="s">
        <v>2830</v>
      </c>
      <c r="EE450" t="s">
        <v>2754</v>
      </c>
    </row>
    <row r="451" spans="127:135">
      <c r="DW451" s="185"/>
      <c r="DX451" s="185"/>
      <c r="ED451" t="s">
        <v>2831</v>
      </c>
      <c r="EE451" t="s">
        <v>2756</v>
      </c>
    </row>
    <row r="452" spans="127:135">
      <c r="DW452" s="185"/>
      <c r="DX452" s="185"/>
      <c r="ED452" t="s">
        <v>2832</v>
      </c>
      <c r="EE452" t="s">
        <v>2758</v>
      </c>
    </row>
    <row r="453" spans="127:135">
      <c r="DW453" s="185"/>
      <c r="DX453" s="185"/>
      <c r="ED453" t="s">
        <v>2833</v>
      </c>
      <c r="EE453" t="s">
        <v>2760</v>
      </c>
    </row>
    <row r="454" spans="127:135">
      <c r="DW454" s="185"/>
      <c r="DX454" s="185"/>
      <c r="ED454" t="s">
        <v>2834</v>
      </c>
      <c r="EE454" t="s">
        <v>2762</v>
      </c>
    </row>
    <row r="455" spans="127:135">
      <c r="DW455" s="185"/>
      <c r="DX455" s="185"/>
      <c r="ED455" t="s">
        <v>2835</v>
      </c>
      <c r="EE455" t="s">
        <v>2764</v>
      </c>
    </row>
    <row r="456" spans="127:135">
      <c r="ED456" t="s">
        <v>2836</v>
      </c>
      <c r="EE456" t="s">
        <v>2766</v>
      </c>
    </row>
    <row r="457" spans="127:135">
      <c r="ED457" t="s">
        <v>2837</v>
      </c>
      <c r="EE457" t="s">
        <v>2768</v>
      </c>
    </row>
    <row r="458" spans="127:135">
      <c r="ED458" t="s">
        <v>2838</v>
      </c>
      <c r="EE458" t="s">
        <v>2770</v>
      </c>
    </row>
    <row r="459" spans="127:135">
      <c r="ED459" t="s">
        <v>2839</v>
      </c>
      <c r="EE459" t="s">
        <v>2772</v>
      </c>
    </row>
    <row r="460" spans="127:135">
      <c r="ED460" t="s">
        <v>2840</v>
      </c>
      <c r="EE460" t="s">
        <v>2774</v>
      </c>
    </row>
    <row r="461" spans="127:135">
      <c r="ED461" t="s">
        <v>2841</v>
      </c>
      <c r="EE461" t="s">
        <v>2776</v>
      </c>
    </row>
    <row r="462" spans="127:135">
      <c r="ED462" t="s">
        <v>2842</v>
      </c>
      <c r="EE462" t="s">
        <v>2778</v>
      </c>
    </row>
    <row r="463" spans="127:135">
      <c r="ED463" t="s">
        <v>2651</v>
      </c>
      <c r="EE463" t="s">
        <v>3185</v>
      </c>
    </row>
    <row r="464" spans="127:135">
      <c r="ED464" t="s">
        <v>2653</v>
      </c>
      <c r="EE464" t="s">
        <v>3187</v>
      </c>
    </row>
    <row r="465" spans="134:135">
      <c r="ED465" t="s">
        <v>2655</v>
      </c>
      <c r="EE465" t="s">
        <v>3188</v>
      </c>
    </row>
    <row r="466" spans="134:135">
      <c r="ED466" t="s">
        <v>2657</v>
      </c>
      <c r="EE466" t="s">
        <v>3189</v>
      </c>
    </row>
    <row r="467" spans="134:135">
      <c r="ED467" t="s">
        <v>2659</v>
      </c>
      <c r="EE467" t="s">
        <v>3190</v>
      </c>
    </row>
    <row r="468" spans="134:135">
      <c r="ED468" t="s">
        <v>2661</v>
      </c>
      <c r="EE468" t="s">
        <v>3192</v>
      </c>
    </row>
    <row r="469" spans="134:135">
      <c r="ED469" t="s">
        <v>2663</v>
      </c>
      <c r="EE469" t="s">
        <v>3194</v>
      </c>
    </row>
    <row r="470" spans="134:135">
      <c r="ED470" t="s">
        <v>2665</v>
      </c>
      <c r="EE470" t="s">
        <v>3195</v>
      </c>
    </row>
    <row r="471" spans="134:135">
      <c r="ED471" t="s">
        <v>2667</v>
      </c>
      <c r="EE471" t="s">
        <v>3197</v>
      </c>
    </row>
    <row r="472" spans="134:135">
      <c r="ED472" t="s">
        <v>2669</v>
      </c>
      <c r="EE472" t="s">
        <v>2669</v>
      </c>
    </row>
    <row r="473" spans="134:135">
      <c r="ED473" t="s">
        <v>2671</v>
      </c>
      <c r="EE473" t="s">
        <v>2671</v>
      </c>
    </row>
    <row r="474" spans="134:135">
      <c r="ED474" t="s">
        <v>2673</v>
      </c>
      <c r="EE474" t="s">
        <v>2673</v>
      </c>
    </row>
    <row r="475" spans="134:135">
      <c r="ED475" t="s">
        <v>2675</v>
      </c>
      <c r="EE475" t="s">
        <v>2675</v>
      </c>
    </row>
    <row r="476" spans="134:135">
      <c r="ED476" t="s">
        <v>2677</v>
      </c>
      <c r="EE476" t="s">
        <v>2677</v>
      </c>
    </row>
    <row r="477" spans="134:135">
      <c r="ED477" t="s">
        <v>2679</v>
      </c>
      <c r="EE477" t="s">
        <v>2679</v>
      </c>
    </row>
    <row r="478" spans="134:135">
      <c r="ED478" t="s">
        <v>2681</v>
      </c>
      <c r="EE478" t="s">
        <v>2681</v>
      </c>
    </row>
    <row r="479" spans="134:135">
      <c r="ED479" t="s">
        <v>2683</v>
      </c>
      <c r="EE479" t="s">
        <v>2683</v>
      </c>
    </row>
    <row r="480" spans="134:135">
      <c r="ED480" t="s">
        <v>2685</v>
      </c>
      <c r="EE480" t="s">
        <v>2685</v>
      </c>
    </row>
    <row r="481" spans="134:135">
      <c r="ED481" t="s">
        <v>2687</v>
      </c>
      <c r="EE481" t="s">
        <v>2687</v>
      </c>
    </row>
    <row r="482" spans="134:135">
      <c r="ED482" t="s">
        <v>2688</v>
      </c>
      <c r="EE482" t="s">
        <v>2688</v>
      </c>
    </row>
    <row r="483" spans="134:135">
      <c r="ED483" t="s">
        <v>2690</v>
      </c>
      <c r="EE483" t="s">
        <v>2690</v>
      </c>
    </row>
    <row r="484" spans="134:135">
      <c r="ED484" t="s">
        <v>2692</v>
      </c>
      <c r="EE484" t="s">
        <v>2692</v>
      </c>
    </row>
    <row r="485" spans="134:135">
      <c r="ED485" t="s">
        <v>2694</v>
      </c>
      <c r="EE485" t="s">
        <v>3198</v>
      </c>
    </row>
    <row r="486" spans="134:135">
      <c r="ED486" t="s">
        <v>2696</v>
      </c>
      <c r="EE486" t="s">
        <v>3199</v>
      </c>
    </row>
    <row r="487" spans="134:135">
      <c r="ED487" t="s">
        <v>2698</v>
      </c>
      <c r="EE487" t="s">
        <v>3200</v>
      </c>
    </row>
    <row r="488" spans="134:135">
      <c r="ED488" t="s">
        <v>2700</v>
      </c>
      <c r="EE488" t="s">
        <v>3201</v>
      </c>
    </row>
    <row r="489" spans="134:135">
      <c r="ED489" t="s">
        <v>2702</v>
      </c>
      <c r="EE489" t="s">
        <v>3202</v>
      </c>
    </row>
    <row r="490" spans="134:135">
      <c r="ED490" t="s">
        <v>2704</v>
      </c>
      <c r="EE490" t="s">
        <v>3203</v>
      </c>
    </row>
    <row r="491" spans="134:135">
      <c r="ED491" t="s">
        <v>2706</v>
      </c>
      <c r="EE491" t="s">
        <v>3204</v>
      </c>
    </row>
    <row r="492" spans="134:135">
      <c r="ED492" t="s">
        <v>2708</v>
      </c>
      <c r="EE492" t="s">
        <v>3205</v>
      </c>
    </row>
    <row r="493" spans="134:135">
      <c r="ED493" t="s">
        <v>2710</v>
      </c>
      <c r="EE493" t="s">
        <v>3206</v>
      </c>
    </row>
    <row r="494" spans="134:135">
      <c r="ED494" t="s">
        <v>2712</v>
      </c>
      <c r="EE494" t="s">
        <v>3207</v>
      </c>
    </row>
    <row r="495" spans="134:135">
      <c r="ED495" t="s">
        <v>2714</v>
      </c>
      <c r="EE495" t="s">
        <v>3208</v>
      </c>
    </row>
    <row r="496" spans="134:135">
      <c r="ED496" t="s">
        <v>2716</v>
      </c>
      <c r="EE496" t="s">
        <v>3209</v>
      </c>
    </row>
    <row r="497" spans="124:135">
      <c r="DT497" s="192"/>
      <c r="ED497" t="s">
        <v>2718</v>
      </c>
      <c r="EE497" t="s">
        <v>3210</v>
      </c>
    </row>
    <row r="498" spans="124:135">
      <c r="DT498" s="192"/>
      <c r="ED498" t="s">
        <v>2720</v>
      </c>
      <c r="EE498" t="s">
        <v>2720</v>
      </c>
    </row>
    <row r="499" spans="124:135">
      <c r="DT499" s="192"/>
      <c r="ED499" t="s">
        <v>2722</v>
      </c>
      <c r="EE499" t="s">
        <v>2722</v>
      </c>
    </row>
    <row r="500" spans="124:135">
      <c r="DT500" s="192"/>
      <c r="ED500" t="s">
        <v>2724</v>
      </c>
      <c r="EE500" t="s">
        <v>2724</v>
      </c>
    </row>
    <row r="501" spans="124:135">
      <c r="DT501" s="192"/>
      <c r="ED501" t="s">
        <v>2726</v>
      </c>
      <c r="EE501" t="s">
        <v>2726</v>
      </c>
    </row>
    <row r="502" spans="124:135">
      <c r="DT502" s="192"/>
      <c r="ED502" t="s">
        <v>2728</v>
      </c>
      <c r="EE502" t="s">
        <v>2728</v>
      </c>
    </row>
    <row r="503" spans="124:135">
      <c r="DT503" s="192"/>
      <c r="ED503" t="s">
        <v>2730</v>
      </c>
      <c r="EE503" t="s">
        <v>2730</v>
      </c>
    </row>
    <row r="504" spans="124:135">
      <c r="DT504" s="192"/>
      <c r="ED504" t="s">
        <v>2732</v>
      </c>
      <c r="EE504" t="s">
        <v>2732</v>
      </c>
    </row>
    <row r="505" spans="124:135">
      <c r="DT505" s="133"/>
      <c r="ED505" t="s">
        <v>2734</v>
      </c>
      <c r="EE505" t="s">
        <v>2734</v>
      </c>
    </row>
    <row r="506" spans="124:135">
      <c r="DT506" s="193"/>
      <c r="ED506" t="s">
        <v>2736</v>
      </c>
      <c r="EE506" t="s">
        <v>2736</v>
      </c>
    </row>
    <row r="507" spans="124:135">
      <c r="DT507" s="193"/>
      <c r="ED507" t="s">
        <v>2738</v>
      </c>
      <c r="EE507" t="s">
        <v>2738</v>
      </c>
    </row>
    <row r="508" spans="124:135">
      <c r="DT508" s="193"/>
      <c r="ED508" t="s">
        <v>2740</v>
      </c>
      <c r="EE508" t="s">
        <v>2740</v>
      </c>
    </row>
    <row r="509" spans="124:135">
      <c r="DT509" s="193"/>
      <c r="ED509" t="s">
        <v>2742</v>
      </c>
      <c r="EE509" t="s">
        <v>2742</v>
      </c>
    </row>
    <row r="510" spans="124:135">
      <c r="DT510" s="193"/>
      <c r="ED510" t="s">
        <v>2744</v>
      </c>
      <c r="EE510" t="s">
        <v>2744</v>
      </c>
    </row>
    <row r="511" spans="124:135">
      <c r="DT511" s="193"/>
      <c r="ED511" t="s">
        <v>2746</v>
      </c>
      <c r="EE511" t="s">
        <v>2746</v>
      </c>
    </row>
    <row r="512" spans="124:135">
      <c r="DT512" s="193"/>
      <c r="ED512" t="s">
        <v>2748</v>
      </c>
      <c r="EE512" t="s">
        <v>2748</v>
      </c>
    </row>
    <row r="513" spans="124:135">
      <c r="DT513" s="193"/>
      <c r="ED513" t="s">
        <v>2750</v>
      </c>
      <c r="EE513" t="s">
        <v>2750</v>
      </c>
    </row>
    <row r="514" spans="124:135">
      <c r="DT514" s="193"/>
      <c r="ED514" t="s">
        <v>2752</v>
      </c>
      <c r="EE514" t="s">
        <v>2752</v>
      </c>
    </row>
    <row r="515" spans="124:135">
      <c r="DT515" s="193"/>
      <c r="ED515" t="s">
        <v>2754</v>
      </c>
      <c r="EE515" t="s">
        <v>2754</v>
      </c>
    </row>
    <row r="516" spans="124:135">
      <c r="DT516" s="193"/>
      <c r="ED516" t="s">
        <v>2756</v>
      </c>
      <c r="EE516" t="s">
        <v>2756</v>
      </c>
    </row>
    <row r="517" spans="124:135">
      <c r="DT517" s="193"/>
      <c r="ED517" t="s">
        <v>2758</v>
      </c>
      <c r="EE517" t="s">
        <v>2758</v>
      </c>
    </row>
    <row r="518" spans="124:135">
      <c r="DT518" s="193"/>
      <c r="ED518" t="s">
        <v>2760</v>
      </c>
      <c r="EE518" t="s">
        <v>2760</v>
      </c>
    </row>
    <row r="519" spans="124:135">
      <c r="DT519" s="192"/>
      <c r="DU519" s="192"/>
      <c r="ED519" t="s">
        <v>2762</v>
      </c>
      <c r="EE519" t="s">
        <v>2762</v>
      </c>
    </row>
    <row r="520" spans="124:135">
      <c r="DT520" s="192"/>
      <c r="DU520" s="192"/>
      <c r="ED520" t="s">
        <v>2764</v>
      </c>
      <c r="EE520" t="s">
        <v>2764</v>
      </c>
    </row>
    <row r="521" spans="124:135">
      <c r="DT521" s="192"/>
      <c r="DU521" s="192"/>
      <c r="ED521" t="s">
        <v>2766</v>
      </c>
      <c r="EE521" t="s">
        <v>2766</v>
      </c>
    </row>
    <row r="522" spans="124:135">
      <c r="DT522" s="193"/>
      <c r="DU522" s="193"/>
      <c r="ED522" t="s">
        <v>2768</v>
      </c>
      <c r="EE522" t="s">
        <v>2768</v>
      </c>
    </row>
    <row r="523" spans="124:135">
      <c r="DT523" s="193"/>
      <c r="DU523" s="193"/>
      <c r="ED523" t="s">
        <v>2770</v>
      </c>
      <c r="EE523" t="s">
        <v>2770</v>
      </c>
    </row>
    <row r="524" spans="124:135">
      <c r="DT524" s="193"/>
      <c r="DU524" s="193"/>
      <c r="ED524" t="s">
        <v>2772</v>
      </c>
      <c r="EE524" t="s">
        <v>2772</v>
      </c>
    </row>
    <row r="525" spans="124:135">
      <c r="DT525" s="193"/>
      <c r="DU525" s="193"/>
      <c r="ED525" t="s">
        <v>2774</v>
      </c>
      <c r="EE525" t="s">
        <v>2774</v>
      </c>
    </row>
    <row r="526" spans="124:135">
      <c r="DT526" s="193"/>
      <c r="DU526" s="193"/>
      <c r="ED526" t="s">
        <v>2776</v>
      </c>
      <c r="EE526" t="s">
        <v>2776</v>
      </c>
    </row>
    <row r="527" spans="124:135">
      <c r="DT527" s="193"/>
      <c r="DU527" s="193"/>
      <c r="ED527" t="s">
        <v>2778</v>
      </c>
      <c r="EE527" t="s">
        <v>2778</v>
      </c>
    </row>
    <row r="528" spans="124:135">
      <c r="DT528" s="193"/>
      <c r="DU528" s="193"/>
      <c r="ED528" t="s">
        <v>2843</v>
      </c>
      <c r="EE528" t="s">
        <v>3185</v>
      </c>
    </row>
    <row r="529" spans="124:135">
      <c r="DT529" s="193"/>
      <c r="DU529" s="193"/>
      <c r="ED529" t="s">
        <v>2844</v>
      </c>
      <c r="EE529" t="s">
        <v>3187</v>
      </c>
    </row>
    <row r="530" spans="124:135">
      <c r="DT530" s="193"/>
      <c r="DU530" s="193"/>
      <c r="ED530" t="s">
        <v>2845</v>
      </c>
      <c r="EE530" t="s">
        <v>3188</v>
      </c>
    </row>
    <row r="531" spans="124:135">
      <c r="DT531" s="194"/>
      <c r="DU531" s="194"/>
      <c r="ED531" t="s">
        <v>2846</v>
      </c>
      <c r="EE531" t="s">
        <v>3189</v>
      </c>
    </row>
    <row r="532" spans="124:135">
      <c r="DT532" s="192"/>
      <c r="DU532" s="192"/>
      <c r="ED532" t="s">
        <v>2847</v>
      </c>
      <c r="EE532" t="s">
        <v>3190</v>
      </c>
    </row>
    <row r="533" spans="124:135">
      <c r="DT533" s="192"/>
      <c r="DU533" s="192"/>
      <c r="ED533" t="s">
        <v>2848</v>
      </c>
      <c r="EE533" t="s">
        <v>3192</v>
      </c>
    </row>
    <row r="534" spans="124:135">
      <c r="DT534" s="192"/>
      <c r="ED534" t="s">
        <v>2849</v>
      </c>
      <c r="EE534" t="s">
        <v>3194</v>
      </c>
    </row>
    <row r="535" spans="124:135">
      <c r="DT535" s="192"/>
      <c r="ED535" t="s">
        <v>2850</v>
      </c>
      <c r="EE535" t="s">
        <v>3195</v>
      </c>
    </row>
    <row r="536" spans="124:135">
      <c r="DT536" s="133"/>
      <c r="ED536" t="s">
        <v>2851</v>
      </c>
      <c r="EE536" t="s">
        <v>3197</v>
      </c>
    </row>
    <row r="537" spans="124:135">
      <c r="DT537" s="192"/>
      <c r="DU537" s="192"/>
      <c r="ED537" t="s">
        <v>2852</v>
      </c>
      <c r="EE537" t="s">
        <v>2669</v>
      </c>
    </row>
    <row r="538" spans="124:135">
      <c r="DT538" s="192"/>
      <c r="DU538" s="192"/>
      <c r="ED538" t="s">
        <v>2853</v>
      </c>
      <c r="EE538" t="s">
        <v>2671</v>
      </c>
    </row>
    <row r="539" spans="124:135">
      <c r="DT539" s="192"/>
      <c r="DU539" s="192"/>
      <c r="ED539" t="s">
        <v>2854</v>
      </c>
      <c r="EE539" t="s">
        <v>2673</v>
      </c>
    </row>
    <row r="540" spans="124:135">
      <c r="DT540" s="192"/>
      <c r="DU540" s="192"/>
      <c r="ED540" t="s">
        <v>2855</v>
      </c>
      <c r="EE540" t="s">
        <v>2675</v>
      </c>
    </row>
    <row r="541" spans="124:135">
      <c r="DT541" s="192"/>
      <c r="DU541" s="192"/>
      <c r="ED541" t="s">
        <v>2856</v>
      </c>
      <c r="EE541" t="s">
        <v>2677</v>
      </c>
    </row>
    <row r="542" spans="124:135">
      <c r="DT542" s="193"/>
      <c r="DU542" s="193"/>
      <c r="ED542" t="s">
        <v>2857</v>
      </c>
      <c r="EE542" t="s">
        <v>2679</v>
      </c>
    </row>
    <row r="543" spans="124:135">
      <c r="DT543" s="133"/>
      <c r="DU543" s="133"/>
      <c r="ED543" t="s">
        <v>2858</v>
      </c>
      <c r="EE543" t="s">
        <v>2681</v>
      </c>
    </row>
    <row r="544" spans="124:135">
      <c r="DT544" s="192"/>
      <c r="DU544" s="192"/>
      <c r="ED544" t="s">
        <v>2859</v>
      </c>
      <c r="EE544" t="s">
        <v>2683</v>
      </c>
    </row>
    <row r="545" spans="124:135">
      <c r="DT545" s="192"/>
      <c r="DU545" s="192"/>
      <c r="ED545" t="s">
        <v>2860</v>
      </c>
      <c r="EE545" t="s">
        <v>2685</v>
      </c>
    </row>
    <row r="546" spans="124:135">
      <c r="DT546" s="193"/>
      <c r="DU546" s="193"/>
      <c r="ED546" t="s">
        <v>2861</v>
      </c>
      <c r="EE546" t="s">
        <v>2687</v>
      </c>
    </row>
    <row r="547" spans="124:135">
      <c r="DT547" s="193"/>
      <c r="DU547" s="193"/>
      <c r="ED547" t="s">
        <v>2862</v>
      </c>
      <c r="EE547" t="s">
        <v>2688</v>
      </c>
    </row>
    <row r="548" spans="124:135">
      <c r="DT548" s="133"/>
      <c r="DU548" s="133"/>
      <c r="ED548" t="s">
        <v>2863</v>
      </c>
      <c r="EE548" t="s">
        <v>2690</v>
      </c>
    </row>
    <row r="549" spans="124:135">
      <c r="DT549" s="133"/>
      <c r="DU549" s="133"/>
      <c r="ED549" t="s">
        <v>2864</v>
      </c>
      <c r="EE549" t="s">
        <v>2692</v>
      </c>
    </row>
    <row r="550" spans="124:135">
      <c r="DT550" s="192"/>
      <c r="DU550" s="192"/>
      <c r="ED550" t="s">
        <v>2865</v>
      </c>
      <c r="EE550" t="s">
        <v>3198</v>
      </c>
    </row>
    <row r="551" spans="124:135">
      <c r="DT551" s="192"/>
      <c r="DU551" s="192"/>
      <c r="ED551" t="s">
        <v>2866</v>
      </c>
      <c r="EE551" t="s">
        <v>3199</v>
      </c>
    </row>
    <row r="552" spans="124:135">
      <c r="DT552" s="193"/>
      <c r="DU552" s="192"/>
      <c r="ED552" t="s">
        <v>2867</v>
      </c>
      <c r="EE552" t="s">
        <v>3200</v>
      </c>
    </row>
    <row r="553" spans="124:135">
      <c r="DT553" s="193"/>
      <c r="DU553" s="192"/>
      <c r="ED553" t="s">
        <v>2868</v>
      </c>
      <c r="EE553" t="s">
        <v>3201</v>
      </c>
    </row>
    <row r="554" spans="124:135">
      <c r="DT554" s="133"/>
      <c r="DU554" s="192"/>
      <c r="ED554" t="s">
        <v>2869</v>
      </c>
      <c r="EE554" t="s">
        <v>3202</v>
      </c>
    </row>
    <row r="555" spans="124:135">
      <c r="DT555" s="133"/>
      <c r="DU555" s="192"/>
      <c r="ED555" t="s">
        <v>2870</v>
      </c>
      <c r="EE555" t="s">
        <v>3203</v>
      </c>
    </row>
    <row r="556" spans="124:135">
      <c r="DT556" s="194"/>
      <c r="ED556" t="s">
        <v>2871</v>
      </c>
      <c r="EE556" t="s">
        <v>3204</v>
      </c>
    </row>
    <row r="557" spans="124:135">
      <c r="DT557" s="194"/>
      <c r="ED557" t="s">
        <v>2872</v>
      </c>
      <c r="EE557" t="s">
        <v>3205</v>
      </c>
    </row>
    <row r="558" spans="124:135">
      <c r="DT558" s="194"/>
      <c r="ED558" t="s">
        <v>2873</v>
      </c>
      <c r="EE558" t="s">
        <v>3206</v>
      </c>
    </row>
    <row r="559" spans="124:135">
      <c r="DT559" s="192"/>
      <c r="ED559" t="s">
        <v>2874</v>
      </c>
      <c r="EE559" t="s">
        <v>3207</v>
      </c>
    </row>
    <row r="560" spans="124:135">
      <c r="DT560" s="133"/>
      <c r="ED560" t="s">
        <v>2875</v>
      </c>
      <c r="EE560" t="s">
        <v>3208</v>
      </c>
    </row>
    <row r="561" spans="124:135">
      <c r="DT561" s="192"/>
      <c r="ED561" t="s">
        <v>2876</v>
      </c>
      <c r="EE561" t="s">
        <v>3209</v>
      </c>
    </row>
    <row r="562" spans="124:135">
      <c r="DT562" s="133"/>
      <c r="ED562" t="s">
        <v>2877</v>
      </c>
      <c r="EE562" t="s">
        <v>3210</v>
      </c>
    </row>
    <row r="563" spans="124:135">
      <c r="DT563" s="193"/>
      <c r="DU563" s="192"/>
      <c r="ED563" t="s">
        <v>2878</v>
      </c>
      <c r="EE563" t="s">
        <v>2720</v>
      </c>
    </row>
    <row r="564" spans="124:135">
      <c r="DT564" s="193"/>
      <c r="DU564" s="192"/>
      <c r="ED564" t="s">
        <v>2879</v>
      </c>
      <c r="EE564" t="s">
        <v>2722</v>
      </c>
    </row>
    <row r="565" spans="124:135">
      <c r="DT565" s="133"/>
      <c r="DU565" s="192"/>
      <c r="ED565" t="s">
        <v>2880</v>
      </c>
      <c r="EE565" t="s">
        <v>2724</v>
      </c>
    </row>
    <row r="566" spans="124:135">
      <c r="DT566" s="133"/>
      <c r="DU566" s="192"/>
      <c r="ED566" t="s">
        <v>2881</v>
      </c>
      <c r="EE566" t="s">
        <v>2726</v>
      </c>
    </row>
    <row r="567" spans="124:135">
      <c r="DT567" s="193"/>
      <c r="DU567" s="192"/>
      <c r="ED567" t="s">
        <v>2882</v>
      </c>
      <c r="EE567" t="s">
        <v>2728</v>
      </c>
    </row>
    <row r="568" spans="124:135">
      <c r="DT568" s="193"/>
      <c r="DU568" s="192"/>
      <c r="ED568" t="s">
        <v>2883</v>
      </c>
      <c r="EE568" t="s">
        <v>2730</v>
      </c>
    </row>
    <row r="569" spans="124:135">
      <c r="DT569" s="133"/>
      <c r="DU569" s="192"/>
      <c r="ED569" t="s">
        <v>2884</v>
      </c>
      <c r="EE569" t="s">
        <v>2732</v>
      </c>
    </row>
    <row r="570" spans="124:135">
      <c r="DT570" s="133"/>
      <c r="DU570" s="192"/>
      <c r="ED570" t="s">
        <v>2885</v>
      </c>
      <c r="EE570" t="s">
        <v>2734</v>
      </c>
    </row>
    <row r="571" spans="124:135">
      <c r="DT571" s="193"/>
      <c r="ED571" t="s">
        <v>2886</v>
      </c>
      <c r="EE571" t="s">
        <v>2736</v>
      </c>
    </row>
    <row r="572" spans="124:135">
      <c r="DT572" s="192"/>
      <c r="ED572" t="s">
        <v>2887</v>
      </c>
      <c r="EE572" t="s">
        <v>2738</v>
      </c>
    </row>
    <row r="573" spans="124:135">
      <c r="DT573" s="192"/>
      <c r="ED573" t="s">
        <v>2888</v>
      </c>
      <c r="EE573" t="s">
        <v>2740</v>
      </c>
    </row>
    <row r="574" spans="124:135">
      <c r="DT574" s="192"/>
      <c r="ED574" t="s">
        <v>2889</v>
      </c>
      <c r="EE574" t="s">
        <v>2742</v>
      </c>
    </row>
    <row r="575" spans="124:135">
      <c r="DT575" s="133"/>
      <c r="ED575" t="s">
        <v>2890</v>
      </c>
      <c r="EE575" t="s">
        <v>2744</v>
      </c>
    </row>
    <row r="576" spans="124:135">
      <c r="DT576" s="193"/>
      <c r="ED576" t="s">
        <v>2891</v>
      </c>
      <c r="EE576" t="s">
        <v>2746</v>
      </c>
    </row>
    <row r="577" spans="124:135">
      <c r="DT577" s="192"/>
      <c r="ED577" t="s">
        <v>2892</v>
      </c>
      <c r="EE577" t="s">
        <v>2748</v>
      </c>
    </row>
    <row r="578" spans="124:135">
      <c r="DT578" s="192"/>
      <c r="ED578" t="s">
        <v>2893</v>
      </c>
      <c r="EE578" t="s">
        <v>2750</v>
      </c>
    </row>
    <row r="579" spans="124:135">
      <c r="DT579" s="192"/>
      <c r="ED579" t="s">
        <v>2894</v>
      </c>
      <c r="EE579" t="s">
        <v>2752</v>
      </c>
    </row>
    <row r="580" spans="124:135">
      <c r="DT580" s="133"/>
      <c r="ED580" t="s">
        <v>2895</v>
      </c>
      <c r="EE580" t="s">
        <v>2754</v>
      </c>
    </row>
    <row r="581" spans="124:135">
      <c r="DT581" s="193"/>
      <c r="ED581" t="s">
        <v>2896</v>
      </c>
      <c r="EE581" t="s">
        <v>2756</v>
      </c>
    </row>
    <row r="582" spans="124:135">
      <c r="DT582" s="192"/>
      <c r="ED582" t="s">
        <v>2897</v>
      </c>
      <c r="EE582" t="s">
        <v>2758</v>
      </c>
    </row>
    <row r="583" spans="124:135">
      <c r="DT583" s="192"/>
      <c r="ED583" t="s">
        <v>2898</v>
      </c>
      <c r="EE583" t="s">
        <v>2760</v>
      </c>
    </row>
    <row r="584" spans="124:135">
      <c r="DT584" s="192"/>
      <c r="ED584" t="s">
        <v>2899</v>
      </c>
      <c r="EE584" t="s">
        <v>2762</v>
      </c>
    </row>
    <row r="585" spans="124:135">
      <c r="DT585" s="133"/>
      <c r="ED585" t="s">
        <v>2900</v>
      </c>
      <c r="EE585" t="s">
        <v>2764</v>
      </c>
    </row>
    <row r="586" spans="124:135">
      <c r="DT586" s="193"/>
      <c r="ED586" t="s">
        <v>2901</v>
      </c>
      <c r="EE586" t="s">
        <v>2766</v>
      </c>
    </row>
    <row r="587" spans="124:135">
      <c r="DT587" s="192"/>
      <c r="ED587" t="s">
        <v>2902</v>
      </c>
      <c r="EE587" t="s">
        <v>2768</v>
      </c>
    </row>
    <row r="588" spans="124:135">
      <c r="DT588" s="192"/>
      <c r="ED588" t="s">
        <v>2903</v>
      </c>
      <c r="EE588" t="s">
        <v>2770</v>
      </c>
    </row>
    <row r="589" spans="124:135">
      <c r="DT589" s="192"/>
      <c r="ED589" t="s">
        <v>2904</v>
      </c>
      <c r="EE589" t="s">
        <v>2772</v>
      </c>
    </row>
    <row r="590" spans="124:135">
      <c r="DT590" s="133"/>
      <c r="ED590" t="s">
        <v>2905</v>
      </c>
      <c r="EE590" t="s">
        <v>2774</v>
      </c>
    </row>
    <row r="591" spans="124:135">
      <c r="DT591" s="193"/>
      <c r="ED591" t="s">
        <v>2906</v>
      </c>
      <c r="EE591" t="s">
        <v>2776</v>
      </c>
    </row>
    <row r="592" spans="124:135">
      <c r="DT592" s="193"/>
      <c r="ED592" t="s">
        <v>2907</v>
      </c>
      <c r="EE592" t="s">
        <v>2778</v>
      </c>
    </row>
    <row r="593" spans="124:135">
      <c r="DT593" s="193"/>
      <c r="ED593" t="s">
        <v>2908</v>
      </c>
      <c r="EE593" t="s">
        <v>3185</v>
      </c>
    </row>
    <row r="594" spans="124:135">
      <c r="DT594" s="193"/>
      <c r="ED594" t="s">
        <v>2909</v>
      </c>
      <c r="EE594" t="s">
        <v>3187</v>
      </c>
    </row>
    <row r="595" spans="124:135">
      <c r="DT595" s="192"/>
      <c r="ED595" t="s">
        <v>2910</v>
      </c>
      <c r="EE595" t="s">
        <v>3188</v>
      </c>
    </row>
    <row r="596" spans="124:135">
      <c r="DT596" s="192"/>
      <c r="ED596" t="s">
        <v>2911</v>
      </c>
      <c r="EE596" t="s">
        <v>3189</v>
      </c>
    </row>
    <row r="597" spans="124:135">
      <c r="DT597" s="193"/>
      <c r="ED597" t="s">
        <v>2912</v>
      </c>
      <c r="EE597" t="s">
        <v>3190</v>
      </c>
    </row>
    <row r="598" spans="124:135">
      <c r="DT598" s="193"/>
      <c r="ED598" t="s">
        <v>2913</v>
      </c>
      <c r="EE598" t="s">
        <v>3192</v>
      </c>
    </row>
    <row r="599" spans="124:135">
      <c r="DT599" s="133"/>
      <c r="ED599" t="s">
        <v>2914</v>
      </c>
      <c r="EE599" t="s">
        <v>3194</v>
      </c>
    </row>
    <row r="600" spans="124:135">
      <c r="DT600" s="133"/>
      <c r="ED600" t="s">
        <v>2915</v>
      </c>
      <c r="EE600" t="s">
        <v>3195</v>
      </c>
    </row>
    <row r="601" spans="124:135">
      <c r="DT601" s="193"/>
      <c r="ED601" t="s">
        <v>2916</v>
      </c>
      <c r="EE601" t="s">
        <v>3197</v>
      </c>
    </row>
    <row r="602" spans="124:135">
      <c r="DT602" s="193"/>
      <c r="ED602" t="s">
        <v>2917</v>
      </c>
      <c r="EE602" t="s">
        <v>2669</v>
      </c>
    </row>
    <row r="603" spans="124:135">
      <c r="DT603" s="193"/>
      <c r="ED603" t="s">
        <v>2918</v>
      </c>
      <c r="EE603" t="s">
        <v>2671</v>
      </c>
    </row>
    <row r="604" spans="124:135">
      <c r="DT604" s="193"/>
      <c r="ED604" t="s">
        <v>2919</v>
      </c>
      <c r="EE604" t="s">
        <v>2673</v>
      </c>
    </row>
    <row r="605" spans="124:135">
      <c r="DT605" s="192"/>
      <c r="ED605" t="s">
        <v>2920</v>
      </c>
      <c r="EE605" t="s">
        <v>2675</v>
      </c>
    </row>
    <row r="606" spans="124:135">
      <c r="DT606" s="192"/>
      <c r="ED606" t="s">
        <v>2921</v>
      </c>
      <c r="EE606" t="s">
        <v>2677</v>
      </c>
    </row>
    <row r="607" spans="124:135">
      <c r="DT607" s="193"/>
      <c r="ED607" t="s">
        <v>2922</v>
      </c>
      <c r="EE607" t="s">
        <v>2679</v>
      </c>
    </row>
    <row r="608" spans="124:135">
      <c r="DT608" s="193"/>
      <c r="ED608" t="s">
        <v>2923</v>
      </c>
      <c r="EE608" t="s">
        <v>2681</v>
      </c>
    </row>
    <row r="609" spans="124:135">
      <c r="DT609" s="133"/>
      <c r="ED609" t="s">
        <v>2924</v>
      </c>
      <c r="EE609" t="s">
        <v>2683</v>
      </c>
    </row>
    <row r="610" spans="124:135">
      <c r="DT610" s="133"/>
      <c r="ED610" t="s">
        <v>2925</v>
      </c>
      <c r="EE610" t="s">
        <v>2685</v>
      </c>
    </row>
    <row r="611" spans="124:135">
      <c r="DT611" s="192"/>
      <c r="ED611" t="s">
        <v>2926</v>
      </c>
      <c r="EE611" t="s">
        <v>2687</v>
      </c>
    </row>
    <row r="612" spans="124:135">
      <c r="DT612" s="192"/>
      <c r="ED612" t="s">
        <v>2927</v>
      </c>
      <c r="EE612" t="s">
        <v>2688</v>
      </c>
    </row>
    <row r="613" spans="124:135">
      <c r="DT613" s="192"/>
      <c r="ED613" t="s">
        <v>2928</v>
      </c>
      <c r="EE613" t="s">
        <v>2690</v>
      </c>
    </row>
    <row r="614" spans="124:135">
      <c r="DT614" s="192"/>
      <c r="ED614" t="s">
        <v>2929</v>
      </c>
      <c r="EE614" t="s">
        <v>2692</v>
      </c>
    </row>
    <row r="615" spans="124:135">
      <c r="DT615" s="133"/>
      <c r="ED615" t="s">
        <v>2930</v>
      </c>
      <c r="EE615" t="s">
        <v>3198</v>
      </c>
    </row>
    <row r="616" spans="124:135">
      <c r="DT616" s="192"/>
      <c r="ED616" t="s">
        <v>2931</v>
      </c>
      <c r="EE616" t="s">
        <v>3199</v>
      </c>
    </row>
    <row r="617" spans="124:135">
      <c r="DT617" s="192"/>
      <c r="ED617" t="s">
        <v>2932</v>
      </c>
      <c r="EE617" t="s">
        <v>3200</v>
      </c>
    </row>
    <row r="618" spans="124:135">
      <c r="DT618" s="192"/>
      <c r="ED618" t="s">
        <v>2933</v>
      </c>
      <c r="EE618" t="s">
        <v>3201</v>
      </c>
    </row>
    <row r="619" spans="124:135">
      <c r="DT619" s="192"/>
      <c r="ED619" t="s">
        <v>2934</v>
      </c>
      <c r="EE619" t="s">
        <v>3202</v>
      </c>
    </row>
    <row r="620" spans="124:135">
      <c r="DT620" s="133"/>
      <c r="ED620" t="s">
        <v>2935</v>
      </c>
      <c r="EE620" t="s">
        <v>3203</v>
      </c>
    </row>
    <row r="621" spans="124:135">
      <c r="ED621" t="s">
        <v>2936</v>
      </c>
      <c r="EE621" t="s">
        <v>3204</v>
      </c>
    </row>
    <row r="622" spans="124:135">
      <c r="ED622" t="s">
        <v>2937</v>
      </c>
      <c r="EE622" t="s">
        <v>3205</v>
      </c>
    </row>
    <row r="623" spans="124:135">
      <c r="ED623" t="s">
        <v>2938</v>
      </c>
      <c r="EE623" t="s">
        <v>3206</v>
      </c>
    </row>
    <row r="624" spans="124:135">
      <c r="ED624" t="s">
        <v>2939</v>
      </c>
      <c r="EE624" t="s">
        <v>3207</v>
      </c>
    </row>
    <row r="625" spans="134:135">
      <c r="ED625" t="s">
        <v>2940</v>
      </c>
      <c r="EE625" t="s">
        <v>3208</v>
      </c>
    </row>
    <row r="626" spans="134:135">
      <c r="ED626" t="s">
        <v>2941</v>
      </c>
      <c r="EE626" t="s">
        <v>3209</v>
      </c>
    </row>
    <row r="627" spans="134:135">
      <c r="ED627" t="s">
        <v>2942</v>
      </c>
      <c r="EE627" t="s">
        <v>3210</v>
      </c>
    </row>
    <row r="628" spans="134:135">
      <c r="ED628" t="s">
        <v>2943</v>
      </c>
      <c r="EE628" t="s">
        <v>2720</v>
      </c>
    </row>
    <row r="629" spans="134:135">
      <c r="ED629" t="s">
        <v>2944</v>
      </c>
      <c r="EE629" t="s">
        <v>2722</v>
      </c>
    </row>
    <row r="630" spans="134:135">
      <c r="ED630" t="s">
        <v>2945</v>
      </c>
      <c r="EE630" t="s">
        <v>2724</v>
      </c>
    </row>
    <row r="631" spans="134:135">
      <c r="ED631" t="s">
        <v>2946</v>
      </c>
      <c r="EE631" t="s">
        <v>2726</v>
      </c>
    </row>
    <row r="632" spans="134:135">
      <c r="ED632" t="s">
        <v>2947</v>
      </c>
      <c r="EE632" t="s">
        <v>2728</v>
      </c>
    </row>
    <row r="633" spans="134:135">
      <c r="ED633" t="s">
        <v>2948</v>
      </c>
      <c r="EE633" t="s">
        <v>2730</v>
      </c>
    </row>
    <row r="634" spans="134:135">
      <c r="ED634" t="s">
        <v>2949</v>
      </c>
      <c r="EE634" t="s">
        <v>2732</v>
      </c>
    </row>
    <row r="635" spans="134:135">
      <c r="ED635" t="s">
        <v>2950</v>
      </c>
      <c r="EE635" t="s">
        <v>2734</v>
      </c>
    </row>
    <row r="636" spans="134:135">
      <c r="ED636" t="s">
        <v>2951</v>
      </c>
      <c r="EE636" t="s">
        <v>2736</v>
      </c>
    </row>
    <row r="637" spans="134:135">
      <c r="ED637" t="s">
        <v>2952</v>
      </c>
      <c r="EE637" t="s">
        <v>2738</v>
      </c>
    </row>
    <row r="638" spans="134:135">
      <c r="ED638" t="s">
        <v>2953</v>
      </c>
      <c r="EE638" t="s">
        <v>2740</v>
      </c>
    </row>
    <row r="639" spans="134:135">
      <c r="ED639" t="s">
        <v>2954</v>
      </c>
      <c r="EE639" t="s">
        <v>2742</v>
      </c>
    </row>
    <row r="640" spans="134:135">
      <c r="ED640" t="s">
        <v>2955</v>
      </c>
      <c r="EE640" t="s">
        <v>2744</v>
      </c>
    </row>
    <row r="641" spans="128:135">
      <c r="ED641" t="s">
        <v>2956</v>
      </c>
      <c r="EE641" t="s">
        <v>2746</v>
      </c>
    </row>
    <row r="642" spans="128:135">
      <c r="DX642" s="205"/>
      <c r="ED642" t="s">
        <v>2957</v>
      </c>
      <c r="EE642" t="s">
        <v>2748</v>
      </c>
    </row>
    <row r="643" spans="128:135">
      <c r="DX643" s="185"/>
      <c r="ED643" t="s">
        <v>2958</v>
      </c>
      <c r="EE643" t="s">
        <v>2750</v>
      </c>
    </row>
    <row r="644" spans="128:135">
      <c r="DX644" s="214"/>
      <c r="ED644" t="s">
        <v>2959</v>
      </c>
      <c r="EE644" t="s">
        <v>2752</v>
      </c>
    </row>
    <row r="645" spans="128:135">
      <c r="DX645" s="185"/>
      <c r="ED645" t="s">
        <v>2960</v>
      </c>
      <c r="EE645" t="s">
        <v>2754</v>
      </c>
    </row>
    <row r="646" spans="128:135">
      <c r="ED646" t="s">
        <v>2961</v>
      </c>
      <c r="EE646" t="s">
        <v>2756</v>
      </c>
    </row>
    <row r="647" spans="128:135">
      <c r="ED647" t="s">
        <v>2962</v>
      </c>
      <c r="EE647" t="s">
        <v>2758</v>
      </c>
    </row>
    <row r="648" spans="128:135">
      <c r="ED648" t="s">
        <v>2963</v>
      </c>
      <c r="EE648" t="s">
        <v>2760</v>
      </c>
    </row>
    <row r="649" spans="128:135">
      <c r="ED649" t="s">
        <v>2964</v>
      </c>
      <c r="EE649" t="s">
        <v>2762</v>
      </c>
    </row>
    <row r="650" spans="128:135">
      <c r="ED650" t="s">
        <v>2965</v>
      </c>
      <c r="EE650" t="s">
        <v>2764</v>
      </c>
    </row>
    <row r="651" spans="128:135">
      <c r="ED651" t="s">
        <v>2966</v>
      </c>
      <c r="EE651" t="s">
        <v>2766</v>
      </c>
    </row>
    <row r="652" spans="128:135">
      <c r="ED652" t="s">
        <v>2967</v>
      </c>
      <c r="EE652" t="s">
        <v>2768</v>
      </c>
    </row>
    <row r="653" spans="128:135">
      <c r="ED653" t="s">
        <v>2968</v>
      </c>
      <c r="EE653" t="s">
        <v>2770</v>
      </c>
    </row>
    <row r="654" spans="128:135">
      <c r="ED654" t="s">
        <v>2969</v>
      </c>
      <c r="EE654" t="s">
        <v>2772</v>
      </c>
    </row>
    <row r="655" spans="128:135">
      <c r="ED655" t="s">
        <v>2970</v>
      </c>
      <c r="EE655" t="s">
        <v>2774</v>
      </c>
    </row>
    <row r="656" spans="128:135">
      <c r="ED656" t="s">
        <v>2971</v>
      </c>
      <c r="EE656" t="s">
        <v>2776</v>
      </c>
    </row>
    <row r="657" spans="124:135">
      <c r="ED657" t="s">
        <v>2972</v>
      </c>
      <c r="EE657" t="s">
        <v>2778</v>
      </c>
    </row>
    <row r="658" spans="124:135">
      <c r="DT658" s="185"/>
      <c r="DU658" s="205"/>
      <c r="ED658" t="s">
        <v>4016</v>
      </c>
      <c r="EE658" t="s">
        <v>3185</v>
      </c>
    </row>
    <row r="659" spans="124:135">
      <c r="DT659" s="185"/>
      <c r="DU659" s="205"/>
      <c r="ED659" t="s">
        <v>4017</v>
      </c>
      <c r="EE659" t="s">
        <v>3187</v>
      </c>
    </row>
    <row r="660" spans="124:135">
      <c r="DT660" s="185"/>
      <c r="DU660" s="205"/>
      <c r="ED660" t="s">
        <v>4018</v>
      </c>
      <c r="EE660" t="s">
        <v>3188</v>
      </c>
    </row>
    <row r="661" spans="124:135">
      <c r="DT661" s="185"/>
      <c r="DU661" s="205"/>
      <c r="ED661" t="s">
        <v>4019</v>
      </c>
      <c r="EE661" t="s">
        <v>3189</v>
      </c>
    </row>
    <row r="662" spans="124:135">
      <c r="DT662" s="206"/>
      <c r="DU662" s="205"/>
      <c r="ED662" t="s">
        <v>4020</v>
      </c>
      <c r="EE662" t="s">
        <v>3190</v>
      </c>
    </row>
    <row r="663" spans="124:135">
      <c r="DT663" s="206"/>
      <c r="DU663" s="205"/>
      <c r="ED663" t="s">
        <v>4021</v>
      </c>
      <c r="EE663" t="s">
        <v>3192</v>
      </c>
    </row>
    <row r="664" spans="124:135">
      <c r="DT664" s="206"/>
      <c r="DU664" s="205"/>
      <c r="ED664" t="s">
        <v>4022</v>
      </c>
      <c r="EE664" t="s">
        <v>3194</v>
      </c>
    </row>
    <row r="665" spans="124:135">
      <c r="DT665" s="206"/>
      <c r="DU665" s="205"/>
      <c r="ED665" t="s">
        <v>4023</v>
      </c>
      <c r="EE665" t="s">
        <v>3195</v>
      </c>
    </row>
    <row r="666" spans="124:135">
      <c r="DT666" s="34"/>
      <c r="DU666" s="205"/>
      <c r="ED666" t="s">
        <v>4024</v>
      </c>
      <c r="EE666" t="s">
        <v>3197</v>
      </c>
    </row>
    <row r="667" spans="124:135">
      <c r="DT667" s="34"/>
      <c r="DU667" s="205"/>
      <c r="ED667" t="s">
        <v>4025</v>
      </c>
      <c r="EE667" t="s">
        <v>2669</v>
      </c>
    </row>
    <row r="668" spans="124:135">
      <c r="DT668" s="34"/>
      <c r="DU668" s="205"/>
      <c r="ED668" t="s">
        <v>4026</v>
      </c>
      <c r="EE668" t="s">
        <v>2671</v>
      </c>
    </row>
    <row r="669" spans="124:135">
      <c r="DT669" s="34"/>
      <c r="DU669" s="205"/>
      <c r="ED669" t="s">
        <v>4027</v>
      </c>
      <c r="EE669" t="s">
        <v>2673</v>
      </c>
    </row>
    <row r="670" spans="124:135">
      <c r="DT670" s="205"/>
      <c r="DU670" s="205"/>
      <c r="ED670" t="s">
        <v>4028</v>
      </c>
      <c r="EE670" t="s">
        <v>2675</v>
      </c>
    </row>
    <row r="671" spans="124:135">
      <c r="DT671" s="205"/>
      <c r="DU671" s="205"/>
      <c r="ED671" t="s">
        <v>4029</v>
      </c>
      <c r="EE671" t="s">
        <v>2677</v>
      </c>
    </row>
    <row r="672" spans="124:135">
      <c r="DT672" s="205"/>
      <c r="DU672" s="205"/>
      <c r="ED672" t="s">
        <v>4030</v>
      </c>
      <c r="EE672" t="s">
        <v>2679</v>
      </c>
    </row>
    <row r="673" spans="124:135">
      <c r="DT673" s="205"/>
      <c r="DU673" s="205"/>
      <c r="ED673" t="s">
        <v>4031</v>
      </c>
      <c r="EE673" t="s">
        <v>2681</v>
      </c>
    </row>
    <row r="674" spans="124:135">
      <c r="ED674" t="s">
        <v>4032</v>
      </c>
      <c r="EE674" t="s">
        <v>2683</v>
      </c>
    </row>
    <row r="675" spans="124:135">
      <c r="ED675" t="s">
        <v>4033</v>
      </c>
      <c r="EE675" t="s">
        <v>2685</v>
      </c>
    </row>
    <row r="676" spans="124:135">
      <c r="ED676" t="s">
        <v>4034</v>
      </c>
      <c r="EE676" t="s">
        <v>2687</v>
      </c>
    </row>
    <row r="677" spans="124:135">
      <c r="ED677" t="s">
        <v>4014</v>
      </c>
      <c r="EE677" t="s">
        <v>2688</v>
      </c>
    </row>
    <row r="678" spans="124:135">
      <c r="ED678" t="s">
        <v>4035</v>
      </c>
      <c r="EE678" t="s">
        <v>2690</v>
      </c>
    </row>
    <row r="679" spans="124:135">
      <c r="ED679" t="s">
        <v>4036</v>
      </c>
      <c r="EE679" t="s">
        <v>2692</v>
      </c>
    </row>
    <row r="680" spans="124:135">
      <c r="ED680" t="s">
        <v>4037</v>
      </c>
      <c r="EE680" t="s">
        <v>3198</v>
      </c>
    </row>
    <row r="681" spans="124:135">
      <c r="ED681" t="s">
        <v>4038</v>
      </c>
      <c r="EE681" t="s">
        <v>3199</v>
      </c>
    </row>
    <row r="682" spans="124:135">
      <c r="ED682" t="s">
        <v>4039</v>
      </c>
      <c r="EE682" t="s">
        <v>3200</v>
      </c>
    </row>
    <row r="683" spans="124:135">
      <c r="ED683" t="s">
        <v>4040</v>
      </c>
      <c r="EE683" t="s">
        <v>3201</v>
      </c>
    </row>
    <row r="684" spans="124:135">
      <c r="ED684" t="s">
        <v>4041</v>
      </c>
      <c r="EE684" t="s">
        <v>3202</v>
      </c>
    </row>
    <row r="685" spans="124:135">
      <c r="ED685" t="s">
        <v>4042</v>
      </c>
      <c r="EE685" t="s">
        <v>3203</v>
      </c>
    </row>
    <row r="686" spans="124:135">
      <c r="ED686" t="s">
        <v>4043</v>
      </c>
      <c r="EE686" t="s">
        <v>3204</v>
      </c>
    </row>
    <row r="687" spans="124:135">
      <c r="ED687" t="s">
        <v>4044</v>
      </c>
      <c r="EE687" t="s">
        <v>3205</v>
      </c>
    </row>
    <row r="688" spans="124:135">
      <c r="ED688" t="s">
        <v>4045</v>
      </c>
      <c r="EE688" t="s">
        <v>3206</v>
      </c>
    </row>
    <row r="689" spans="134:135">
      <c r="ED689" t="s">
        <v>4046</v>
      </c>
      <c r="EE689" t="s">
        <v>3207</v>
      </c>
    </row>
    <row r="690" spans="134:135">
      <c r="ED690" t="s">
        <v>4047</v>
      </c>
      <c r="EE690" t="s">
        <v>3208</v>
      </c>
    </row>
    <row r="691" spans="134:135">
      <c r="ED691" t="s">
        <v>4048</v>
      </c>
      <c r="EE691" t="s">
        <v>3209</v>
      </c>
    </row>
    <row r="692" spans="134:135">
      <c r="ED692" t="s">
        <v>4049</v>
      </c>
      <c r="EE692" t="s">
        <v>3210</v>
      </c>
    </row>
    <row r="693" spans="134:135">
      <c r="ED693" t="s">
        <v>4050</v>
      </c>
      <c r="EE693" t="s">
        <v>2720</v>
      </c>
    </row>
    <row r="694" spans="134:135">
      <c r="ED694" t="s">
        <v>4051</v>
      </c>
      <c r="EE694" t="s">
        <v>2722</v>
      </c>
    </row>
    <row r="695" spans="134:135">
      <c r="ED695" t="s">
        <v>4052</v>
      </c>
      <c r="EE695" t="s">
        <v>2724</v>
      </c>
    </row>
    <row r="696" spans="134:135">
      <c r="ED696" t="s">
        <v>4053</v>
      </c>
      <c r="EE696" t="s">
        <v>2726</v>
      </c>
    </row>
    <row r="697" spans="134:135">
      <c r="ED697" t="s">
        <v>4054</v>
      </c>
      <c r="EE697" t="s">
        <v>2728</v>
      </c>
    </row>
    <row r="698" spans="134:135">
      <c r="ED698" t="s">
        <v>4055</v>
      </c>
      <c r="EE698" t="s">
        <v>2730</v>
      </c>
    </row>
    <row r="699" spans="134:135">
      <c r="ED699" t="s">
        <v>4056</v>
      </c>
      <c r="EE699" t="s">
        <v>2732</v>
      </c>
    </row>
    <row r="700" spans="134:135">
      <c r="ED700" t="s">
        <v>4057</v>
      </c>
      <c r="EE700" t="s">
        <v>2734</v>
      </c>
    </row>
    <row r="701" spans="134:135">
      <c r="ED701" t="s">
        <v>4058</v>
      </c>
      <c r="EE701" t="s">
        <v>2736</v>
      </c>
    </row>
    <row r="702" spans="134:135">
      <c r="ED702" t="s">
        <v>4059</v>
      </c>
      <c r="EE702" t="s">
        <v>2738</v>
      </c>
    </row>
    <row r="703" spans="134:135">
      <c r="ED703" t="s">
        <v>4060</v>
      </c>
      <c r="EE703" t="s">
        <v>2740</v>
      </c>
    </row>
    <row r="704" spans="134:135">
      <c r="ED704" t="s">
        <v>4061</v>
      </c>
      <c r="EE704" t="s">
        <v>2742</v>
      </c>
    </row>
    <row r="705" spans="134:135">
      <c r="ED705" t="s">
        <v>4062</v>
      </c>
      <c r="EE705" t="s">
        <v>2744</v>
      </c>
    </row>
    <row r="706" spans="134:135">
      <c r="ED706" t="s">
        <v>4063</v>
      </c>
      <c r="EE706" t="s">
        <v>2746</v>
      </c>
    </row>
    <row r="707" spans="134:135">
      <c r="ED707" t="s">
        <v>4064</v>
      </c>
      <c r="EE707" t="s">
        <v>2748</v>
      </c>
    </row>
    <row r="708" spans="134:135">
      <c r="ED708" t="s">
        <v>4065</v>
      </c>
      <c r="EE708" t="s">
        <v>2750</v>
      </c>
    </row>
    <row r="709" spans="134:135">
      <c r="ED709" t="s">
        <v>4066</v>
      </c>
      <c r="EE709" t="s">
        <v>2752</v>
      </c>
    </row>
    <row r="710" spans="134:135">
      <c r="ED710" t="s">
        <v>4067</v>
      </c>
      <c r="EE710" t="s">
        <v>2754</v>
      </c>
    </row>
    <row r="711" spans="134:135">
      <c r="ED711" t="s">
        <v>4068</v>
      </c>
      <c r="EE711" t="s">
        <v>2756</v>
      </c>
    </row>
    <row r="712" spans="134:135">
      <c r="ED712" t="s">
        <v>4069</v>
      </c>
      <c r="EE712" t="s">
        <v>2758</v>
      </c>
    </row>
    <row r="713" spans="134:135">
      <c r="ED713" t="s">
        <v>4070</v>
      </c>
      <c r="EE713" t="s">
        <v>2760</v>
      </c>
    </row>
    <row r="714" spans="134:135">
      <c r="ED714" t="s">
        <v>4071</v>
      </c>
      <c r="EE714" t="s">
        <v>2762</v>
      </c>
    </row>
    <row r="715" spans="134:135">
      <c r="ED715" t="s">
        <v>4072</v>
      </c>
      <c r="EE715" t="s">
        <v>2764</v>
      </c>
    </row>
    <row r="716" spans="134:135">
      <c r="ED716" t="s">
        <v>4073</v>
      </c>
      <c r="EE716" t="s">
        <v>2766</v>
      </c>
    </row>
    <row r="717" spans="134:135">
      <c r="ED717" t="s">
        <v>4074</v>
      </c>
      <c r="EE717" t="s">
        <v>2768</v>
      </c>
    </row>
    <row r="718" spans="134:135">
      <c r="ED718" t="s">
        <v>4075</v>
      </c>
      <c r="EE718" t="s">
        <v>2770</v>
      </c>
    </row>
    <row r="719" spans="134:135">
      <c r="ED719" t="s">
        <v>4076</v>
      </c>
      <c r="EE719" t="s">
        <v>2772</v>
      </c>
    </row>
    <row r="720" spans="134:135">
      <c r="ED720" t="s">
        <v>4077</v>
      </c>
      <c r="EE720" t="s">
        <v>2774</v>
      </c>
    </row>
    <row r="721" spans="134:135">
      <c r="ED721" t="s">
        <v>4078</v>
      </c>
      <c r="EE721" t="s">
        <v>2776</v>
      </c>
    </row>
    <row r="722" spans="134:135">
      <c r="ED722" t="s">
        <v>4079</v>
      </c>
      <c r="EE722" t="s">
        <v>2778</v>
      </c>
    </row>
    <row r="723" spans="134:135">
      <c r="ED723" t="s">
        <v>4107</v>
      </c>
      <c r="EE723" t="s">
        <v>4118</v>
      </c>
    </row>
    <row r="724" spans="134:135">
      <c r="ED724" t="s">
        <v>4108</v>
      </c>
      <c r="EE724" t="s">
        <v>4119</v>
      </c>
    </row>
    <row r="725" spans="134:135">
      <c r="ED725" t="s">
        <v>2501</v>
      </c>
      <c r="EE725" t="s">
        <v>4118</v>
      </c>
    </row>
    <row r="726" spans="134:135">
      <c r="ED726" t="s">
        <v>2502</v>
      </c>
      <c r="EE726" t="s">
        <v>4119</v>
      </c>
    </row>
    <row r="727" spans="134:135">
      <c r="ED727" t="s">
        <v>2512</v>
      </c>
      <c r="EE727" t="s">
        <v>4118</v>
      </c>
    </row>
    <row r="728" spans="134:135">
      <c r="ED728" t="s">
        <v>2513</v>
      </c>
      <c r="EE728" t="s">
        <v>4119</v>
      </c>
    </row>
    <row r="729" spans="134:135">
      <c r="ED729" t="s">
        <v>2511</v>
      </c>
      <c r="EE729" t="s">
        <v>4118</v>
      </c>
    </row>
    <row r="730" spans="134:135">
      <c r="ED730" t="s">
        <v>2516</v>
      </c>
      <c r="EE730" t="s">
        <v>4119</v>
      </c>
    </row>
    <row r="731" spans="134:135">
      <c r="ED731" t="s">
        <v>2514</v>
      </c>
      <c r="EE731" t="s">
        <v>4118</v>
      </c>
    </row>
    <row r="732" spans="134:135">
      <c r="ED732" t="s">
        <v>2517</v>
      </c>
      <c r="EE732" t="s">
        <v>4119</v>
      </c>
    </row>
    <row r="733" spans="134:135">
      <c r="ED733" t="s">
        <v>2515</v>
      </c>
      <c r="EE733" t="s">
        <v>4118</v>
      </c>
    </row>
    <row r="734" spans="134:135">
      <c r="ED734" t="s">
        <v>2518</v>
      </c>
      <c r="EE734" t="s">
        <v>4119</v>
      </c>
    </row>
    <row r="735" spans="134:135">
      <c r="ED735" t="s">
        <v>4138</v>
      </c>
      <c r="EE735" t="s">
        <v>4121</v>
      </c>
    </row>
    <row r="736" spans="134:135">
      <c r="ED736" t="s">
        <v>4138</v>
      </c>
      <c r="EE736" t="s">
        <v>4121</v>
      </c>
    </row>
    <row r="737" spans="134:135">
      <c r="ED737" t="s">
        <v>4139</v>
      </c>
      <c r="EE737" t="s">
        <v>4122</v>
      </c>
    </row>
    <row r="738" spans="134:135">
      <c r="ED738" t="s">
        <v>4139</v>
      </c>
      <c r="EE738" t="s">
        <v>4122</v>
      </c>
    </row>
    <row r="739" spans="134:135">
      <c r="ED739" t="s">
        <v>2548</v>
      </c>
      <c r="EE739" t="s">
        <v>4122</v>
      </c>
    </row>
    <row r="740" spans="134:135">
      <c r="ED740" t="s">
        <v>2548</v>
      </c>
      <c r="EE740" t="s">
        <v>4122</v>
      </c>
    </row>
    <row r="741" spans="134:135">
      <c r="ED741" t="s">
        <v>4140</v>
      </c>
      <c r="EE741" t="s">
        <v>4121</v>
      </c>
    </row>
    <row r="742" spans="134:135">
      <c r="ED742" t="s">
        <v>4140</v>
      </c>
      <c r="EE742" t="s">
        <v>4121</v>
      </c>
    </row>
    <row r="743" spans="134:135">
      <c r="ED743" t="s">
        <v>4094</v>
      </c>
      <c r="EE743" t="s">
        <v>4121</v>
      </c>
    </row>
    <row r="744" spans="134:135">
      <c r="ED744" t="s">
        <v>4094</v>
      </c>
      <c r="EE744" t="s">
        <v>4121</v>
      </c>
    </row>
    <row r="745" spans="134:135">
      <c r="ED745" t="s">
        <v>4093</v>
      </c>
      <c r="EE745" t="s">
        <v>4122</v>
      </c>
    </row>
    <row r="746" spans="134:135">
      <c r="ED746" t="s">
        <v>4093</v>
      </c>
      <c r="EE746" t="s">
        <v>4122</v>
      </c>
    </row>
    <row r="747" spans="134:135">
      <c r="ED747" t="s">
        <v>2554</v>
      </c>
      <c r="EE747" t="s">
        <v>4121</v>
      </c>
    </row>
    <row r="748" spans="134:135">
      <c r="ED748" t="s">
        <v>2554</v>
      </c>
      <c r="EE748" t="s">
        <v>4121</v>
      </c>
    </row>
    <row r="749" spans="134:135">
      <c r="ED749" t="s">
        <v>4109</v>
      </c>
      <c r="EE749" t="s">
        <v>4122</v>
      </c>
    </row>
    <row r="750" spans="134:135">
      <c r="ED750" t="s">
        <v>4109</v>
      </c>
      <c r="EE750" t="s">
        <v>4122</v>
      </c>
    </row>
    <row r="751" spans="134:135">
      <c r="ED751" t="s">
        <v>2533</v>
      </c>
      <c r="EE751" t="s">
        <v>4122</v>
      </c>
    </row>
    <row r="752" spans="134:135">
      <c r="ED752" t="s">
        <v>2533</v>
      </c>
      <c r="EE752" t="s">
        <v>4122</v>
      </c>
    </row>
    <row r="753" spans="134:135">
      <c r="ED753" t="s">
        <v>2547</v>
      </c>
      <c r="EE753" t="s">
        <v>4121</v>
      </c>
    </row>
    <row r="754" spans="134:135">
      <c r="ED754" t="s">
        <v>2547</v>
      </c>
      <c r="EE754" t="s">
        <v>4121</v>
      </c>
    </row>
    <row r="755" spans="134:135">
      <c r="ED755" t="s">
        <v>4123</v>
      </c>
      <c r="EE755" t="s">
        <v>4122</v>
      </c>
    </row>
    <row r="756" spans="134:135">
      <c r="ED756" t="s">
        <v>4124</v>
      </c>
      <c r="EE756" t="s">
        <v>4121</v>
      </c>
    </row>
    <row r="757" spans="134:135">
      <c r="ED757" t="s">
        <v>2512</v>
      </c>
      <c r="EE757" t="s">
        <v>4118</v>
      </c>
    </row>
    <row r="758" spans="134:135">
      <c r="ED758" t="s">
        <v>2513</v>
      </c>
      <c r="EE758" t="s">
        <v>4119</v>
      </c>
    </row>
  </sheetData>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1" id="{2F2EB12F-25D1-4F92-B225-F8A5A5E827F3}">
            <xm:f>OR(Ram_6!$AU$10=1,Ram_6!$AU$10=3)</xm:f>
            <x14:dxf>
              <fill>
                <patternFill patternType="darkDown"/>
              </fill>
            </x14:dxf>
          </x14:cfRule>
          <xm:sqref>CH13</xm:sqref>
        </x14:conditionalFormatting>
        <x14:conditionalFormatting xmlns:xm="http://schemas.microsoft.com/office/excel/2006/main">
          <x14:cfRule type="expression" priority="2" id="{654BD385-AC4D-49B2-B154-5FCB9061CCD3}">
            <xm:f>OR(Ram_6!$AU$10=2,Ram_6!$AU$10=3)</xm:f>
            <x14:dxf>
              <fill>
                <patternFill patternType="darkDown"/>
              </fill>
            </x14:dxf>
          </x14:cfRule>
          <xm:sqref>CH14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FD069-355D-494F-A106-3B3EF1828F89}">
  <sheetPr codeName="List23">
    <tabColor rgb="FF00B0F0"/>
  </sheetPr>
  <dimension ref="A1:XEV117"/>
  <sheetViews>
    <sheetView showGridLines="0" showRowColHeaders="0" workbookViewId="0">
      <selection activeCell="AJ2" sqref="AJ2:AN3"/>
    </sheetView>
  </sheetViews>
  <sheetFormatPr defaultColWidth="0" defaultRowHeight="14.85" customHeight="1" zeroHeight="1"/>
  <cols>
    <col min="1" max="1" width="3.7109375" style="1" customWidth="1"/>
    <col min="2" max="2" width="4.42578125" style="1" customWidth="1"/>
    <col min="3" max="3" width="18.85546875" style="1" customWidth="1"/>
    <col min="4" max="4" width="4.85546875" style="1" customWidth="1"/>
    <col min="5" max="7" width="7.7109375" style="1" customWidth="1"/>
    <col min="8" max="8" width="5.42578125" style="1" customWidth="1"/>
    <col min="9" max="11" width="7.7109375" style="1" customWidth="1"/>
    <col min="12" max="12" width="5.140625" style="1" customWidth="1"/>
    <col min="13" max="15" width="7.7109375" style="1" customWidth="1"/>
    <col min="16" max="18" width="2.5703125" style="1" customWidth="1"/>
    <col min="19" max="21" width="5.42578125" style="1" customWidth="1"/>
    <col min="22" max="22" width="3.42578125" style="1" customWidth="1"/>
    <col min="23" max="26" width="5.42578125" style="1" customWidth="1"/>
    <col min="27" max="27" width="6" style="1" customWidth="1"/>
    <col min="28" max="28" width="5.7109375" style="1" customWidth="1"/>
    <col min="29" max="29" width="5.42578125" style="1" customWidth="1"/>
    <col min="30" max="30" width="5.42578125" style="13" customWidth="1"/>
    <col min="31" max="31" width="5.42578125" style="11" customWidth="1"/>
    <col min="32" max="35" width="5.42578125" style="1" customWidth="1"/>
    <col min="36" max="36" width="5.5703125" style="1" customWidth="1"/>
    <col min="37" max="37" width="3.42578125" style="1" customWidth="1"/>
    <col min="38" max="38" width="14.85546875" style="1" customWidth="1"/>
    <col min="39" max="39" width="6.140625" style="1" customWidth="1"/>
    <col min="40" max="40" width="3.85546875" style="1" customWidth="1"/>
    <col min="41" max="41" width="7.7109375" style="1" hidden="1"/>
    <col min="42" max="42" width="10.28515625" style="6" hidden="1"/>
    <col min="43" max="43" width="11.7109375" style="6" hidden="1"/>
    <col min="44" max="46" width="7.7109375" style="6" hidden="1"/>
    <col min="47" max="48" width="7.7109375" style="288" hidden="1"/>
    <col min="49" max="53" width="7.7109375" style="6" hidden="1"/>
    <col min="54" max="54" width="14.42578125" style="6" hidden="1"/>
    <col min="55" max="57" width="7.7109375" style="6" hidden="1"/>
    <col min="58" max="58" width="10.5703125" style="6" hidden="1"/>
    <col min="59" max="60" width="7.7109375" style="6" hidden="1"/>
    <col min="61" max="61" width="9.42578125" style="6" hidden="1"/>
    <col min="62" max="62" width="8.5703125" style="6" hidden="1"/>
    <col min="63" max="63" width="7.7109375" style="6" hidden="1"/>
    <col min="64" max="65" width="9.7109375" style="6" hidden="1"/>
    <col min="66" max="66" width="18.28515625" style="6" hidden="1"/>
    <col min="67" max="71" width="13.28515625" style="6" hidden="1"/>
    <col min="72" max="72" width="9.5703125" style="6" hidden="1"/>
    <col min="73" max="74" width="10.28515625" style="6" hidden="1"/>
    <col min="75" max="75" width="13.28515625" style="6" hidden="1"/>
    <col min="76" max="76" width="11.5703125" style="6" hidden="1"/>
    <col min="77" max="16376" width="7.7109375" style="6" hidden="1"/>
    <col min="16377" max="16384" width="8.85546875" style="6" hidden="1"/>
  </cols>
  <sheetData>
    <row r="1" spans="1:74" ht="8.85" customHeight="1">
      <c r="A1" s="38"/>
      <c r="B1" s="38"/>
      <c r="C1" s="38"/>
      <c r="D1" s="38"/>
      <c r="E1" s="38"/>
      <c r="F1" s="38"/>
      <c r="G1" s="38"/>
      <c r="H1" s="38"/>
      <c r="I1" s="38"/>
      <c r="J1" s="38"/>
      <c r="K1" s="38"/>
      <c r="L1" s="38"/>
      <c r="M1" s="38"/>
      <c r="N1" s="38"/>
      <c r="O1" s="38"/>
      <c r="P1" s="38"/>
      <c r="Q1" s="38"/>
      <c r="R1" s="38"/>
      <c r="S1" s="38"/>
      <c r="T1" s="38"/>
      <c r="U1" s="38"/>
    </row>
    <row r="2" spans="1:74" ht="11.85" customHeight="1">
      <c r="A2" s="39"/>
      <c r="B2" s="39"/>
      <c r="C2" s="39"/>
      <c r="D2" s="39"/>
      <c r="E2" s="39"/>
      <c r="F2" s="39"/>
      <c r="G2" s="39"/>
      <c r="H2" s="39"/>
      <c r="I2" s="39"/>
      <c r="J2" s="39"/>
      <c r="K2" s="39"/>
      <c r="L2" s="39"/>
      <c r="M2" s="39"/>
      <c r="N2" s="39"/>
      <c r="O2" s="39"/>
      <c r="P2" s="709" t="str">
        <f>'Translate&amp;Prices&amp;Logo'!$B$280</f>
        <v>Posuvné rámečky</v>
      </c>
      <c r="Q2" s="709"/>
      <c r="R2" s="709"/>
      <c r="S2" s="709"/>
      <c r="T2" s="709"/>
      <c r="U2" s="709"/>
      <c r="V2" s="709"/>
      <c r="W2" s="709"/>
      <c r="X2" s="709"/>
      <c r="Y2" s="709"/>
      <c r="Z2" s="709"/>
      <c r="AA2" s="709"/>
      <c r="AB2" s="709"/>
      <c r="AC2" s="15"/>
      <c r="AD2" s="16"/>
      <c r="AE2" s="17"/>
      <c r="AF2" s="15"/>
      <c r="AG2" s="15"/>
      <c r="AH2" s="15"/>
      <c r="AI2" s="258"/>
      <c r="AJ2" s="625" t="str">
        <f>'Translate&amp;Prices&amp;Logo'!$B$542</f>
        <v>Úvod</v>
      </c>
      <c r="AK2" s="626"/>
      <c r="AL2" s="626"/>
      <c r="AM2" s="626"/>
      <c r="AN2" s="626"/>
    </row>
    <row r="3" spans="1:74" ht="11.85" customHeight="1">
      <c r="A3" s="39"/>
      <c r="B3" s="39"/>
      <c r="C3" s="39"/>
      <c r="D3" s="39"/>
      <c r="E3" s="39"/>
      <c r="F3" s="39"/>
      <c r="G3" s="39"/>
      <c r="H3" s="39"/>
      <c r="I3" s="39"/>
      <c r="J3" s="39"/>
      <c r="K3" s="39"/>
      <c r="L3" s="39"/>
      <c r="M3" s="39"/>
      <c r="N3" s="39"/>
      <c r="O3" s="39"/>
      <c r="P3" s="709"/>
      <c r="Q3" s="709"/>
      <c r="R3" s="709"/>
      <c r="S3" s="709"/>
      <c r="T3" s="709"/>
      <c r="U3" s="709"/>
      <c r="V3" s="709"/>
      <c r="W3" s="709"/>
      <c r="X3" s="709"/>
      <c r="Y3" s="709"/>
      <c r="Z3" s="709"/>
      <c r="AA3" s="709"/>
      <c r="AB3" s="709"/>
      <c r="AC3" s="15"/>
      <c r="AD3" s="16"/>
      <c r="AE3" s="17"/>
      <c r="AF3" s="15"/>
      <c r="AG3" s="15"/>
      <c r="AH3" s="15"/>
      <c r="AI3" s="258"/>
      <c r="AJ3" s="625"/>
      <c r="AK3" s="626"/>
      <c r="AL3" s="626"/>
      <c r="AM3" s="626"/>
      <c r="AN3" s="626"/>
    </row>
    <row r="4" spans="1:74" ht="11.45" customHeight="1">
      <c r="A4" s="38"/>
      <c r="B4" s="38"/>
      <c r="C4" s="38"/>
      <c r="D4" s="38"/>
      <c r="E4" s="38"/>
      <c r="F4" s="38"/>
      <c r="G4" s="38"/>
      <c r="P4" s="710"/>
      <c r="Q4" s="710"/>
      <c r="R4" s="710"/>
      <c r="S4" s="710"/>
      <c r="T4" s="710"/>
      <c r="U4" s="710"/>
      <c r="V4" s="710"/>
      <c r="W4" s="710"/>
      <c r="X4" s="710"/>
      <c r="Y4" s="710"/>
      <c r="Z4" s="710"/>
      <c r="AA4" s="710"/>
      <c r="AB4" s="710"/>
      <c r="AC4" s="710"/>
    </row>
    <row r="5" spans="1:74" ht="15" hidden="1" customHeight="1">
      <c r="A5" s="38"/>
      <c r="B5" s="38"/>
      <c r="C5" s="38"/>
      <c r="D5" s="38"/>
      <c r="E5" s="38"/>
      <c r="F5" s="38"/>
      <c r="G5" s="38"/>
      <c r="P5" s="710"/>
      <c r="Q5" s="710"/>
      <c r="R5" s="710"/>
      <c r="S5" s="710"/>
      <c r="T5" s="710"/>
      <c r="U5" s="710"/>
      <c r="V5" s="710"/>
      <c r="W5" s="710"/>
      <c r="X5" s="710"/>
      <c r="Y5" s="710"/>
      <c r="Z5" s="710"/>
      <c r="AA5" s="710"/>
      <c r="AB5" s="710"/>
      <c r="AC5" s="710"/>
    </row>
    <row r="7" spans="1:74" ht="14.85" customHeight="1">
      <c r="S7" s="707" t="str">
        <f>'Translate&amp;Prices&amp;Logo'!$B$277</f>
        <v>Zde jsou uvedeny standardní přesahy dvířek</v>
      </c>
      <c r="T7" s="707"/>
      <c r="U7" s="707"/>
      <c r="V7" s="707"/>
      <c r="W7" s="707"/>
      <c r="X7" s="707"/>
      <c r="Y7" s="707"/>
      <c r="Z7" s="707"/>
      <c r="AA7" s="707"/>
      <c r="AB7" s="707"/>
      <c r="AC7" s="707"/>
    </row>
    <row r="8" spans="1:74" ht="7.35" customHeight="1"/>
    <row r="9" spans="1:74" ht="15">
      <c r="C9" s="679" t="str">
        <f>'Translate&amp;Prices&amp;Logo'!$B$251</f>
        <v>Zákazník</v>
      </c>
      <c r="D9" s="679"/>
      <c r="E9" s="679"/>
      <c r="F9" s="679"/>
      <c r="G9" s="679"/>
      <c r="H9" s="283"/>
      <c r="I9" s="598"/>
      <c r="J9" s="598"/>
      <c r="K9" s="598"/>
      <c r="L9" s="598"/>
      <c r="M9" s="598"/>
      <c r="N9" s="598"/>
      <c r="S9" s="677" t="s">
        <v>27</v>
      </c>
      <c r="T9" s="677"/>
      <c r="U9" s="36"/>
      <c r="V9" s="678">
        <v>20</v>
      </c>
      <c r="W9" s="678"/>
      <c r="Y9" s="677" t="s">
        <v>378</v>
      </c>
      <c r="Z9" s="677"/>
      <c r="AA9" s="36"/>
      <c r="AB9" s="678" t="s">
        <v>146</v>
      </c>
      <c r="AC9" s="678"/>
    </row>
    <row r="10" spans="1:74" ht="6.6" customHeight="1">
      <c r="C10" s="55"/>
      <c r="D10" s="55"/>
      <c r="E10" s="55"/>
      <c r="F10" s="55"/>
      <c r="G10" s="55"/>
    </row>
    <row r="11" spans="1:74" ht="15">
      <c r="C11" s="679" t="str">
        <f>'Translate&amp;Prices&amp;Logo'!$B$255</f>
        <v>IČ:</v>
      </c>
      <c r="D11" s="679"/>
      <c r="E11" s="679"/>
      <c r="F11" s="679"/>
      <c r="G11" s="679"/>
      <c r="H11" s="283"/>
      <c r="I11" s="598"/>
      <c r="J11" s="598"/>
      <c r="K11" s="598"/>
      <c r="L11" s="598"/>
      <c r="M11" s="598"/>
      <c r="N11" s="598"/>
      <c r="S11" s="677" t="s">
        <v>377</v>
      </c>
      <c r="T11" s="677"/>
      <c r="U11" s="36"/>
      <c r="V11" s="678">
        <v>20</v>
      </c>
      <c r="W11" s="678"/>
      <c r="Y11" s="677" t="s">
        <v>4144</v>
      </c>
      <c r="Z11" s="677"/>
      <c r="AA11" s="36"/>
      <c r="AB11" s="678">
        <v>28</v>
      </c>
      <c r="AC11" s="678"/>
      <c r="BP11" s="29"/>
      <c r="BQ11" s="297"/>
      <c r="BR11" s="297"/>
      <c r="BS11" s="297"/>
      <c r="BT11" s="297"/>
      <c r="BU11" s="297"/>
      <c r="BV11" s="297"/>
    </row>
    <row r="12" spans="1:74" ht="6.6" customHeight="1">
      <c r="C12" s="55"/>
      <c r="D12" s="55"/>
      <c r="E12" s="55"/>
      <c r="F12" s="55"/>
      <c r="G12" s="55"/>
    </row>
    <row r="13" spans="1:74" ht="15">
      <c r="C13" s="679" t="str">
        <f>'Translate&amp;Prices&amp;Logo'!$B$252</f>
        <v>Kontaktní tel.</v>
      </c>
      <c r="D13" s="679"/>
      <c r="E13" s="679"/>
      <c r="F13" s="679"/>
      <c r="G13" s="679"/>
      <c r="H13" s="283"/>
      <c r="I13" s="598"/>
      <c r="J13" s="598"/>
      <c r="K13" s="598"/>
      <c r="L13" s="598"/>
      <c r="M13" s="598"/>
      <c r="N13" s="598"/>
      <c r="S13" s="677" t="s">
        <v>4143</v>
      </c>
      <c r="T13" s="677"/>
      <c r="U13" s="36"/>
      <c r="V13" s="678">
        <v>28</v>
      </c>
      <c r="W13" s="678"/>
      <c r="Y13" s="677" t="s">
        <v>380</v>
      </c>
      <c r="Z13" s="677"/>
      <c r="AA13" s="36"/>
      <c r="AB13" s="678">
        <v>40</v>
      </c>
      <c r="AC13" s="678"/>
      <c r="AQ13" s="255" t="b">
        <v>0</v>
      </c>
      <c r="BP13" s="29"/>
      <c r="BQ13" s="297"/>
      <c r="BR13" s="297"/>
      <c r="BS13" s="297"/>
      <c r="BT13" s="29"/>
      <c r="BU13" s="29"/>
      <c r="BV13" s="29"/>
    </row>
    <row r="14" spans="1:74" ht="6.6" customHeight="1">
      <c r="C14" s="55"/>
      <c r="D14" s="55"/>
      <c r="E14" s="55"/>
      <c r="F14" s="55"/>
      <c r="G14" s="55"/>
    </row>
    <row r="15" spans="1:74" ht="15">
      <c r="C15" s="679" t="str">
        <f>'Translate&amp;Prices&amp;Logo'!$B$256</f>
        <v>Sleva na rámečky</v>
      </c>
      <c r="D15" s="679"/>
      <c r="E15" s="679"/>
      <c r="F15" s="679"/>
      <c r="G15" s="679"/>
      <c r="H15" s="283"/>
      <c r="I15" s="598"/>
      <c r="J15" s="598"/>
      <c r="K15" s="598"/>
      <c r="L15" s="598"/>
      <c r="M15" s="598"/>
      <c r="N15" s="598"/>
      <c r="S15" s="677" t="s">
        <v>376</v>
      </c>
      <c r="T15" s="677"/>
      <c r="U15" s="36"/>
      <c r="V15" s="678">
        <v>45</v>
      </c>
      <c r="W15" s="678"/>
      <c r="Y15" s="677" t="s">
        <v>379</v>
      </c>
      <c r="Z15" s="677"/>
      <c r="AA15" s="36"/>
      <c r="AB15" s="678">
        <v>40</v>
      </c>
      <c r="AC15" s="678"/>
    </row>
    <row r="16" spans="1:74" ht="6.6" customHeight="1">
      <c r="C16" s="55"/>
      <c r="D16" s="55"/>
      <c r="E16" s="55"/>
      <c r="F16" s="55"/>
      <c r="G16" s="55"/>
      <c r="I16" s="6"/>
      <c r="J16" s="6"/>
      <c r="K16" s="6"/>
      <c r="L16" s="6"/>
      <c r="M16" s="6"/>
      <c r="N16" s="6"/>
    </row>
    <row r="17" spans="1:96" ht="15">
      <c r="C17" s="676" t="str">
        <f>IF(Hlavní!V39=3,"Dostawa","")</f>
        <v/>
      </c>
      <c r="D17" s="676"/>
      <c r="E17" s="676"/>
      <c r="F17" s="676"/>
      <c r="G17" s="676"/>
      <c r="H17" s="31"/>
      <c r="I17" s="675"/>
      <c r="J17" s="675"/>
      <c r="K17" s="675"/>
      <c r="L17" s="675"/>
      <c r="M17" s="675"/>
      <c r="N17" s="675"/>
      <c r="S17" s="677" t="s">
        <v>383</v>
      </c>
      <c r="T17" s="677"/>
      <c r="U17" s="36"/>
      <c r="V17" s="678">
        <v>20</v>
      </c>
      <c r="W17" s="678"/>
      <c r="Y17" s="677" t="s">
        <v>384</v>
      </c>
      <c r="Z17" s="677"/>
      <c r="AA17" s="36"/>
      <c r="AB17" s="678">
        <v>40</v>
      </c>
      <c r="AC17" s="678"/>
    </row>
    <row r="18" spans="1:96" ht="33.75" customHeight="1">
      <c r="C18" s="683" t="str">
        <f>IF(I17="Dostawa na adres","W przypadku wyboru DOSTAWA NA ADRES do zamówienia zostanie automatycznie doliczona opłata transportowa","")</f>
        <v/>
      </c>
      <c r="D18" s="683"/>
      <c r="E18" s="683"/>
      <c r="F18" s="683"/>
      <c r="G18" s="683"/>
      <c r="H18" s="683"/>
      <c r="I18" s="683"/>
      <c r="J18" s="683"/>
      <c r="K18" s="684" t="str">
        <f>IF(I17="Dostawa na adres","Cennik transportu - kliknij tutaj","")</f>
        <v/>
      </c>
      <c r="L18" s="684"/>
      <c r="M18" s="684"/>
      <c r="N18" s="684"/>
      <c r="BP18" s="446"/>
      <c r="BQ18" s="1"/>
      <c r="BR18" s="1"/>
      <c r="BS18" s="1"/>
      <c r="BT18" s="1"/>
      <c r="BU18" s="1"/>
      <c r="BV18" s="1"/>
    </row>
    <row r="19" spans="1:96" ht="14.85" customHeight="1">
      <c r="C19" s="676" t="str">
        <f>IF(Hlavní!V39=3,"Adres","")</f>
        <v/>
      </c>
      <c r="D19" s="676"/>
      <c r="E19" s="676"/>
      <c r="F19" s="676"/>
      <c r="G19" s="676"/>
      <c r="H19" s="31"/>
      <c r="I19" s="675"/>
      <c r="J19" s="675"/>
      <c r="K19" s="675"/>
      <c r="L19" s="675"/>
      <c r="M19" s="675"/>
      <c r="N19" s="675"/>
      <c r="BP19" s="447"/>
      <c r="BQ19" s="1"/>
      <c r="BR19" s="1"/>
      <c r="BS19" s="1"/>
      <c r="BT19" s="1"/>
      <c r="BU19" s="1"/>
      <c r="BV19" s="1"/>
    </row>
    <row r="20" spans="1:96" s="289" customFormat="1" ht="11.45" customHeight="1">
      <c r="A20" s="31"/>
      <c r="B20" s="31"/>
      <c r="C20" s="1"/>
      <c r="D20" s="1"/>
      <c r="E20" s="1"/>
      <c r="F20" s="1"/>
      <c r="G20" s="1"/>
      <c r="H20" s="1"/>
      <c r="I20" s="675"/>
      <c r="J20" s="675"/>
      <c r="K20" s="675"/>
      <c r="L20" s="675"/>
      <c r="M20" s="675"/>
      <c r="N20" s="675"/>
      <c r="O20" s="31"/>
      <c r="P20" s="31"/>
      <c r="Q20" s="31"/>
      <c r="R20" s="96"/>
      <c r="S20" s="51"/>
      <c r="T20" s="51"/>
      <c r="U20" s="31"/>
      <c r="V20" s="52"/>
      <c r="W20" s="52"/>
      <c r="X20" s="31"/>
      <c r="Y20" s="31"/>
      <c r="Z20" s="31"/>
      <c r="AA20" s="31"/>
      <c r="AB20" s="31"/>
      <c r="AC20" s="31"/>
      <c r="AD20" s="53"/>
      <c r="AE20" s="54"/>
      <c r="AF20" s="31"/>
      <c r="AG20" s="31"/>
      <c r="AH20" s="31"/>
      <c r="AI20" s="31"/>
      <c r="AJ20" s="31"/>
      <c r="AK20" s="31"/>
      <c r="AL20" s="31"/>
      <c r="AM20" s="31"/>
      <c r="AN20" s="31"/>
      <c r="AO20" s="31"/>
      <c r="AU20" s="290"/>
      <c r="AV20" s="288"/>
      <c r="AW20" s="6"/>
      <c r="AX20" s="6"/>
      <c r="AY20" s="6"/>
      <c r="AZ20" s="6"/>
      <c r="BA20" s="6"/>
      <c r="BB20" s="6"/>
      <c r="BC20" s="6"/>
      <c r="BD20" s="6"/>
      <c r="BE20" s="6"/>
      <c r="BF20" s="6"/>
      <c r="BG20" s="6"/>
      <c r="BH20" s="6"/>
      <c r="BI20" s="6"/>
      <c r="BJ20" s="6"/>
      <c r="BK20" s="6"/>
      <c r="BL20" s="6"/>
      <c r="BM20" s="6"/>
      <c r="BN20" s="6"/>
      <c r="BO20" s="6"/>
      <c r="BP20" s="29"/>
      <c r="BQ20" s="297"/>
      <c r="BR20" s="297"/>
      <c r="BS20" s="297"/>
      <c r="BT20" s="297"/>
      <c r="BU20" s="297"/>
      <c r="BV20" s="297"/>
      <c r="BW20" s="6"/>
      <c r="BX20" s="6"/>
      <c r="BY20" s="6"/>
      <c r="BZ20" s="6"/>
      <c r="CA20" s="6"/>
      <c r="CB20" s="6"/>
      <c r="CC20" s="6"/>
      <c r="CD20" s="6"/>
      <c r="CE20" s="6"/>
      <c r="CF20" s="6"/>
      <c r="CG20" s="6"/>
      <c r="CH20" s="6"/>
      <c r="CI20" s="6"/>
      <c r="CJ20" s="6"/>
      <c r="CK20" s="6"/>
      <c r="CL20" s="6"/>
      <c r="CM20" s="6"/>
      <c r="CN20" s="6"/>
      <c r="CO20" s="6"/>
      <c r="CP20" s="6"/>
      <c r="CQ20" s="6"/>
      <c r="CR20" s="6"/>
    </row>
    <row r="21" spans="1:96" ht="14.85" customHeight="1">
      <c r="I21" s="675"/>
      <c r="J21" s="675"/>
      <c r="K21" s="675"/>
      <c r="L21" s="675"/>
      <c r="M21" s="675"/>
      <c r="N21" s="675"/>
      <c r="R21" s="95"/>
      <c r="BP21" s="1"/>
      <c r="BQ21" s="337"/>
      <c r="BR21" s="337"/>
      <c r="BS21" s="337"/>
      <c r="BT21" s="337"/>
      <c r="BU21" s="337"/>
      <c r="BV21" s="337"/>
    </row>
    <row r="22" spans="1:96" ht="14.85" customHeight="1">
      <c r="R22" s="95"/>
      <c r="S22" s="708" t="str">
        <f>'Translate&amp;Prices&amp;Logo'!$B$227</f>
        <v>Dodat včetně uvedeného kování</v>
      </c>
      <c r="T22" s="708"/>
      <c r="U22" s="708"/>
      <c r="V22" s="708"/>
      <c r="W22" s="708"/>
      <c r="X22" s="708"/>
      <c r="Y22" s="708"/>
      <c r="Z22" s="708"/>
      <c r="AA22" s="708"/>
      <c r="AB22" s="708"/>
      <c r="AC22" s="704" t="str">
        <f>'Translate&amp;Prices&amp;Logo'!$B$328</f>
        <v>Množství (ks)</v>
      </c>
      <c r="AD22" s="704"/>
      <c r="AE22" s="704"/>
      <c r="AF22" s="31"/>
      <c r="AG22" s="704" t="str">
        <f>'Translate&amp;Prices&amp;Logo'!$B$327</f>
        <v>Jiný požadavek (ks)</v>
      </c>
      <c r="AH22" s="704"/>
      <c r="AI22" s="704"/>
      <c r="AJ22" s="704"/>
      <c r="AL22" s="704" t="str">
        <f>'Translate&amp;Prices&amp;Logo'!$B$694</f>
        <v>Cena</v>
      </c>
      <c r="AM22" s="704"/>
      <c r="AN22" s="256"/>
      <c r="AO22" s="256"/>
      <c r="AQ22" s="291" t="s">
        <v>113</v>
      </c>
      <c r="AR22" s="291" t="s">
        <v>114</v>
      </c>
      <c r="AS22" s="291" t="s">
        <v>74</v>
      </c>
      <c r="AT22" s="291" t="s">
        <v>75</v>
      </c>
      <c r="BP22" s="390"/>
      <c r="BQ22" s="291"/>
      <c r="BR22" s="337"/>
      <c r="BS22" s="337"/>
      <c r="BT22" s="1"/>
      <c r="BU22" s="1"/>
      <c r="BV22" s="1"/>
    </row>
    <row r="23" spans="1:96" ht="6" customHeight="1" thickBot="1">
      <c r="R23" s="29">
        <f>IF(AQ13=TRUE,1,0)</f>
        <v>0</v>
      </c>
      <c r="AQ23" s="291"/>
      <c r="AR23" s="291"/>
      <c r="AS23" s="291"/>
      <c r="AT23" s="291"/>
    </row>
    <row r="24" spans="1:96" ht="14.85" customHeight="1">
      <c r="E24" s="685" t="str">
        <f>"1."&amp;" "&amp;'Translate&amp;Prices&amp;Logo'!$B$171</f>
        <v>1. Rámeček</v>
      </c>
      <c r="F24" s="686"/>
      <c r="G24" s="687"/>
      <c r="H24" s="29"/>
      <c r="I24" s="685" t="str">
        <f>"2."&amp;" "&amp;'Translate&amp;Prices&amp;Logo'!$B$171</f>
        <v>2. Rámeček</v>
      </c>
      <c r="J24" s="686"/>
      <c r="K24" s="687"/>
      <c r="L24" s="29"/>
      <c r="M24" s="685" t="str">
        <f>"3."&amp;" "&amp;'Translate&amp;Prices&amp;Logo'!$B$171</f>
        <v>3. Rámeček</v>
      </c>
      <c r="N24" s="686"/>
      <c r="O24" s="687"/>
      <c r="R24" s="95"/>
      <c r="S24" s="688" t="str">
        <f>'Translate&amp;Prices&amp;Logo'!$B$319</f>
        <v>Sada kování na úzký rámeček H27AL (88630)</v>
      </c>
      <c r="T24" s="688"/>
      <c r="U24" s="688"/>
      <c r="V24" s="688"/>
      <c r="W24" s="688"/>
      <c r="X24" s="688"/>
      <c r="Y24" s="688"/>
      <c r="Z24" s="688"/>
      <c r="AA24" s="688"/>
      <c r="AB24" s="36"/>
      <c r="AC24" s="689">
        <f>IFERROR(IF(O44&gt;=1,IF(R23=1,IF(AK25&gt;=1,AG24,O44),0),0),0)</f>
        <v>0</v>
      </c>
      <c r="AD24" s="689"/>
      <c r="AE24" s="689"/>
      <c r="AF24" s="233" t="s">
        <v>1218</v>
      </c>
      <c r="AG24" s="680"/>
      <c r="AH24" s="680"/>
      <c r="AI24" s="680"/>
      <c r="AJ24" s="680"/>
      <c r="AK24" s="36"/>
      <c r="AL24" s="257">
        <f>AC24*AP24*(1-$I$15/100)</f>
        <v>0</v>
      </c>
      <c r="AM24" s="253" t="str">
        <f>VLOOKUP('Translate&amp;Prices&amp;Logo'!$D$1,kombinace_1!$EV$1:$EW$6,2,0)</f>
        <v>Kč</v>
      </c>
      <c r="AP24" s="292">
        <f>IF('Translate&amp;Prices&amp;Logo'!$D$1=1,AQ24,
IF(OR('Translate&amp;Prices&amp;Logo'!$D$1=2,'Translate&amp;Prices&amp;Logo'!$D$1=5,'Translate&amp;Prices&amp;Logo'!$D$1=6),AR24,
IF('Translate&amp;Prices&amp;Logo'!$D$1=3,AS24,AT24)))</f>
        <v>423.69600000000003</v>
      </c>
      <c r="AQ24" s="293">
        <v>423.69600000000003</v>
      </c>
      <c r="AR24" s="294">
        <v>17.30472</v>
      </c>
      <c r="AS24" s="294">
        <v>78.362129999999993</v>
      </c>
      <c r="AT24" s="294">
        <v>7346.3419400000002</v>
      </c>
      <c r="AU24" s="6">
        <v>88630</v>
      </c>
      <c r="AY24" s="1"/>
      <c r="AZ24" s="1"/>
      <c r="BA24" s="1"/>
      <c r="BB24" s="1"/>
      <c r="BC24" s="1"/>
      <c r="BD24" s="1"/>
      <c r="BE24" s="12"/>
      <c r="BF24" s="12"/>
      <c r="BG24" s="1"/>
      <c r="BH24" s="1"/>
      <c r="BI24" s="1"/>
      <c r="BJ24" s="1"/>
      <c r="BK24" s="1"/>
      <c r="BL24" s="1"/>
      <c r="BN24" s="394"/>
      <c r="BO24" s="1"/>
    </row>
    <row r="25" spans="1:96" ht="14.85" customHeight="1">
      <c r="E25" s="231"/>
      <c r="F25" s="29"/>
      <c r="G25" s="232"/>
      <c r="H25" s="29"/>
      <c r="I25" s="231"/>
      <c r="J25" s="29"/>
      <c r="K25" s="232"/>
      <c r="L25" s="29"/>
      <c r="M25" s="231"/>
      <c r="N25" s="29"/>
      <c r="O25" s="232"/>
      <c r="R25" s="95"/>
      <c r="S25" s="55"/>
      <c r="T25" s="55"/>
      <c r="U25" s="55"/>
      <c r="V25" s="55"/>
      <c r="W25" s="55"/>
      <c r="X25" s="55"/>
      <c r="Y25" s="55"/>
      <c r="Z25" s="55"/>
      <c r="AA25" s="55"/>
      <c r="AC25" s="29"/>
      <c r="AD25" s="29"/>
      <c r="AE25" s="29"/>
      <c r="AF25" s="29"/>
      <c r="AG25" s="29"/>
      <c r="AH25" s="29"/>
      <c r="AI25" s="29"/>
      <c r="AJ25" s="29"/>
      <c r="AK25" s="30">
        <f>AG24</f>
        <v>0</v>
      </c>
      <c r="AP25" s="295"/>
      <c r="AQ25" s="291"/>
      <c r="AR25" s="291"/>
      <c r="AS25" s="291"/>
      <c r="AT25" s="291"/>
      <c r="AU25" s="6"/>
      <c r="BE25" s="12"/>
      <c r="BG25" s="1"/>
      <c r="BH25" s="1"/>
      <c r="BI25" s="1"/>
      <c r="BJ25" s="1"/>
      <c r="BK25" s="1"/>
      <c r="BL25" s="1"/>
      <c r="BM25" s="1"/>
      <c r="BN25" s="394"/>
      <c r="BO25" s="1"/>
      <c r="BY25" s="12"/>
      <c r="BZ25" s="12"/>
      <c r="CA25" s="12"/>
    </row>
    <row r="26" spans="1:96" ht="14.85" customHeight="1">
      <c r="B26" s="692" t="str">
        <f>'Translate&amp;Prices&amp;Logo'!$B$178</f>
        <v>Výška</v>
      </c>
      <c r="C26" s="692"/>
      <c r="D26" s="286"/>
      <c r="E26" s="695"/>
      <c r="F26" s="680"/>
      <c r="G26" s="696"/>
      <c r="H26" s="284"/>
      <c r="I26" s="695"/>
      <c r="J26" s="680"/>
      <c r="K26" s="696"/>
      <c r="L26" s="284"/>
      <c r="M26" s="695"/>
      <c r="N26" s="680"/>
      <c r="O26" s="696"/>
      <c r="R26" s="95"/>
      <c r="S26" s="688" t="str">
        <f>'Translate&amp;Prices&amp;Logo'!$B$320</f>
        <v>Sada kování na široký rámeček H37AL (88631)</v>
      </c>
      <c r="T26" s="688"/>
      <c r="U26" s="688"/>
      <c r="V26" s="688"/>
      <c r="W26" s="688"/>
      <c r="X26" s="688"/>
      <c r="Y26" s="688"/>
      <c r="Z26" s="688"/>
      <c r="AA26" s="688"/>
      <c r="AB26" s="36"/>
      <c r="AC26" s="689">
        <f>IFERROR(IF(O43&gt;=1,IF(R23=1,IF(AK27&gt;=1,AG26,O43),0),0),0)</f>
        <v>0</v>
      </c>
      <c r="AD26" s="689"/>
      <c r="AE26" s="689"/>
      <c r="AF26" s="233" t="s">
        <v>1218</v>
      </c>
      <c r="AG26" s="680"/>
      <c r="AH26" s="680"/>
      <c r="AI26" s="680"/>
      <c r="AJ26" s="680"/>
      <c r="AK26" s="36"/>
      <c r="AL26" s="257">
        <f>AC26*AP26*(1-$I$15/100)</f>
        <v>0</v>
      </c>
      <c r="AM26" s="253" t="str">
        <f>VLOOKUP('Translate&amp;Prices&amp;Logo'!$D$1,kombinace_1!$EV$1:$EW$6,2,0)</f>
        <v>Kč</v>
      </c>
      <c r="AP26" s="292">
        <f>IF('Translate&amp;Prices&amp;Logo'!$D$1=1,AQ26,
IF(OR('Translate&amp;Prices&amp;Logo'!$D$1=2,'Translate&amp;Prices&amp;Logo'!$D$1=5,'Translate&amp;Prices&amp;Logo'!$D$1=6),AR26,
IF('Translate&amp;Prices&amp;Logo'!$D$1=3,AS26,AT26)))</f>
        <v>444.08</v>
      </c>
      <c r="AQ26" s="293">
        <v>444.08</v>
      </c>
      <c r="AR26" s="294">
        <v>18.137250000000002</v>
      </c>
      <c r="AS26" s="294">
        <v>82.132149999999996</v>
      </c>
      <c r="AT26" s="294">
        <v>7699.7741900000001</v>
      </c>
      <c r="AU26" s="6">
        <v>88631</v>
      </c>
      <c r="AZ26" s="1"/>
      <c r="BA26" s="1"/>
      <c r="BB26" s="1"/>
      <c r="BC26" s="1"/>
      <c r="BD26" s="1"/>
      <c r="BE26" s="12"/>
      <c r="BG26" s="1"/>
      <c r="BI26" s="1"/>
      <c r="BJ26" s="1"/>
      <c r="BK26" s="1"/>
      <c r="BL26" s="1"/>
      <c r="BM26" s="1"/>
      <c r="BN26" s="1"/>
      <c r="BO26" s="1"/>
      <c r="BP26" s="1"/>
      <c r="BQ26" s="1"/>
      <c r="BR26" s="1"/>
      <c r="BS26" s="1"/>
      <c r="BT26" s="1"/>
      <c r="BU26" s="1"/>
      <c r="BV26" s="1"/>
      <c r="BY26" s="12"/>
      <c r="BZ26" s="12"/>
      <c r="CA26" s="425"/>
    </row>
    <row r="27" spans="1:96" ht="14.85" customHeight="1">
      <c r="B27" s="14"/>
      <c r="C27" s="14"/>
      <c r="D27" s="285"/>
      <c r="E27" s="231">
        <v>900</v>
      </c>
      <c r="F27" s="29"/>
      <c r="G27" s="232"/>
      <c r="H27" s="29"/>
      <c r="I27" s="231"/>
      <c r="J27" s="29"/>
      <c r="K27" s="232"/>
      <c r="L27" s="29"/>
      <c r="M27" s="231"/>
      <c r="N27" s="29"/>
      <c r="O27" s="232"/>
      <c r="S27" s="55"/>
      <c r="T27" s="55"/>
      <c r="U27" s="55"/>
      <c r="V27" s="55"/>
      <c r="W27" s="55"/>
      <c r="X27" s="55"/>
      <c r="Y27" s="55"/>
      <c r="Z27" s="55"/>
      <c r="AA27" s="55"/>
      <c r="AC27" s="29"/>
      <c r="AD27" s="29"/>
      <c r="AE27" s="29"/>
      <c r="AF27" s="29"/>
      <c r="AG27" s="29"/>
      <c r="AH27" s="29"/>
      <c r="AI27" s="29"/>
      <c r="AJ27" s="29"/>
      <c r="AK27" s="30">
        <f>AG26</f>
        <v>0</v>
      </c>
      <c r="AP27" s="295"/>
      <c r="AU27" s="6"/>
      <c r="AZ27" s="1"/>
      <c r="BA27" s="1"/>
      <c r="BB27" s="1"/>
      <c r="BC27" s="1"/>
      <c r="BD27" s="1"/>
      <c r="BE27" s="12"/>
      <c r="BG27" s="1"/>
      <c r="BI27" s="1"/>
      <c r="BJ27" s="1"/>
      <c r="BK27" s="1"/>
      <c r="BL27" s="1"/>
      <c r="BM27" s="1"/>
      <c r="BN27" s="1"/>
      <c r="BO27" s="1"/>
      <c r="BP27" s="1"/>
      <c r="BQ27" s="1"/>
      <c r="BR27" s="1"/>
      <c r="BS27" s="1"/>
      <c r="BT27" s="1"/>
      <c r="BU27" s="1"/>
      <c r="BV27" s="1"/>
      <c r="BY27" s="12"/>
      <c r="BZ27" s="12"/>
      <c r="CA27" s="425"/>
    </row>
    <row r="28" spans="1:96" ht="14.85" customHeight="1">
      <c r="B28" s="692" t="str">
        <f>'Translate&amp;Prices&amp;Logo'!$B$177</f>
        <v xml:space="preserve">Šířka </v>
      </c>
      <c r="C28" s="692"/>
      <c r="D28" s="286"/>
      <c r="E28" s="695"/>
      <c r="F28" s="680"/>
      <c r="G28" s="696"/>
      <c r="H28" s="284"/>
      <c r="I28" s="695"/>
      <c r="J28" s="680"/>
      <c r="K28" s="696"/>
      <c r="L28" s="284"/>
      <c r="M28" s="695"/>
      <c r="N28" s="680"/>
      <c r="O28" s="696"/>
      <c r="S28" s="688" t="str">
        <f>'Translate&amp;Prices&amp;Logo'!$B$323</f>
        <v>Horní vedení délka 2 m (87313)</v>
      </c>
      <c r="T28" s="688"/>
      <c r="U28" s="688"/>
      <c r="V28" s="688"/>
      <c r="W28" s="688"/>
      <c r="X28" s="688"/>
      <c r="Y28" s="688"/>
      <c r="Z28" s="688"/>
      <c r="AA28" s="688"/>
      <c r="AB28" s="36"/>
      <c r="AC28" s="689">
        <f>IF(AG28&gt;0,AG28,AK29)</f>
        <v>0</v>
      </c>
      <c r="AD28" s="689"/>
      <c r="AE28" s="689"/>
      <c r="AF28" s="233" t="s">
        <v>1218</v>
      </c>
      <c r="AG28" s="680"/>
      <c r="AH28" s="680"/>
      <c r="AI28" s="680"/>
      <c r="AJ28" s="680"/>
      <c r="AK28" s="36"/>
      <c r="AL28" s="257">
        <f>AC28*AP28*(1-$I$15/100)</f>
        <v>0</v>
      </c>
      <c r="AM28" s="253" t="str">
        <f>VLOOKUP('Translate&amp;Prices&amp;Logo'!$D$1,kombinace_1!$EV$1:$EW$6,2,0)</f>
        <v>Kč</v>
      </c>
      <c r="AP28" s="292">
        <f>IF('Translate&amp;Prices&amp;Logo'!$D$1=1,AQ28,
IF(OR('Translate&amp;Prices&amp;Logo'!$D$1=2,'Translate&amp;Prices&amp;Logo'!$D$1=5,'Translate&amp;Prices&amp;Logo'!$D$1=6),AR28,
IF('Translate&amp;Prices&amp;Logo'!$D$1=3,AS28,AT28)))</f>
        <v>279.55200000000002</v>
      </c>
      <c r="AQ28" s="293">
        <v>279.55200000000002</v>
      </c>
      <c r="AR28" s="294">
        <v>17.28059</v>
      </c>
      <c r="AS28" s="294">
        <v>92.683340000000001</v>
      </c>
      <c r="AT28" s="294">
        <v>3381.6774300000002</v>
      </c>
      <c r="AU28" s="6">
        <v>87313</v>
      </c>
      <c r="AZ28" s="1"/>
      <c r="BA28" s="1"/>
      <c r="BB28" s="1"/>
      <c r="BC28" s="1"/>
      <c r="BD28" s="12"/>
      <c r="BE28" s="12"/>
      <c r="BG28" s="1"/>
      <c r="BI28" s="1"/>
      <c r="BJ28" s="1"/>
      <c r="BK28" s="1"/>
      <c r="BL28" s="1"/>
      <c r="BM28" s="1"/>
      <c r="BN28" s="1"/>
      <c r="BO28" s="1"/>
      <c r="BP28" s="1"/>
      <c r="BQ28" s="1"/>
      <c r="BR28" s="1"/>
      <c r="BS28" s="1"/>
      <c r="BT28" s="1"/>
      <c r="BU28" s="1"/>
      <c r="BV28" s="1"/>
      <c r="BY28" s="12"/>
      <c r="BZ28" s="12"/>
      <c r="CA28" s="425"/>
    </row>
    <row r="29" spans="1:96" ht="14.85" customHeight="1">
      <c r="B29" s="14"/>
      <c r="C29" s="14"/>
      <c r="D29" s="285"/>
      <c r="E29" s="231"/>
      <c r="F29" s="29"/>
      <c r="G29" s="232"/>
      <c r="H29" s="29"/>
      <c r="I29" s="231"/>
      <c r="J29" s="29"/>
      <c r="K29" s="232"/>
      <c r="L29" s="29"/>
      <c r="M29" s="231"/>
      <c r="N29" s="29"/>
      <c r="O29" s="232"/>
      <c r="S29" s="55"/>
      <c r="T29" s="55"/>
      <c r="U29" s="55"/>
      <c r="V29" s="55"/>
      <c r="W29" s="55"/>
      <c r="X29" s="55"/>
      <c r="Y29" s="55"/>
      <c r="Z29" s="55"/>
      <c r="AA29" s="55"/>
      <c r="AC29" s="29"/>
      <c r="AD29" s="29"/>
      <c r="AE29" s="29"/>
      <c r="AF29" s="29"/>
      <c r="AG29" s="29"/>
      <c r="AH29" s="29"/>
      <c r="AI29" s="29"/>
      <c r="AJ29" s="29"/>
      <c r="AK29" s="30">
        <f>SUM(AC45,AE45)</f>
        <v>0</v>
      </c>
      <c r="AP29" s="295"/>
      <c r="AQ29" s="293"/>
      <c r="AR29" s="294"/>
      <c r="AS29" s="294"/>
      <c r="AT29" s="294"/>
      <c r="AU29" s="6"/>
      <c r="AZ29" s="1"/>
      <c r="BA29" s="1"/>
      <c r="BB29" s="394"/>
      <c r="BC29" s="1"/>
      <c r="BD29" s="1"/>
      <c r="BE29" s="12"/>
      <c r="BF29" s="12"/>
      <c r="BG29" s="1"/>
      <c r="BH29" s="1"/>
      <c r="BI29" s="1"/>
      <c r="BJ29" s="1"/>
      <c r="BK29" s="1"/>
      <c r="BL29" s="1"/>
      <c r="BN29" s="1"/>
      <c r="BO29" s="1"/>
      <c r="BP29" s="1"/>
      <c r="BQ29" s="1"/>
      <c r="BR29" s="1"/>
      <c r="BS29" s="1"/>
      <c r="BU29" s="1"/>
    </row>
    <row r="30" spans="1:96" ht="15">
      <c r="B30" s="692" t="str">
        <f>'Translate&amp;Prices&amp;Logo'!$B$176</f>
        <v>Počet kusů</v>
      </c>
      <c r="C30" s="692"/>
      <c r="D30" s="286"/>
      <c r="E30" s="695"/>
      <c r="F30" s="680"/>
      <c r="G30" s="696"/>
      <c r="H30" s="284"/>
      <c r="I30" s="695"/>
      <c r="J30" s="680"/>
      <c r="K30" s="696"/>
      <c r="L30" s="284"/>
      <c r="M30" s="695"/>
      <c r="N30" s="680"/>
      <c r="O30" s="696"/>
      <c r="S30" s="688" t="str">
        <f>'Translate&amp;Prices&amp;Logo'!$B$324</f>
        <v>Dolní vedení délka 2 m (87315)</v>
      </c>
      <c r="T30" s="688"/>
      <c r="U30" s="688"/>
      <c r="V30" s="688"/>
      <c r="W30" s="688"/>
      <c r="X30" s="688"/>
      <c r="Y30" s="688"/>
      <c r="Z30" s="688"/>
      <c r="AA30" s="688"/>
      <c r="AB30" s="36"/>
      <c r="AC30" s="689">
        <f>IF(AG30&gt;0,AG30,AK31)</f>
        <v>0</v>
      </c>
      <c r="AD30" s="689"/>
      <c r="AE30" s="689"/>
      <c r="AF30" s="233" t="s">
        <v>1218</v>
      </c>
      <c r="AG30" s="680"/>
      <c r="AH30" s="680"/>
      <c r="AI30" s="680"/>
      <c r="AJ30" s="680"/>
      <c r="AK30" s="36"/>
      <c r="AL30" s="257">
        <f>AC30*AP30*(1-$I$15/100)</f>
        <v>0</v>
      </c>
      <c r="AM30" s="253" t="str">
        <f>VLOOKUP('Translate&amp;Prices&amp;Logo'!$D$1,kombinace_1!$EV$1:$EW$6,2,0)</f>
        <v>Kč</v>
      </c>
      <c r="AP30" s="292">
        <f>IF('Translate&amp;Prices&amp;Logo'!$D$1=1,AQ30,
IF(OR('Translate&amp;Prices&amp;Logo'!$D$1=2,'Translate&amp;Prices&amp;Logo'!$D$1=5,'Translate&amp;Prices&amp;Logo'!$D$1=6),AR30,
IF('Translate&amp;Prices&amp;Logo'!$D$1=3,AS30,AT30)))</f>
        <v>142.92941999999999</v>
      </c>
      <c r="AQ30" s="293">
        <v>142.92941999999999</v>
      </c>
      <c r="AR30" s="294">
        <v>5.4532600000000002</v>
      </c>
      <c r="AS30" s="294">
        <v>27.304449999999999</v>
      </c>
      <c r="AT30" s="294">
        <v>2631.0918900000001</v>
      </c>
      <c r="AU30" s="6">
        <v>87315</v>
      </c>
      <c r="AZ30" s="1"/>
      <c r="BA30" s="1"/>
      <c r="BB30" s="394"/>
      <c r="BC30" s="1"/>
      <c r="BD30" s="1"/>
      <c r="BE30" s="12"/>
      <c r="BF30" s="12"/>
      <c r="BG30" s="1"/>
      <c r="BH30" s="1"/>
      <c r="BI30" s="1"/>
      <c r="BJ30" s="1"/>
      <c r="BK30" s="1"/>
      <c r="BL30" s="1"/>
      <c r="BM30" s="1"/>
      <c r="BN30" s="1"/>
      <c r="BO30" s="1"/>
      <c r="BP30" s="1"/>
      <c r="BQ30" s="1"/>
      <c r="BR30" s="1"/>
      <c r="BS30" s="1"/>
      <c r="BT30" s="419"/>
      <c r="BU30" s="419"/>
      <c r="BV30" s="419"/>
    </row>
    <row r="31" spans="1:96" ht="14.85" customHeight="1">
      <c r="B31" s="14"/>
      <c r="C31" s="14"/>
      <c r="D31" s="285"/>
      <c r="E31" s="231"/>
      <c r="F31" s="29"/>
      <c r="G31" s="232"/>
      <c r="H31" s="29"/>
      <c r="I31" s="231"/>
      <c r="J31" s="29"/>
      <c r="K31" s="232"/>
      <c r="L31" s="29"/>
      <c r="M31" s="231"/>
      <c r="N31" s="29"/>
      <c r="O31" s="232"/>
      <c r="S31" s="55"/>
      <c r="T31" s="55"/>
      <c r="U31" s="55"/>
      <c r="V31" s="55"/>
      <c r="W31" s="55"/>
      <c r="X31" s="55"/>
      <c r="Y31" s="55"/>
      <c r="Z31" s="55"/>
      <c r="AA31" s="55"/>
      <c r="AC31" s="29"/>
      <c r="AD31" s="29">
        <v>0</v>
      </c>
      <c r="AE31" s="29"/>
      <c r="AF31" s="29"/>
      <c r="AG31" s="29"/>
      <c r="AH31" s="29"/>
      <c r="AI31" s="29"/>
      <c r="AJ31" s="29"/>
      <c r="AK31" s="30">
        <f>SUM(AC45,AE45)</f>
        <v>0</v>
      </c>
      <c r="AP31" s="295"/>
      <c r="AU31" s="6"/>
      <c r="AY31" s="1"/>
      <c r="AZ31" s="1"/>
      <c r="BA31" s="1"/>
      <c r="BB31" s="1"/>
      <c r="BC31" s="1"/>
      <c r="BD31" s="1"/>
      <c r="BE31" s="12"/>
      <c r="BF31" s="12"/>
      <c r="BG31" s="1"/>
      <c r="BH31" s="1"/>
      <c r="BI31" s="1"/>
      <c r="BJ31" s="1"/>
      <c r="BK31" s="1"/>
      <c r="BL31" s="1"/>
      <c r="BM31" s="1"/>
      <c r="BN31" s="1"/>
      <c r="BO31" s="451"/>
      <c r="BP31" s="1"/>
      <c r="BQ31" s="1"/>
      <c r="BR31" s="1"/>
      <c r="BS31" s="1"/>
      <c r="BT31" s="1"/>
    </row>
    <row r="32" spans="1:96" ht="14.85" customHeight="1">
      <c r="B32" s="692" t="str">
        <f>'Translate&amp;Prices&amp;Logo'!$B$179</f>
        <v>Poznámky</v>
      </c>
      <c r="C32" s="692"/>
      <c r="D32" s="286"/>
      <c r="E32" s="693"/>
      <c r="F32" s="598"/>
      <c r="G32" s="694"/>
      <c r="H32" s="284"/>
      <c r="I32" s="693"/>
      <c r="J32" s="598"/>
      <c r="K32" s="694"/>
      <c r="L32" s="284"/>
      <c r="M32" s="693"/>
      <c r="N32" s="598"/>
      <c r="O32" s="694"/>
      <c r="S32" s="688" t="str">
        <f>'Translate&amp;Prices&amp;Logo'!$B$325</f>
        <v>Horní vedení délka 3 m (87312)</v>
      </c>
      <c r="T32" s="688"/>
      <c r="U32" s="688"/>
      <c r="V32" s="688"/>
      <c r="W32" s="688"/>
      <c r="X32" s="688"/>
      <c r="Y32" s="688"/>
      <c r="Z32" s="688"/>
      <c r="AA32" s="688"/>
      <c r="AB32" s="36"/>
      <c r="AC32" s="689">
        <f>IF(AG32&gt;0,AG32,AK33)</f>
        <v>0</v>
      </c>
      <c r="AD32" s="689"/>
      <c r="AE32" s="689"/>
      <c r="AF32" s="233" t="s">
        <v>1218</v>
      </c>
      <c r="AG32" s="680"/>
      <c r="AH32" s="680"/>
      <c r="AI32" s="680"/>
      <c r="AJ32" s="680"/>
      <c r="AK32" s="36"/>
      <c r="AL32" s="257">
        <f>AC32*AP32*(1-$I$15/100)</f>
        <v>0</v>
      </c>
      <c r="AM32" s="253" t="str">
        <f>VLOOKUP('Translate&amp;Prices&amp;Logo'!$D$1,kombinace_1!$EV$1:$EW$6,2,0)</f>
        <v>Kč</v>
      </c>
      <c r="AP32" s="292">
        <f>IF('Translate&amp;Prices&amp;Logo'!$D$1=1,AQ32,
IF(OR('Translate&amp;Prices&amp;Logo'!$D$1=2,'Translate&amp;Prices&amp;Logo'!$D$1=5,'Translate&amp;Prices&amp;Logo'!$D$1=6),AR32,
IF('Translate&amp;Prices&amp;Logo'!$D$1=3,AS32,AT32)))</f>
        <v>419.32799999999997</v>
      </c>
      <c r="AQ32" s="293">
        <v>419.32799999999997</v>
      </c>
      <c r="AR32" s="294">
        <v>25.920940000000002</v>
      </c>
      <c r="AS32" s="294">
        <v>139.24695</v>
      </c>
      <c r="AT32" s="294">
        <v>5072.51613</v>
      </c>
      <c r="AU32" s="6">
        <v>87312</v>
      </c>
      <c r="AY32" s="1"/>
      <c r="AZ32" s="1"/>
      <c r="BA32" s="1"/>
      <c r="BB32" s="1"/>
      <c r="BC32" s="1"/>
      <c r="BD32" s="1"/>
      <c r="BE32" s="12"/>
      <c r="BF32" s="12"/>
      <c r="BG32" s="1"/>
      <c r="BH32" s="1"/>
      <c r="BI32" s="1"/>
      <c r="BJ32" s="1"/>
      <c r="BK32" s="1"/>
      <c r="BL32" s="1"/>
      <c r="BM32" s="1"/>
      <c r="BN32" s="1"/>
      <c r="BO32" s="451"/>
      <c r="BP32" s="1"/>
      <c r="BQ32" s="1"/>
      <c r="BR32" s="1"/>
      <c r="BS32" s="1"/>
      <c r="BT32" s="1"/>
    </row>
    <row r="33" spans="2:74" ht="14.85" customHeight="1">
      <c r="B33" s="14"/>
      <c r="C33" s="14"/>
      <c r="D33" s="285"/>
      <c r="E33" s="695"/>
      <c r="F33" s="680"/>
      <c r="G33" s="696"/>
      <c r="H33" s="29"/>
      <c r="I33" s="695"/>
      <c r="J33" s="680"/>
      <c r="K33" s="696"/>
      <c r="L33" s="29"/>
      <c r="M33" s="695"/>
      <c r="N33" s="680"/>
      <c r="O33" s="696"/>
      <c r="S33" s="55"/>
      <c r="T33" s="55"/>
      <c r="U33" s="55"/>
      <c r="V33" s="55"/>
      <c r="W33" s="55"/>
      <c r="X33" s="55"/>
      <c r="Y33" s="55"/>
      <c r="Z33" s="55"/>
      <c r="AA33" s="55"/>
      <c r="AC33" s="29"/>
      <c r="AD33" s="29"/>
      <c r="AE33" s="29"/>
      <c r="AF33" s="29"/>
      <c r="AG33" s="29"/>
      <c r="AH33" s="29"/>
      <c r="AI33" s="29"/>
      <c r="AJ33" s="29"/>
      <c r="AK33" s="30">
        <f>SUM(AD45,AF45)</f>
        <v>0</v>
      </c>
      <c r="AQ33" s="291"/>
      <c r="AR33" s="291"/>
      <c r="AS33" s="291"/>
      <c r="AT33" s="291"/>
      <c r="AU33" s="6"/>
      <c r="AY33" s="1"/>
      <c r="AZ33" s="1"/>
      <c r="BA33" s="1"/>
      <c r="BC33" s="1"/>
      <c r="BD33" s="1"/>
      <c r="BE33" s="12"/>
      <c r="BF33" s="1"/>
      <c r="BG33" s="1"/>
      <c r="BH33" s="1"/>
      <c r="BI33" s="1"/>
      <c r="BJ33" s="1"/>
      <c r="BK33" s="1"/>
      <c r="BL33" s="1"/>
      <c r="BM33" s="1"/>
      <c r="BN33" s="1"/>
      <c r="BO33" s="451"/>
      <c r="BP33" s="1"/>
      <c r="BQ33" s="1"/>
      <c r="BR33" s="1"/>
      <c r="BS33" s="1"/>
      <c r="BT33" s="1"/>
    </row>
    <row r="34" spans="2:74" ht="14.85" customHeight="1">
      <c r="B34" s="14"/>
      <c r="C34" s="14"/>
      <c r="D34" s="285"/>
      <c r="E34" s="231"/>
      <c r="F34" s="29"/>
      <c r="G34" s="232"/>
      <c r="H34" s="29"/>
      <c r="I34" s="231"/>
      <c r="J34" s="29"/>
      <c r="K34" s="232"/>
      <c r="L34" s="29"/>
      <c r="M34" s="231"/>
      <c r="N34" s="29"/>
      <c r="O34" s="232"/>
      <c r="S34" s="688" t="str">
        <f>'Translate&amp;Prices&amp;Logo'!$B$326</f>
        <v>Dolní vedení délka 3 m (87314)</v>
      </c>
      <c r="T34" s="688"/>
      <c r="U34" s="688"/>
      <c r="V34" s="688"/>
      <c r="W34" s="688"/>
      <c r="X34" s="688"/>
      <c r="Y34" s="688"/>
      <c r="Z34" s="688"/>
      <c r="AA34" s="688"/>
      <c r="AB34" s="36"/>
      <c r="AC34" s="689">
        <f>IF(AG34&gt;0,AG34,AK35)</f>
        <v>0</v>
      </c>
      <c r="AD34" s="689"/>
      <c r="AE34" s="689"/>
      <c r="AF34" s="233" t="s">
        <v>1218</v>
      </c>
      <c r="AG34" s="680"/>
      <c r="AH34" s="680"/>
      <c r="AI34" s="680"/>
      <c r="AJ34" s="680"/>
      <c r="AK34" s="36"/>
      <c r="AL34" s="257">
        <f>AC34*AP34*(1-$I$15/100)</f>
        <v>0</v>
      </c>
      <c r="AM34" s="253" t="str">
        <f>VLOOKUP('Translate&amp;Prices&amp;Logo'!$D$1,kombinace_1!$EV$1:$EW$6,2,0)</f>
        <v>Kč</v>
      </c>
      <c r="AP34" s="292">
        <f>IF('Translate&amp;Prices&amp;Logo'!$D$1=1,AQ34,
IF(OR('Translate&amp;Prices&amp;Logo'!$D$1=2,'Translate&amp;Prices&amp;Logo'!$D$1=5,'Translate&amp;Prices&amp;Logo'!$D$1=6),AR34,
IF('Translate&amp;Prices&amp;Logo'!$D$1=3,AS34,AT34)))</f>
        <v>214.39205000000001</v>
      </c>
      <c r="AQ34" s="293">
        <v>214.39205000000001</v>
      </c>
      <c r="AR34" s="294">
        <v>8.1798099999999998</v>
      </c>
      <c r="AS34" s="294">
        <v>40.95628</v>
      </c>
      <c r="AT34" s="294">
        <v>3946.5994300000002</v>
      </c>
      <c r="AU34" s="6">
        <v>87314</v>
      </c>
      <c r="AY34" s="1"/>
      <c r="AZ34" s="1"/>
      <c r="BA34" s="1"/>
      <c r="BB34" s="1"/>
      <c r="BC34" s="1"/>
      <c r="BD34" s="1"/>
      <c r="BE34" s="12"/>
      <c r="BF34" s="12"/>
      <c r="BG34" s="1"/>
      <c r="BH34" s="1"/>
      <c r="BI34" s="1"/>
      <c r="BJ34" s="1"/>
      <c r="BK34" s="1"/>
      <c r="BL34" s="1"/>
      <c r="BM34" s="1"/>
      <c r="BN34" s="1"/>
      <c r="BO34" s="451"/>
      <c r="BP34" s="1"/>
      <c r="BT34" s="1"/>
    </row>
    <row r="35" spans="2:74" ht="14.85" customHeight="1">
      <c r="B35" s="692" t="str">
        <f>'Translate&amp;Prices&amp;Logo'!$B$174</f>
        <v>Typ profilu</v>
      </c>
      <c r="C35" s="692"/>
      <c r="D35" s="286"/>
      <c r="E35" s="698"/>
      <c r="F35" s="699"/>
      <c r="G35" s="700"/>
      <c r="H35" s="284"/>
      <c r="I35" s="698"/>
      <c r="J35" s="699"/>
      <c r="K35" s="700"/>
      <c r="L35" s="284"/>
      <c r="M35" s="698"/>
      <c r="N35" s="699"/>
      <c r="O35" s="700"/>
      <c r="AD35" s="1"/>
      <c r="AE35" s="1"/>
      <c r="AK35" s="30">
        <f>SUM(AD45,AF45)</f>
        <v>0</v>
      </c>
      <c r="AQ35" s="291"/>
      <c r="AR35" s="291"/>
      <c r="AS35" s="291"/>
      <c r="AT35" s="291"/>
      <c r="AY35" s="1"/>
      <c r="AZ35" s="1"/>
      <c r="BA35" s="1"/>
      <c r="BB35" s="1"/>
      <c r="BC35" s="1"/>
      <c r="BD35" s="1"/>
      <c r="BE35" s="12"/>
      <c r="BF35" s="12"/>
      <c r="BG35" s="1"/>
      <c r="BH35" s="1"/>
      <c r="BI35" s="1"/>
      <c r="BJ35" s="1"/>
      <c r="BK35" s="1"/>
      <c r="BL35" s="1"/>
      <c r="BM35" s="1"/>
      <c r="BN35" s="1"/>
      <c r="BO35" s="451"/>
      <c r="BP35" s="1"/>
      <c r="BQ35" s="1"/>
      <c r="BR35" s="1"/>
      <c r="BS35" s="1"/>
      <c r="BT35" s="1"/>
    </row>
    <row r="36" spans="2:74" ht="28.9" customHeight="1">
      <c r="B36" s="14"/>
      <c r="C36" s="14"/>
      <c r="D36" s="285"/>
      <c r="E36" s="698"/>
      <c r="F36" s="699"/>
      <c r="G36" s="700"/>
      <c r="H36" s="29"/>
      <c r="I36" s="698"/>
      <c r="J36" s="699"/>
      <c r="K36" s="700"/>
      <c r="L36" s="29"/>
      <c r="M36" s="698"/>
      <c r="N36" s="699"/>
      <c r="O36" s="700"/>
      <c r="AD36" s="1"/>
      <c r="AE36" s="1"/>
      <c r="AK36" s="30"/>
      <c r="AY36" s="1"/>
      <c r="AZ36" s="1"/>
      <c r="BA36" s="1"/>
      <c r="BB36" s="1"/>
      <c r="BC36" s="1"/>
      <c r="BD36" s="1"/>
      <c r="BE36" s="12"/>
      <c r="BF36" s="12"/>
      <c r="BG36" s="1"/>
      <c r="BH36" s="1"/>
      <c r="BI36" s="1"/>
      <c r="BJ36" s="1"/>
      <c r="BK36" s="1"/>
      <c r="BL36" s="1"/>
      <c r="BM36" s="1"/>
      <c r="BN36" s="1"/>
      <c r="BO36" s="451"/>
      <c r="BP36" s="1"/>
      <c r="BQ36" s="1"/>
      <c r="BR36" s="1"/>
      <c r="BS36" s="1"/>
      <c r="BT36" s="1"/>
    </row>
    <row r="37" spans="2:74" ht="14.85" customHeight="1">
      <c r="B37" s="14"/>
      <c r="C37" s="14"/>
      <c r="D37" s="285"/>
      <c r="E37" s="698"/>
      <c r="F37" s="699"/>
      <c r="G37" s="700"/>
      <c r="H37" s="29"/>
      <c r="I37" s="698"/>
      <c r="J37" s="699"/>
      <c r="K37" s="700"/>
      <c r="L37" s="29"/>
      <c r="M37" s="698"/>
      <c r="N37" s="699"/>
      <c r="O37" s="700"/>
      <c r="S37" s="681" t="str">
        <f>IF(AND(Hlavní!V39=3,I17="Dostawa na adres"),"Koszt transportu","")</f>
        <v/>
      </c>
      <c r="T37" s="681"/>
      <c r="U37" s="681"/>
      <c r="V37" s="30"/>
      <c r="W37" s="682" t="b">
        <f>IF(AND(Hlavní!V39=3,I17="Dostawa na adres"),IF('Doprava Posun'!AH29=1,'Doprava Posun'!Z62,IF('Doprava Posun'!AH29=2,'Doprava Posun'!W89,'kalkulace dopravy'!X2)))</f>
        <v>0</v>
      </c>
      <c r="X37" s="682"/>
      <c r="Y37" s="682"/>
      <c r="Z37" s="682"/>
      <c r="AA37" s="297" t="str">
        <f>VLOOKUP('Translate&amp;Prices&amp;Logo'!$D$1,kombinace_1!$EV$1:$EW$5,2,0)</f>
        <v>Kč</v>
      </c>
      <c r="AC37" s="254" t="str">
        <f>'Translate&amp;Prices&amp;Logo'!$B$695</f>
        <v>Cena kování</v>
      </c>
      <c r="AD37" s="254"/>
      <c r="AE37" s="254"/>
      <c r="AF37" s="254"/>
      <c r="AG37" s="254"/>
      <c r="AH37" s="254"/>
      <c r="AI37" s="254"/>
      <c r="AJ37" s="254"/>
      <c r="AK37" s="36"/>
      <c r="AL37" s="257">
        <f>SUM(AL24,AL26,AL28,AL30,AL32,AL34)</f>
        <v>0</v>
      </c>
      <c r="AM37" s="253" t="str">
        <f>VLOOKUP('Translate&amp;Prices&amp;Logo'!$D$1,kombinace_1!$EV$1:$EW$6,2,0)</f>
        <v>Kč</v>
      </c>
      <c r="AP37" s="6">
        <f>IF(OR($W$37='kalkulace dopravy'!$X$2,$W$37='kalkulace dopravy'!$X$3,$W$37='kalkulace dopravy'!$X$4),1,2)</f>
        <v>2</v>
      </c>
      <c r="AY37" s="1"/>
      <c r="AZ37" s="1"/>
      <c r="BA37" s="1"/>
      <c r="BB37" s="1"/>
      <c r="BC37" s="1"/>
      <c r="BD37" s="1"/>
      <c r="BE37" s="12"/>
      <c r="BF37" s="12"/>
      <c r="BG37" s="1"/>
      <c r="BH37" s="1"/>
      <c r="BI37" s="1"/>
      <c r="BJ37" s="1"/>
      <c r="BK37" s="1"/>
      <c r="BL37" s="1"/>
      <c r="BM37" s="1"/>
      <c r="BN37" s="1"/>
      <c r="BO37" s="451"/>
      <c r="BP37" s="1"/>
      <c r="BQ37" s="419"/>
      <c r="BR37" s="419"/>
      <c r="BS37" s="419"/>
      <c r="BT37" s="1"/>
    </row>
    <row r="38" spans="2:74" ht="14.85" customHeight="1">
      <c r="B38" s="14"/>
      <c r="C38" s="14"/>
      <c r="D38" s="285"/>
      <c r="E38" s="231"/>
      <c r="F38" s="29"/>
      <c r="G38" s="232"/>
      <c r="H38" s="29"/>
      <c r="I38" s="231"/>
      <c r="J38" s="29"/>
      <c r="K38" s="232"/>
      <c r="L38" s="29"/>
      <c r="M38" s="231"/>
      <c r="N38" s="29"/>
      <c r="O38" s="232"/>
      <c r="AD38" s="1"/>
      <c r="AY38" s="1"/>
      <c r="AZ38" s="1"/>
      <c r="BA38" s="1"/>
      <c r="BB38" s="1"/>
      <c r="BC38" s="1"/>
      <c r="BD38" s="1"/>
      <c r="BE38" s="12"/>
      <c r="BF38" s="12"/>
      <c r="BG38" s="1"/>
      <c r="BH38" s="1"/>
      <c r="BI38" s="1"/>
      <c r="BJ38" s="1"/>
      <c r="BK38" s="1"/>
      <c r="BL38" s="1"/>
      <c r="BM38" s="1"/>
      <c r="BN38" s="1"/>
      <c r="BO38" s="452"/>
      <c r="BP38" s="1"/>
      <c r="BQ38" s="1"/>
      <c r="BR38" s="1"/>
      <c r="BS38" s="1"/>
      <c r="BT38" s="1"/>
    </row>
    <row r="39" spans="2:74" ht="14.85" customHeight="1">
      <c r="B39" s="692" t="str">
        <f>'Translate&amp;Prices&amp;Logo'!$B$627</f>
        <v>Typ skla/síťky</v>
      </c>
      <c r="C39" s="692"/>
      <c r="D39" s="286"/>
      <c r="E39" s="698"/>
      <c r="F39" s="699"/>
      <c r="G39" s="700"/>
      <c r="H39" s="284"/>
      <c r="I39" s="698"/>
      <c r="J39" s="699"/>
      <c r="K39" s="700"/>
      <c r="L39" s="284"/>
      <c r="M39" s="698"/>
      <c r="N39" s="699"/>
      <c r="O39" s="700"/>
      <c r="S39" s="697">
        <f>IF(ISTEXT(W37)=TRUE,VLOOKUP(W37,'kalkulace dopravy'!X2:Y4,2,0),0)</f>
        <v>0</v>
      </c>
      <c r="T39" s="697"/>
      <c r="U39" s="697"/>
      <c r="V39" s="697"/>
      <c r="W39" s="697"/>
      <c r="X39" s="697"/>
      <c r="Y39" s="697"/>
      <c r="Z39" s="697"/>
      <c r="AA39" s="697"/>
      <c r="AC39" s="690" t="str">
        <f>'Translate&amp;Prices&amp;Logo'!$B$182</f>
        <v>Cena za kompletní objednávku</v>
      </c>
      <c r="AD39" s="690"/>
      <c r="AE39" s="690"/>
      <c r="AF39" s="690"/>
      <c r="AG39" s="690"/>
      <c r="AH39" s="690"/>
      <c r="AI39" s="690"/>
      <c r="AJ39" s="691"/>
      <c r="AK39" s="36"/>
      <c r="AL39" s="257">
        <f>IF(AQ13=TRUE,SUM(E48,I48,M48,AL37,W37),SUM(E48,I48,M48,W37))</f>
        <v>0</v>
      </c>
      <c r="AM39" s="261" t="str">
        <f>VLOOKUP('Translate&amp;Prices&amp;Logo'!D1,kombinace_1!$EV$1:$EW$6,2,0)</f>
        <v>Kč</v>
      </c>
      <c r="AY39" s="1"/>
      <c r="AZ39" s="1"/>
      <c r="BA39" s="1"/>
      <c r="BB39" s="1"/>
      <c r="BC39" s="1"/>
      <c r="BD39" s="1"/>
      <c r="BE39" s="12"/>
      <c r="BF39" s="12"/>
      <c r="BG39" s="1"/>
      <c r="BH39" s="1"/>
      <c r="BI39" s="1"/>
      <c r="BJ39" s="1"/>
      <c r="BK39" s="1"/>
      <c r="BL39" s="1"/>
      <c r="BM39" s="1"/>
      <c r="BN39" s="1"/>
      <c r="BO39" s="452"/>
      <c r="BP39" s="1"/>
      <c r="BQ39" s="1"/>
      <c r="BR39" s="1"/>
      <c r="BS39" s="1"/>
    </row>
    <row r="40" spans="2:74" ht="15.75" customHeight="1" thickBot="1">
      <c r="E40" s="701"/>
      <c r="F40" s="702"/>
      <c r="G40" s="703"/>
      <c r="H40" s="29"/>
      <c r="I40" s="701"/>
      <c r="J40" s="702"/>
      <c r="K40" s="703"/>
      <c r="L40" s="29"/>
      <c r="M40" s="701"/>
      <c r="N40" s="702"/>
      <c r="O40" s="703"/>
      <c r="S40" s="697"/>
      <c r="T40" s="697"/>
      <c r="U40" s="697"/>
      <c r="V40" s="697"/>
      <c r="W40" s="697"/>
      <c r="X40" s="697"/>
      <c r="Y40" s="697"/>
      <c r="Z40" s="697"/>
      <c r="AA40" s="697"/>
      <c r="AB40" s="12"/>
      <c r="AD40" s="43"/>
      <c r="AE40" s="1"/>
      <c r="BO40" s="452"/>
    </row>
    <row r="41" spans="2:74" ht="15.75" hidden="1" customHeight="1" thickBot="1">
      <c r="D41" s="31" t="s">
        <v>1217</v>
      </c>
      <c r="E41" s="31" t="e">
        <f>VLOOKUP(E35,kombinace_1!A:C,3,0)</f>
        <v>#N/A</v>
      </c>
      <c r="F41" s="31">
        <v>1</v>
      </c>
      <c r="G41" s="31" t="e">
        <f>CONCATENATE(D41,E41,F41)</f>
        <v>#N/A</v>
      </c>
      <c r="H41" s="31" t="s">
        <v>1217</v>
      </c>
      <c r="I41" s="31" t="e">
        <f>VLOOKUP(I35,kombinace_1!A:C,3,0)</f>
        <v>#N/A</v>
      </c>
      <c r="J41" s="31">
        <v>1</v>
      </c>
      <c r="K41" s="31" t="e">
        <f>CONCATENATE(H41,I41,J41)</f>
        <v>#N/A</v>
      </c>
      <c r="L41" s="31" t="s">
        <v>1217</v>
      </c>
      <c r="M41" s="31" t="e">
        <f>VLOOKUP(M35,kombinace_1!A:C,3,0)</f>
        <v>#N/A</v>
      </c>
      <c r="N41" s="31">
        <v>1</v>
      </c>
      <c r="O41" s="31" t="e">
        <f>CONCATENATE(L41,M41,N41)</f>
        <v>#N/A</v>
      </c>
      <c r="S41" s="697"/>
      <c r="T41" s="697"/>
      <c r="U41" s="697"/>
      <c r="V41" s="697"/>
      <c r="W41" s="697"/>
      <c r="X41" s="697"/>
      <c r="Y41" s="697"/>
      <c r="Z41" s="697"/>
      <c r="AA41" s="697"/>
      <c r="AB41" s="453"/>
      <c r="AC41" s="44" t="s">
        <v>457</v>
      </c>
      <c r="AD41" s="44" t="s">
        <v>458</v>
      </c>
      <c r="AE41" s="44" t="s">
        <v>459</v>
      </c>
      <c r="AF41" s="44" t="s">
        <v>3537</v>
      </c>
      <c r="AG41" s="31" t="s">
        <v>3538</v>
      </c>
      <c r="AH41" s="31"/>
      <c r="BO41" s="452"/>
    </row>
    <row r="42" spans="2:74" ht="15.75" hidden="1" customHeight="1" thickBot="1">
      <c r="C42" s="45" t="s">
        <v>454</v>
      </c>
      <c r="D42" s="46"/>
      <c r="E42" s="47" t="e">
        <f>VLOOKUP(E35,#REF!,2,0)</f>
        <v>#REF!</v>
      </c>
      <c r="F42" s="47"/>
      <c r="G42" s="47"/>
      <c r="H42" s="31"/>
      <c r="I42" s="47" t="e">
        <f>VLOOKUP(I35,#REF!,2,0)</f>
        <v>#REF!</v>
      </c>
      <c r="J42" s="47"/>
      <c r="K42" s="47"/>
      <c r="L42" s="31"/>
      <c r="M42" s="47" t="e">
        <f>VLOOKUP(M35,#REF!,2,0)</f>
        <v>#REF!</v>
      </c>
      <c r="N42" s="47"/>
      <c r="O42" s="48"/>
      <c r="S42" s="697"/>
      <c r="T42" s="697"/>
      <c r="U42" s="697"/>
      <c r="V42" s="697"/>
      <c r="W42" s="697"/>
      <c r="X42" s="697"/>
      <c r="Y42" s="697"/>
      <c r="Z42" s="697"/>
      <c r="AA42" s="697"/>
      <c r="AB42" s="454"/>
      <c r="AC42" s="31">
        <f>IF(E28=0,0,IF((E28*2)&lt;=2000,1,0))</f>
        <v>0</v>
      </c>
      <c r="AD42" s="31">
        <f>IF(E28=0,0,IF((E28*2)&lt;=2000,0,IF((E28*2)&gt;2000,IF((E28*2)&lt;=3000,1,0))))</f>
        <v>0</v>
      </c>
      <c r="AE42" s="31">
        <f>2*(IF(E28=0,0,IF(E28&lt;1501,0,IF(E28&gt;2000,0,IF(E28&lt;=2000,1,0)))))</f>
        <v>0</v>
      </c>
      <c r="AF42" s="31">
        <f>2*(IF(E28=0,0,IF(E28&lt;2001,0,IF(E28&gt;3000,0,IF(E28&lt;=3000,1,0)))))</f>
        <v>0</v>
      </c>
      <c r="AG42" s="31" t="e">
        <f>VLOOKUP(E35,U57:AJ112,16,0)</f>
        <v>#N/A</v>
      </c>
      <c r="AH42" s="31"/>
      <c r="BO42" s="452"/>
    </row>
    <row r="43" spans="2:74" ht="15.75" hidden="1" customHeight="1" thickBot="1">
      <c r="C43" s="1" t="s">
        <v>1219</v>
      </c>
      <c r="E43" s="1" t="e">
        <f>IF(E42=2,E30,0)</f>
        <v>#REF!</v>
      </c>
      <c r="I43" s="1">
        <f>IFERROR(IF(I42=2,I30,0),0)</f>
        <v>0</v>
      </c>
      <c r="M43" s="1">
        <f>IFERROR(IF(M42=2,M30,0),0)</f>
        <v>0</v>
      </c>
      <c r="O43" s="4" t="e">
        <f>SUM(E43,I43,M43)</f>
        <v>#REF!</v>
      </c>
      <c r="S43" s="697"/>
      <c r="T43" s="697"/>
      <c r="U43" s="697"/>
      <c r="V43" s="697"/>
      <c r="W43" s="697"/>
      <c r="X43" s="697"/>
      <c r="Y43" s="697"/>
      <c r="Z43" s="697"/>
      <c r="AA43" s="697"/>
      <c r="AB43" s="454"/>
      <c r="AC43" s="31">
        <f>IF(I28=0,0,IF((I28*2)&lt;=2000,1,0))</f>
        <v>0</v>
      </c>
      <c r="AD43" s="31">
        <f>IF(I28=0,0,IF((I28*2)&lt;=2000,0,IF((I28*2)&gt;2000,IF((I28*2)&lt;=3000,1,0))))</f>
        <v>0</v>
      </c>
      <c r="AE43" s="31">
        <f>2*(IF(I28=0,0,IF(I28&lt;1501,0,IF(I28&gt;2000,0,IF(I28&lt;=2000,1,0)))))</f>
        <v>0</v>
      </c>
      <c r="AF43" s="31">
        <f>2*(IF(I28=0,0,IF(I28&lt;2001,0,IF(I28&gt;3000,0,IF(I28&lt;=3000,1,0)))))</f>
        <v>0</v>
      </c>
      <c r="AG43" s="31" t="e">
        <f>VLOOKUP(I35,U57:AJ112,16,0)</f>
        <v>#N/A</v>
      </c>
      <c r="AH43" s="31"/>
      <c r="BO43" s="452"/>
    </row>
    <row r="44" spans="2:74" ht="15.75" hidden="1" customHeight="1" thickBot="1">
      <c r="C44" s="1" t="s">
        <v>1220</v>
      </c>
      <c r="E44" s="1" t="e">
        <f>IF(E42=1,E30,0)</f>
        <v>#REF!</v>
      </c>
      <c r="I44" s="1">
        <f>IFERROR(IF(I42=1,I30,0),0)</f>
        <v>0</v>
      </c>
      <c r="M44" s="1">
        <f>IFERROR(IF(M42=1,M30,0),0)</f>
        <v>0</v>
      </c>
      <c r="O44" s="5" t="e">
        <f>SUM(E44,I44,M44)</f>
        <v>#REF!</v>
      </c>
      <c r="S44" s="697"/>
      <c r="T44" s="697"/>
      <c r="U44" s="697"/>
      <c r="V44" s="697"/>
      <c r="W44" s="697"/>
      <c r="X44" s="697"/>
      <c r="Y44" s="697"/>
      <c r="Z44" s="697"/>
      <c r="AA44" s="697"/>
      <c r="AB44" s="454"/>
      <c r="AC44" s="31">
        <f>IF(M28=0,0,IF((M28*2)&lt;=2000,1,0))</f>
        <v>0</v>
      </c>
      <c r="AD44" s="31">
        <f>IF(M28=0,0,IF((M28*2)&lt;=2000,0,IF((M28*2)&gt;2000,IF((M28*2)&lt;=3000,1,0))))</f>
        <v>0</v>
      </c>
      <c r="AE44" s="31">
        <f>2*(IF(M28=0,0,IF(M28&lt;1501,0,IF(M28&gt;2000,0,IF(M28&lt;=2000,1,0)))))</f>
        <v>0</v>
      </c>
      <c r="AF44" s="31">
        <f>2*(IF(M28=0,0,IF(M28&lt;2001,0,IF(M28&gt;3000,0,IF(M28&lt;=3000,1,0)))))</f>
        <v>0</v>
      </c>
      <c r="AG44" s="31" t="e">
        <f>VLOOKUP(M35,U57:AJ112,16,0)</f>
        <v>#N/A</v>
      </c>
      <c r="AH44" s="31"/>
      <c r="BO44" s="452"/>
    </row>
    <row r="45" spans="2:74" ht="15.75" hidden="1" customHeight="1">
      <c r="S45" s="697"/>
      <c r="T45" s="697"/>
      <c r="U45" s="697"/>
      <c r="V45" s="697"/>
      <c r="W45" s="697"/>
      <c r="X45" s="697"/>
      <c r="Y45" s="697"/>
      <c r="Z45" s="697"/>
      <c r="AA45" s="697"/>
      <c r="AB45" s="453"/>
      <c r="AC45" s="31">
        <f>SUM(AC42:AC44)</f>
        <v>0</v>
      </c>
      <c r="AD45" s="31">
        <f>SUM(AD42:AD44)</f>
        <v>0</v>
      </c>
      <c r="AE45" s="31">
        <f>SUM(AE42:AE44)</f>
        <v>0</v>
      </c>
      <c r="AF45" s="31">
        <f>SUM(AF42:AF44)</f>
        <v>0</v>
      </c>
      <c r="AG45" s="31"/>
      <c r="AH45" s="31"/>
      <c r="BO45" s="452"/>
    </row>
    <row r="46" spans="2:74" ht="15.75" customHeight="1">
      <c r="S46" s="697"/>
      <c r="T46" s="697"/>
      <c r="U46" s="697"/>
      <c r="V46" s="697"/>
      <c r="W46" s="697"/>
      <c r="X46" s="697"/>
      <c r="Y46" s="697"/>
      <c r="Z46" s="697"/>
      <c r="AA46" s="697"/>
      <c r="AB46" s="453"/>
      <c r="AC46" s="31"/>
      <c r="AD46" s="31"/>
      <c r="AE46" s="31"/>
      <c r="AF46" s="31"/>
      <c r="AG46" s="31"/>
      <c r="AH46" s="31"/>
      <c r="BO46" s="452"/>
      <c r="BU46" s="1"/>
      <c r="BV46" s="1"/>
    </row>
    <row r="47" spans="2:74" ht="14.85" customHeight="1" thickBot="1">
      <c r="S47" s="697"/>
      <c r="T47" s="697"/>
      <c r="U47" s="697"/>
      <c r="V47" s="697"/>
      <c r="W47" s="697"/>
      <c r="X47" s="697"/>
      <c r="Y47" s="697"/>
      <c r="Z47" s="697"/>
      <c r="AA47" s="697"/>
      <c r="AB47" s="12"/>
      <c r="BO47" s="452"/>
    </row>
    <row r="48" spans="2:74" ht="14.85" customHeight="1" thickBot="1">
      <c r="B48" s="690" t="str">
        <f>'Translate&amp;Prices&amp;Logo'!$B$180</f>
        <v>Cena rámečků celkem</v>
      </c>
      <c r="C48" s="690"/>
      <c r="D48" s="286"/>
      <c r="E48" s="705">
        <f>SUM(E55:E56)*(1-(I15/100))</f>
        <v>0</v>
      </c>
      <c r="F48" s="706"/>
      <c r="G48" s="260" t="str">
        <f>VLOOKUP('Translate&amp;Prices&amp;Logo'!D1,kombinace_1!$EV$1:$EW$6,2,0)</f>
        <v>Kč</v>
      </c>
      <c r="H48" s="284"/>
      <c r="I48" s="705">
        <f>SUM(I55:I56)*(1-(I15/100))</f>
        <v>0</v>
      </c>
      <c r="J48" s="706"/>
      <c r="K48" s="260" t="str">
        <f>VLOOKUP('Translate&amp;Prices&amp;Logo'!D1,kombinace_1!$EV$1:$EW$6,2,0)</f>
        <v>Kč</v>
      </c>
      <c r="L48" s="284"/>
      <c r="M48" s="705">
        <f>SUM(M55:M56)*(1-(I15/100))</f>
        <v>0</v>
      </c>
      <c r="N48" s="706"/>
      <c r="O48" s="260" t="str">
        <f>VLOOKUP('Translate&amp;Prices&amp;Logo'!D1,kombinace_1!$EV$1:$EW$6,2,0)</f>
        <v>Kč</v>
      </c>
      <c r="S48" s="12"/>
      <c r="T48" s="12"/>
      <c r="U48" s="12"/>
      <c r="V48" s="12"/>
      <c r="W48" s="12"/>
      <c r="X48" s="12"/>
      <c r="Y48" s="12"/>
      <c r="Z48" s="12"/>
      <c r="AA48" s="12"/>
      <c r="AB48" s="12"/>
      <c r="BO48" s="452"/>
      <c r="BV48" s="1"/>
    </row>
    <row r="49" spans="3:77" ht="14.85" customHeight="1">
      <c r="O49" s="50"/>
      <c r="P49" s="50"/>
      <c r="Q49" s="50"/>
      <c r="R49" s="50"/>
      <c r="S49" s="455"/>
      <c r="T49" s="455"/>
      <c r="U49" s="455"/>
      <c r="V49" s="456"/>
      <c r="W49" s="12"/>
      <c r="X49" s="12"/>
      <c r="Y49" s="12"/>
      <c r="Z49" s="12"/>
      <c r="AA49" s="12"/>
      <c r="AB49" s="12"/>
      <c r="BO49" s="452"/>
      <c r="BT49" s="1"/>
      <c r="BU49" s="1"/>
    </row>
    <row r="50" spans="3:77" ht="14.85" customHeight="1">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M50" s="250" t="str">
        <f>'Translate&amp;Prices&amp;Logo'!$B$322</f>
        <v>Standardně jsou rámečky připraveny pro posuvné kování H27AL (nosnost 25 kg na rámeček) a H37AL (nosnost 35 kg na rámeček).</v>
      </c>
      <c r="BO50" s="452"/>
    </row>
    <row r="51" spans="3:77" ht="14.85" customHeight="1">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M51" s="250" t="str">
        <f>'Translate&amp;Prices&amp;Logo'!$B$321</f>
        <v>Výška rámečku = světlá výška skříňky - 6 mm.</v>
      </c>
      <c r="BO51" s="452"/>
      <c r="BU51" s="1"/>
    </row>
    <row r="52" spans="3:77" ht="14.85" customHeight="1">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M52" s="250" t="str">
        <f>'Translate&amp;Prices&amp;Logo'!$B$332</f>
        <v>Cena za posuvné rámečky je shodná jako cena za běžné rámečky.</v>
      </c>
      <c r="BO52" s="452"/>
    </row>
    <row r="53" spans="3:77" ht="14.85" customHeight="1">
      <c r="BO53" s="452"/>
    </row>
    <row r="54" spans="3:77" ht="14.85" hidden="1" customHeight="1">
      <c r="BO54" s="452"/>
    </row>
    <row r="55" spans="3:77" ht="14.85" hidden="1" customHeight="1">
      <c r="C55" s="1" t="s">
        <v>3221</v>
      </c>
      <c r="E55" s="1">
        <f>IFERROR(((((E26/1000)+(E28/1000))*2)*(VLOOKUP(E35,'Translate&amp;Prices&amp;Logo'!B6:C76,2,0))+(VLOOKUP(E35,'Translate&amp;Prices&amp;Logo'!B6:D76,3,0)))*E30*G55,0)</f>
        <v>0</v>
      </c>
      <c r="G55" s="1">
        <f>IF(E26&gt;=2600,1.3,IF(E28&gt;=2600,1.3,1))</f>
        <v>1</v>
      </c>
      <c r="I55" s="1">
        <f>IFERROR(((((I26/1000)+(I28/1000))*2)*(VLOOKUP(I35,'Translate&amp;Prices&amp;Logo'!B6:C76,2,0))+(VLOOKUP(I35,'Translate&amp;Prices&amp;Logo'!B6:D76,3,0)))*I30*K55,0)</f>
        <v>0</v>
      </c>
      <c r="K55" s="1">
        <f>IF(I26&gt;=2600,1.3,IF(I28&gt;=2600,1.3,1))</f>
        <v>1</v>
      </c>
      <c r="M55" s="1">
        <f>IFERROR(((((M26/1000)+(M28/1000))*2)*(VLOOKUP(M35,'Translate&amp;Prices&amp;Logo'!B6:C76,2,0))+(VLOOKUP(M35,'Translate&amp;Prices&amp;Logo'!B6:D76,3,0)))*M30*O55,0)</f>
        <v>0</v>
      </c>
      <c r="O55" s="1">
        <f>IF(M26&gt;=2600,1.3,IF(M28&gt;=2600,1.3,1))</f>
        <v>1</v>
      </c>
      <c r="BO55" s="452"/>
      <c r="BV55" s="448"/>
      <c r="BY55" s="112"/>
    </row>
    <row r="56" spans="3:77" ht="14.85" hidden="1" customHeight="1">
      <c r="C56" s="1" t="s">
        <v>3222</v>
      </c>
      <c r="E56" s="1">
        <f>IFERROR(((VLOOKUP(E39,'Translate&amp;Prices&amp;Logo'!B101:D169,2,0))*((E28/1000)*(E26/1000)))*E30,0)</f>
        <v>0</v>
      </c>
      <c r="I56" s="1">
        <f>IFERROR(((VLOOKUP(I39,'Translate&amp;Prices&amp;Logo'!B101:D169,2,0))*((I28/1000)*(I26/1000)))*I30,0)</f>
        <v>0</v>
      </c>
      <c r="M56" s="1">
        <f>IFERROR(((VLOOKUP(M39,'Translate&amp;Prices&amp;Logo'!B101:D169,2,0))*((M28/1000)*(M26/1000)))*M30,0)</f>
        <v>0</v>
      </c>
      <c r="BO56" s="445"/>
      <c r="BX56" s="112"/>
      <c r="BY56" s="112"/>
    </row>
    <row r="57" spans="3:77" ht="14.85" hidden="1" customHeight="1">
      <c r="E57" s="34" t="e">
        <f t="array" aca="1" ref="E57:E100" ca="1">IF(VLOOKUP(E35,kombinace_1!A3:C68,3,0)="N",INDIRECT($G$41),_corleone)</f>
        <v>#N/A</v>
      </c>
      <c r="I57" s="1" t="e">
        <f t="array" aca="1" ref="I57:I100" ca="1">IF(VLOOKUP(I35,kombinace_1!A3:C68,3,0)="N",INDIRECT($G$41),_corleone)</f>
        <v>#N/A</v>
      </c>
      <c r="M57" s="1" t="e">
        <f t="array" aca="1" ref="M57:M100" ca="1">IF(VLOOKUP(M35,kombinace_1!A3:C68,3,0)="N",INDIRECT($G$41),_corleone)</f>
        <v>#N/A</v>
      </c>
      <c r="U57" t="str">
        <f>'Translate&amp;Prices&amp;Logo'!$B$6</f>
        <v>BRW (elox.) - maximální doporučená délka profilu 2500 mm</v>
      </c>
      <c r="AJ57" s="1">
        <v>20</v>
      </c>
      <c r="BO57" s="445"/>
    </row>
    <row r="58" spans="3:77" ht="14.85" hidden="1" customHeight="1">
      <c r="E58" s="34" t="e">
        <f ca="1"/>
        <v>#N/A</v>
      </c>
      <c r="I58" s="1" t="e">
        <f ca="1"/>
        <v>#N/A</v>
      </c>
      <c r="M58" s="1" t="e">
        <f ca="1"/>
        <v>#N/A</v>
      </c>
      <c r="U58" t="str">
        <f>'Translate&amp;Prices&amp;Logo'!$B$8</f>
        <v>BRW bílá mat RAL 9003 - maximální doporučená délka profilu 2500 mm</v>
      </c>
      <c r="AJ58" s="1">
        <v>20</v>
      </c>
      <c r="BO58" s="445"/>
    </row>
    <row r="59" spans="3:77" ht="14.85" hidden="1" customHeight="1">
      <c r="E59" s="34" t="e">
        <f ca="1"/>
        <v>#N/A</v>
      </c>
      <c r="I59" s="1" t="e">
        <f ca="1"/>
        <v>#N/A</v>
      </c>
      <c r="M59" s="1" t="e">
        <f ca="1"/>
        <v>#N/A</v>
      </c>
      <c r="U59" t="str">
        <f>'Translate&amp;Prices&amp;Logo'!$B$9</f>
        <v>BRW bílá lesk RAL 9003 - maximální doporučená délka profilu 2500 mm</v>
      </c>
      <c r="AJ59" s="1">
        <v>20</v>
      </c>
      <c r="BO59" s="445"/>
    </row>
    <row r="60" spans="3:77" ht="14.85" hidden="1" customHeight="1">
      <c r="E60" s="34" t="e">
        <f ca="1"/>
        <v>#N/A</v>
      </c>
      <c r="I60" s="1" t="e">
        <f ca="1"/>
        <v>#N/A</v>
      </c>
      <c r="M60" s="1" t="e">
        <f ca="1"/>
        <v>#N/A</v>
      </c>
      <c r="U60" t="str">
        <f>'Translate&amp;Prices&amp;Logo'!$B$11</f>
        <v>BRW broušené - maximální doporučená délka profilu 2500 mm</v>
      </c>
      <c r="AJ60" s="1">
        <v>20</v>
      </c>
      <c r="BO60" s="445"/>
    </row>
    <row r="61" spans="3:77" ht="14.85" hidden="1" customHeight="1">
      <c r="E61" s="34" t="e">
        <f ca="1"/>
        <v>#N/A</v>
      </c>
      <c r="I61" s="1" t="e">
        <f ca="1"/>
        <v>#N/A</v>
      </c>
      <c r="M61" s="1" t="e">
        <f ca="1"/>
        <v>#N/A</v>
      </c>
      <c r="U61" t="str">
        <f>'Translate&amp;Prices&amp;Logo'!$B$12</f>
        <v>BRW černá mat - maximální doporučená délka profilu 2500 mm</v>
      </c>
      <c r="AJ61" s="1">
        <v>20</v>
      </c>
      <c r="BO61" s="445"/>
    </row>
    <row r="62" spans="3:77" ht="14.85" hidden="1" customHeight="1">
      <c r="E62" s="34" t="e">
        <f ca="1"/>
        <v>#N/A</v>
      </c>
      <c r="I62" s="1" t="e">
        <f ca="1"/>
        <v>#N/A</v>
      </c>
      <c r="M62" s="1" t="e">
        <f ca="1"/>
        <v>#N/A</v>
      </c>
      <c r="U62" t="str">
        <f>'Translate&amp;Prices&amp;Logo'!$B$14</f>
        <v>BRW černá broušená - maximální doporučená délka profilu 2500 mm</v>
      </c>
      <c r="AJ62" s="1">
        <v>20</v>
      </c>
      <c r="BO62" s="445"/>
    </row>
    <row r="63" spans="3:77" ht="14.85" hidden="1" customHeight="1">
      <c r="E63" s="34" t="e">
        <f ca="1"/>
        <v>#N/A</v>
      </c>
      <c r="I63" s="1" t="e">
        <f ca="1"/>
        <v>#N/A</v>
      </c>
      <c r="M63" s="1" t="e">
        <f ca="1"/>
        <v>#N/A</v>
      </c>
      <c r="U63" t="str">
        <f>'Translate&amp;Prices&amp;Logo'!$B$15</f>
        <v>BRW světlá nerez (INOX ACIER gratta) - maximální doporučená délka profilu 2500 mm</v>
      </c>
      <c r="AJ63" s="1">
        <v>20</v>
      </c>
      <c r="BO63" s="445"/>
    </row>
    <row r="64" spans="3:77" ht="14.85" hidden="1" customHeight="1">
      <c r="E64" s="34" t="e">
        <f ca="1"/>
        <v>#N/A</v>
      </c>
      <c r="I64" s="1" t="e">
        <f ca="1"/>
        <v>#N/A</v>
      </c>
      <c r="M64" s="1" t="e">
        <f ca="1"/>
        <v>#N/A</v>
      </c>
      <c r="U64" t="str">
        <f>'Translate&amp;Prices&amp;Logo'!$B$7</f>
        <v>BRW antracit RAL 7021 - maximální doporučená délka profilu 2500 mm</v>
      </c>
      <c r="AJ64" s="1">
        <v>20</v>
      </c>
      <c r="BO64" s="445"/>
    </row>
    <row r="65" spans="5:71" ht="14.85" hidden="1" customHeight="1">
      <c r="E65" s="34" t="e">
        <f ca="1"/>
        <v>#N/A</v>
      </c>
      <c r="I65" s="1" t="e">
        <f ca="1"/>
        <v>#N/A</v>
      </c>
      <c r="M65" s="1" t="e">
        <f ca="1"/>
        <v>#N/A</v>
      </c>
      <c r="U65" t="str">
        <f>'Translate&amp;Prices&amp;Logo'!$B$71</f>
        <v>BRW champagne - maximální doporučená délka profilu 2500 mm</v>
      </c>
      <c r="AJ65" s="1">
        <v>20</v>
      </c>
      <c r="BO65" s="445"/>
    </row>
    <row r="66" spans="5:71" ht="14.85" hidden="1" customHeight="1">
      <c r="E66" s="34" t="e">
        <f ca="1"/>
        <v>#N/A</v>
      </c>
      <c r="I66" s="1" t="e">
        <f ca="1"/>
        <v>#N/A</v>
      </c>
      <c r="M66" s="1" t="e">
        <f ca="1"/>
        <v>#N/A</v>
      </c>
      <c r="U66" t="str">
        <f>'Translate&amp;Prices&amp;Logo'!$B$72</f>
        <v>BRW champagne light - maximální doporučená délka profilu 2500 mm</v>
      </c>
      <c r="AJ66" s="1">
        <v>20</v>
      </c>
    </row>
    <row r="67" spans="5:71" ht="14.85" hidden="1" customHeight="1">
      <c r="E67" s="34" t="e">
        <f ca="1"/>
        <v>#N/A</v>
      </c>
      <c r="I67" s="1" t="e">
        <f ca="1"/>
        <v>#N/A</v>
      </c>
      <c r="M67" s="1" t="e">
        <f ca="1"/>
        <v>#N/A</v>
      </c>
      <c r="U67" t="str">
        <f>'Translate&amp;Prices&amp;Logo'!$B$10</f>
        <v>BRW hnědá - maximální doporučená délka profilu 2500 mm</v>
      </c>
      <c r="AJ67" s="1">
        <v>20</v>
      </c>
      <c r="BN67" s="449"/>
      <c r="BO67" s="311"/>
      <c r="BP67" s="311"/>
      <c r="BQ67" s="311"/>
      <c r="BR67" s="311"/>
      <c r="BS67" s="311"/>
    </row>
    <row r="68" spans="5:71" ht="14.85" hidden="1" customHeight="1">
      <c r="E68" s="34" t="e">
        <f ca="1"/>
        <v>#N/A</v>
      </c>
      <c r="I68" s="1" t="e">
        <f ca="1"/>
        <v>#N/A</v>
      </c>
      <c r="M68" s="1" t="e">
        <f ca="1"/>
        <v>#N/A</v>
      </c>
      <c r="U68" t="str">
        <f>'Translate&amp;Prices&amp;Logo'!$B$16</f>
        <v>BRW tmavá nerez br. (INOX LIJA) - maximální doporučená délka profilu 2500 mm</v>
      </c>
      <c r="AJ68" s="1">
        <v>20</v>
      </c>
      <c r="BN68" s="450"/>
      <c r="BO68" s="420"/>
      <c r="BP68" s="420"/>
      <c r="BQ68" s="420"/>
      <c r="BR68" s="174"/>
      <c r="BS68" s="174"/>
    </row>
    <row r="69" spans="5:71" ht="14.85" hidden="1" customHeight="1">
      <c r="E69" s="34" t="e">
        <f ca="1"/>
        <v>#N/A</v>
      </c>
      <c r="I69" s="1" t="e">
        <f ca="1"/>
        <v>#N/A</v>
      </c>
      <c r="M69" s="1" t="e">
        <f ca="1"/>
        <v>#N/A</v>
      </c>
      <c r="U69" t="str">
        <f>'Translate&amp;Prices&amp;Logo'!$B$64</f>
        <v>BRW kašmír - maximální doporučená délka profilu 2500 mm</v>
      </c>
      <c r="AJ69" s="1">
        <v>20</v>
      </c>
      <c r="BN69" s="10"/>
      <c r="BO69" s="420"/>
      <c r="BP69" s="420"/>
      <c r="BQ69" s="420"/>
      <c r="BR69" s="174"/>
      <c r="BS69" s="174"/>
    </row>
    <row r="70" spans="5:71" ht="14.85" hidden="1" customHeight="1">
      <c r="E70" s="34" t="e">
        <f ca="1"/>
        <v>#N/A</v>
      </c>
      <c r="I70" s="1" t="e">
        <f ca="1"/>
        <v>#N/A</v>
      </c>
      <c r="M70" s="1" t="e">
        <f ca="1"/>
        <v>#N/A</v>
      </c>
      <c r="U70" t="str">
        <f>'Translate&amp;Prices&amp;Logo'!$B$13</f>
        <v>BRW zlatá - maximální doporučená délka profilu 2500 mm</v>
      </c>
      <c r="AJ70" s="1">
        <v>20</v>
      </c>
      <c r="BN70" s="10"/>
      <c r="BO70"/>
      <c r="BP70"/>
      <c r="BQ70"/>
      <c r="BR70"/>
      <c r="BS70" s="174"/>
    </row>
    <row r="71" spans="5:71" ht="14.85" hidden="1" customHeight="1">
      <c r="E71" s="34" t="e">
        <f ca="1"/>
        <v>#N/A</v>
      </c>
      <c r="I71" s="1" t="e">
        <f ca="1"/>
        <v>#N/A</v>
      </c>
      <c r="M71" s="1" t="e">
        <f ca="1"/>
        <v>#N/A</v>
      </c>
      <c r="U71" t="str">
        <f>'Translate&amp;Prices&amp;Logo'!$B$55</f>
        <v>BRW zlatá broušená - maximální doporučená délka profilu 2500 mm</v>
      </c>
      <c r="AJ71" s="1">
        <v>40</v>
      </c>
    </row>
    <row r="72" spans="5:71" ht="14.85" hidden="1" customHeight="1">
      <c r="E72" s="34" t="e">
        <f ca="1"/>
        <v>#N/A</v>
      </c>
      <c r="I72" s="1" t="e">
        <f ca="1"/>
        <v>#N/A</v>
      </c>
      <c r="M72" s="1" t="e">
        <f ca="1"/>
        <v>#N/A</v>
      </c>
      <c r="U72" t="str">
        <f>'Translate&amp;Prices&amp;Logo'!$B$17</f>
        <v>Corleone (elox.) - maximální doporučená délka profilu 1500 mm</v>
      </c>
      <c r="AJ72" s="1">
        <v>40</v>
      </c>
    </row>
    <row r="73" spans="5:71" ht="14.85" hidden="1" customHeight="1">
      <c r="E73" s="34" t="e">
        <f ca="1"/>
        <v>#N/A</v>
      </c>
      <c r="I73" s="1" t="e">
        <f ca="1"/>
        <v>#N/A</v>
      </c>
      <c r="M73" s="1" t="e">
        <f ca="1"/>
        <v>#N/A</v>
      </c>
      <c r="U73" t="str">
        <f>'Translate&amp;Prices&amp;Logo'!$B$18</f>
        <v>Corleone černá mat - maximální doporučená délka profilu 1500 mm</v>
      </c>
      <c r="AJ73" s="1">
        <v>20</v>
      </c>
    </row>
    <row r="74" spans="5:71" ht="14.85" hidden="1" customHeight="1">
      <c r="E74" s="34" t="e">
        <f ca="1"/>
        <v>#N/A</v>
      </c>
      <c r="I74" s="1" t="e">
        <f ca="1"/>
        <v>#N/A</v>
      </c>
      <c r="M74" s="1" t="e">
        <f ca="1"/>
        <v>#N/A</v>
      </c>
      <c r="U74" t="str">
        <f>'Translate&amp;Prices&amp;Logo'!$B$59</f>
        <v>ASTI černá mat - maximální doporučená délka profilu 2150 mm</v>
      </c>
      <c r="AJ74" s="1">
        <v>20</v>
      </c>
      <c r="BO74" s="337"/>
      <c r="BP74" s="337"/>
      <c r="BQ74" s="337"/>
      <c r="BR74" s="337"/>
      <c r="BS74" s="337"/>
    </row>
    <row r="75" spans="5:71" ht="14.85" hidden="1" customHeight="1">
      <c r="E75" s="34" t="e">
        <f ca="1"/>
        <v>#N/A</v>
      </c>
      <c r="I75" s="1" t="e">
        <f ca="1"/>
        <v>#N/A</v>
      </c>
      <c r="M75" s="1" t="e">
        <f ca="1"/>
        <v>#N/A</v>
      </c>
      <c r="U75" t="str">
        <f>'Translate&amp;Prices&amp;Logo'!$B$60</f>
        <v>ASTI antracit RAL 7021 mat - maximální doporučená délka profilu 2500 mm</v>
      </c>
      <c r="AJ75" s="1">
        <v>40</v>
      </c>
      <c r="BO75" s="337"/>
      <c r="BP75" s="337"/>
      <c r="BQ75" s="337"/>
      <c r="BR75" s="337"/>
      <c r="BS75" s="337"/>
    </row>
    <row r="76" spans="5:71" ht="14.85" hidden="1" customHeight="1">
      <c r="E76" s="34" t="e">
        <f ca="1"/>
        <v>#N/A</v>
      </c>
      <c r="I76" s="1" t="e">
        <f ca="1"/>
        <v>#N/A</v>
      </c>
      <c r="M76" s="1" t="e">
        <f ca="1"/>
        <v>#N/A</v>
      </c>
      <c r="U76" t="str">
        <f>'Translate&amp;Prices&amp;Logo'!$B$19</f>
        <v>Imola (elox.) - maximální doporučená délka profilu 2500 mm</v>
      </c>
      <c r="AJ76" s="1">
        <v>40</v>
      </c>
      <c r="BO76" s="337"/>
      <c r="BP76" s="337"/>
      <c r="BQ76" s="337"/>
      <c r="BR76" s="337"/>
      <c r="BS76" s="337"/>
    </row>
    <row r="77" spans="5:71" ht="14.85" hidden="1" customHeight="1">
      <c r="E77" s="34" t="e">
        <f ca="1"/>
        <v>#N/A</v>
      </c>
      <c r="I77" s="1" t="e">
        <f ca="1"/>
        <v>#N/A</v>
      </c>
      <c r="M77" s="1" t="e">
        <f ca="1"/>
        <v>#N/A</v>
      </c>
      <c r="U77" t="str">
        <f>'Translate&amp;Prices&amp;Logo'!$B$20</f>
        <v>Imola černá mat - maximální doporučená délka profilu 2500 mm</v>
      </c>
      <c r="AJ77" s="1">
        <v>40</v>
      </c>
      <c r="BO77" s="337"/>
      <c r="BP77" s="337"/>
      <c r="BQ77" s="337"/>
      <c r="BR77" s="337"/>
      <c r="BS77" s="337"/>
    </row>
    <row r="78" spans="5:71" ht="14.85" hidden="1" customHeight="1">
      <c r="E78" s="34" t="e">
        <f ca="1"/>
        <v>#N/A</v>
      </c>
      <c r="I78" s="1" t="e">
        <f ca="1"/>
        <v>#N/A</v>
      </c>
      <c r="M78" s="1" t="e">
        <f ca="1"/>
        <v>#N/A</v>
      </c>
      <c r="U78" t="str">
        <f>'Translate&amp;Prices&amp;Logo'!$B$21</f>
        <v>Imola bílá mat RAL 9003 - maximální doporučená délka profilu 2500 mm</v>
      </c>
      <c r="AJ78" s="1">
        <v>40</v>
      </c>
    </row>
    <row r="79" spans="5:71" ht="14.85" hidden="1" customHeight="1">
      <c r="E79" s="34" t="e">
        <f ca="1"/>
        <v>#N/A</v>
      </c>
      <c r="I79" s="1" t="e">
        <f ca="1"/>
        <v>#N/A</v>
      </c>
      <c r="M79" s="1" t="e">
        <f ca="1"/>
        <v>#N/A</v>
      </c>
      <c r="U79" t="str">
        <f>'Translate&amp;Prices&amp;Logo'!$B$45</f>
        <v>Imola zlatá - maximální doporučená délka profilu 2150 mm</v>
      </c>
      <c r="AJ79" s="1">
        <v>40</v>
      </c>
    </row>
    <row r="80" spans="5:71" ht="14.85" hidden="1" customHeight="1">
      <c r="E80" s="34" t="e">
        <f ca="1"/>
        <v>#N/A</v>
      </c>
      <c r="I80" s="1" t="e">
        <f ca="1"/>
        <v>#N/A</v>
      </c>
      <c r="M80" s="1" t="e">
        <f ca="1"/>
        <v>#N/A</v>
      </c>
      <c r="U80" t="str">
        <f>'Translate&amp;Prices&amp;Logo'!$B$22</f>
        <v>Modena (elox.) - maximální doporučená délka profilu 2500 mm</v>
      </c>
      <c r="AJ80" s="1">
        <v>40</v>
      </c>
    </row>
    <row r="81" spans="5:72" ht="14.85" hidden="1" customHeight="1">
      <c r="E81" s="34" t="e">
        <f ca="1"/>
        <v>#N/A</v>
      </c>
      <c r="I81" s="1" t="e">
        <f ca="1"/>
        <v>#N/A</v>
      </c>
      <c r="M81" s="1" t="e">
        <f ca="1"/>
        <v>#N/A</v>
      </c>
      <c r="U81" t="str">
        <f>'Translate&amp;Prices&amp;Logo'!$B$23</f>
        <v>Modena černá mat - maximální doporučená délka profilu 2500 mm</v>
      </c>
      <c r="AJ81" s="1">
        <v>40</v>
      </c>
    </row>
    <row r="82" spans="5:72" ht="14.85" hidden="1" customHeight="1">
      <c r="E82" s="34" t="e">
        <f ca="1"/>
        <v>#N/A</v>
      </c>
      <c r="I82" s="1" t="e">
        <f ca="1"/>
        <v>#N/A</v>
      </c>
      <c r="M82" s="1" t="e">
        <f ca="1"/>
        <v>#N/A</v>
      </c>
      <c r="U82" t="str">
        <f>'Translate&amp;Prices&amp;Logo'!$B$25</f>
        <v>Modena černá broušená - maximální doporučená délka profilu 2500 mm</v>
      </c>
      <c r="AJ82" s="1">
        <v>40</v>
      </c>
    </row>
    <row r="83" spans="5:72" ht="14.85" hidden="1" customHeight="1">
      <c r="E83" s="34" t="e">
        <f ca="1"/>
        <v>#N/A</v>
      </c>
      <c r="I83" s="1" t="e">
        <f ca="1"/>
        <v>#N/A</v>
      </c>
      <c r="M83" s="1" t="e">
        <f ca="1"/>
        <v>#N/A</v>
      </c>
      <c r="U83" t="str">
        <f>'Translate&amp;Prices&amp;Logo'!$B$26</f>
        <v>Modena tmavá nerez br. (inox lija) - maximální doporučená délka profilu 2500 mm</v>
      </c>
      <c r="AJ83" s="1">
        <v>40</v>
      </c>
      <c r="BT83" s="1"/>
    </row>
    <row r="84" spans="5:72" ht="14.85" hidden="1" customHeight="1">
      <c r="E84" s="34" t="e">
        <f ca="1"/>
        <v>#N/A</v>
      </c>
      <c r="I84" s="1" t="e">
        <f ca="1"/>
        <v>#N/A</v>
      </c>
      <c r="M84" s="1" t="e">
        <f ca="1"/>
        <v>#N/A</v>
      </c>
      <c r="U84" t="str">
        <f>'Translate&amp;Prices&amp;Logo'!$B$61</f>
        <v>Modena hnědá - maximální doporučená délka profilu 2500 mm</v>
      </c>
      <c r="AJ84" s="1">
        <v>40</v>
      </c>
      <c r="BT84" s="1"/>
    </row>
    <row r="85" spans="5:72" ht="14.85" hidden="1" customHeight="1">
      <c r="E85" s="34" t="e">
        <f ca="1"/>
        <v>#N/A</v>
      </c>
      <c r="I85" s="1" t="e">
        <f ca="1"/>
        <v>#N/A</v>
      </c>
      <c r="M85" s="1" t="e">
        <f ca="1"/>
        <v>#N/A</v>
      </c>
      <c r="U85" t="str">
        <f>'Translate&amp;Prices&amp;Logo'!$B$29</f>
        <v>Pisa (elox.) - maximální doporučená délka profilu 2500 mm</v>
      </c>
      <c r="AJ85" s="1">
        <v>40</v>
      </c>
      <c r="BT85" s="1"/>
    </row>
    <row r="86" spans="5:72" ht="14.85" hidden="1" customHeight="1">
      <c r="E86" s="34" t="e">
        <f ca="1"/>
        <v>#N/A</v>
      </c>
      <c r="I86" s="1" t="e">
        <f ca="1"/>
        <v>#N/A</v>
      </c>
      <c r="M86" s="1" t="e">
        <f ca="1"/>
        <v>#N/A</v>
      </c>
      <c r="U86" t="str">
        <f>'Translate&amp;Prices&amp;Logo'!$B$52</f>
        <v>Pisa bílá mat RAL 9003 - maximální doporučená délka profilu 2500 mm</v>
      </c>
      <c r="AJ86" s="1">
        <v>40</v>
      </c>
      <c r="BT86" s="1"/>
    </row>
    <row r="87" spans="5:72" ht="14.85" hidden="1" customHeight="1">
      <c r="E87" s="34" t="e">
        <f ca="1"/>
        <v>#N/A</v>
      </c>
      <c r="I87" s="1" t="e">
        <f ca="1"/>
        <v>#N/A</v>
      </c>
      <c r="M87" s="1" t="e">
        <f ca="1"/>
        <v>#N/A</v>
      </c>
      <c r="U87" t="str">
        <f>'Translate&amp;Prices&amp;Logo'!$B$53</f>
        <v>Pisa bílá lesk RAL 9003 - maximální doporučená délka profilu 2500 mm</v>
      </c>
      <c r="AJ87" s="1">
        <v>40</v>
      </c>
      <c r="BT87" s="1"/>
    </row>
    <row r="88" spans="5:72" ht="14.85" hidden="1" customHeight="1">
      <c r="E88" s="34" t="e">
        <f ca="1"/>
        <v>#N/A</v>
      </c>
      <c r="I88" s="1" t="e">
        <f ca="1"/>
        <v>#N/A</v>
      </c>
      <c r="M88" s="1" t="e">
        <f ca="1"/>
        <v>#N/A</v>
      </c>
      <c r="U88" t="str">
        <f>'Translate&amp;Prices&amp;Logo'!$B$30</f>
        <v>Pisa černá mat - maximální doporučená délka profilu 2500 mm</v>
      </c>
      <c r="AJ88" s="1">
        <v>20</v>
      </c>
    </row>
    <row r="89" spans="5:72" ht="14.85" hidden="1" customHeight="1">
      <c r="E89" s="34" t="e">
        <f ca="1"/>
        <v>#N/A</v>
      </c>
      <c r="I89" s="1" t="e">
        <f ca="1"/>
        <v>#N/A</v>
      </c>
      <c r="M89" s="1" t="e">
        <f ca="1"/>
        <v>#N/A</v>
      </c>
      <c r="U89" t="str">
        <f>'Translate&amp;Prices&amp;Logo'!$B$58</f>
        <v>Pisa zlatá - maximální doporučená délka profilu 2150 mm</v>
      </c>
      <c r="AJ89" s="1">
        <v>20</v>
      </c>
    </row>
    <row r="90" spans="5:72" ht="14.85" hidden="1" customHeight="1">
      <c r="E90" s="34" t="e">
        <f ca="1"/>
        <v>#N/A</v>
      </c>
      <c r="I90" s="1" t="e">
        <f ca="1"/>
        <v>#N/A</v>
      </c>
      <c r="M90" s="1" t="e">
        <f ca="1"/>
        <v>#N/A</v>
      </c>
      <c r="U90" t="str">
        <f>'Translate&amp;Prices&amp;Logo'!$B$50</f>
        <v>Rocca (elox.) - maximální doporučená délka profilu 2150 mm</v>
      </c>
      <c r="AJ90" s="1">
        <v>20</v>
      </c>
    </row>
    <row r="91" spans="5:72" ht="14.85" hidden="1" customHeight="1">
      <c r="E91" s="34" t="e">
        <f ca="1"/>
        <v>#N/A</v>
      </c>
      <c r="I91" s="1" t="e">
        <f ca="1"/>
        <v>#N/A</v>
      </c>
      <c r="M91" s="1" t="e">
        <f ca="1"/>
        <v>#N/A</v>
      </c>
      <c r="U91" t="str">
        <f>'Translate&amp;Prices&amp;Logo'!$B$42</f>
        <v>Rocca černá mat - maximální doporučená délka profilu 2150 mm</v>
      </c>
      <c r="AJ91" s="1">
        <v>20</v>
      </c>
    </row>
    <row r="92" spans="5:72" ht="14.85" hidden="1" customHeight="1">
      <c r="E92" s="34" t="e">
        <f ca="1"/>
        <v>#N/A</v>
      </c>
      <c r="I92" s="1" t="e">
        <f ca="1"/>
        <v>#N/A</v>
      </c>
      <c r="M92" s="1" t="e">
        <f ca="1"/>
        <v>#N/A</v>
      </c>
      <c r="U92" t="str">
        <f>'Translate&amp;Prices&amp;Logo'!$B$63</f>
        <v>Treviso černá mat - maximální doporučená délka profilu 2750 mm</v>
      </c>
      <c r="AJ92" s="1">
        <v>20</v>
      </c>
    </row>
    <row r="93" spans="5:72" ht="14.85" hidden="1" customHeight="1">
      <c r="E93" s="34" t="e">
        <f ca="1"/>
        <v>#N/A</v>
      </c>
      <c r="I93" s="1" t="e">
        <f ca="1"/>
        <v>#N/A</v>
      </c>
      <c r="M93" s="1" t="e">
        <f ca="1"/>
        <v>#N/A</v>
      </c>
      <c r="U93" t="str">
        <f>'Translate&amp;Prices&amp;Logo'!$B$34</f>
        <v>Verona (elox.) - maximální doporučená délka profilu 2500 mm</v>
      </c>
      <c r="AJ93" s="1">
        <v>20</v>
      </c>
    </row>
    <row r="94" spans="5:72" ht="14.85" hidden="1" customHeight="1">
      <c r="E94" s="34" t="e">
        <f ca="1"/>
        <v>#N/A</v>
      </c>
      <c r="I94" s="1" t="e">
        <f ca="1"/>
        <v>#N/A</v>
      </c>
      <c r="M94" s="1" t="e">
        <f ca="1"/>
        <v>#N/A</v>
      </c>
      <c r="U94" t="str">
        <f>'Translate&amp;Prices&amp;Logo'!$B$35</f>
        <v>Verona broušený hliník - maximální doporučená délka profilu 2500 mm</v>
      </c>
      <c r="AJ94" s="1">
        <v>20</v>
      </c>
    </row>
    <row r="95" spans="5:72" ht="14.85" hidden="1" customHeight="1">
      <c r="E95" s="34" t="e">
        <f ca="1"/>
        <v>#N/A</v>
      </c>
      <c r="I95" s="1" t="e">
        <f ca="1"/>
        <v>#N/A</v>
      </c>
      <c r="M95" s="1" t="e">
        <f ca="1"/>
        <v>#N/A</v>
      </c>
      <c r="U95" t="str">
        <f>'Translate&amp;Prices&amp;Logo'!$B$37</f>
        <v>Verona černá mat - maximální doporučená délka profilu 2500 mm</v>
      </c>
      <c r="AJ95" s="1">
        <v>20</v>
      </c>
    </row>
    <row r="96" spans="5:72" ht="14.85" hidden="1" customHeight="1">
      <c r="E96" s="34" t="e">
        <f ca="1"/>
        <v>#N/A</v>
      </c>
      <c r="I96" s="1" t="e">
        <f ca="1"/>
        <v>#N/A</v>
      </c>
      <c r="M96" s="1" t="e">
        <f ca="1"/>
        <v>#N/A</v>
      </c>
      <c r="U96" t="str">
        <f>'Translate&amp;Prices&amp;Logo'!$B$36</f>
        <v>Verona černá lesk - maximální doporučená délka profilu 2500 mm</v>
      </c>
      <c r="AJ96" s="1">
        <v>20</v>
      </c>
    </row>
    <row r="97" spans="5:36" ht="14.85" hidden="1" customHeight="1">
      <c r="E97" s="34" t="e">
        <f ca="1"/>
        <v>#N/A</v>
      </c>
      <c r="I97" s="1" t="e">
        <f ca="1"/>
        <v>#N/A</v>
      </c>
      <c r="M97" s="1" t="e">
        <f ca="1"/>
        <v>#N/A</v>
      </c>
      <c r="U97" t="str">
        <f>'Translate&amp;Prices&amp;Logo'!$B$38</f>
        <v>Verona hnědá - maximální doporučená délka profilu 2500 mm</v>
      </c>
      <c r="AJ97" s="1">
        <v>20</v>
      </c>
    </row>
    <row r="98" spans="5:36" ht="14.85" hidden="1" customHeight="1">
      <c r="E98" s="34" t="e">
        <f ca="1"/>
        <v>#N/A</v>
      </c>
      <c r="I98" s="1" t="e">
        <f ca="1"/>
        <v>#N/A</v>
      </c>
      <c r="M98" s="1" t="e">
        <f ca="1"/>
        <v>#N/A</v>
      </c>
      <c r="U98" t="str">
        <f>'Translate&amp;Prices&amp;Logo'!$B$39</f>
        <v>Verona champagne - maximální doporučená délka profilu 2500 mm</v>
      </c>
      <c r="AJ98" s="1">
        <v>20</v>
      </c>
    </row>
    <row r="99" spans="5:36" ht="14.85" hidden="1" customHeight="1">
      <c r="E99" s="34" t="e">
        <f ca="1"/>
        <v>#N/A</v>
      </c>
      <c r="I99" s="1" t="e">
        <f ca="1"/>
        <v>#N/A</v>
      </c>
      <c r="M99" s="1" t="e">
        <f ca="1"/>
        <v>#N/A</v>
      </c>
      <c r="U99" t="str">
        <f>'Translate&amp;Prices&amp;Logo'!$B$40</f>
        <v>Verona tmavá nerez broušená (Inox Lija)- maximální doporučená délka profilu 2500 mm</v>
      </c>
      <c r="AJ99" s="1">
        <v>20</v>
      </c>
    </row>
    <row r="100" spans="5:36" ht="14.85" hidden="1" customHeight="1">
      <c r="E100" s="34" t="e">
        <f ca="1"/>
        <v>#N/A</v>
      </c>
      <c r="I100" s="1" t="e">
        <f ca="1"/>
        <v>#N/A</v>
      </c>
      <c r="M100" s="1" t="e">
        <f ca="1"/>
        <v>#N/A</v>
      </c>
      <c r="U100" t="str">
        <f>'Translate&amp;Prices&amp;Logo'!$B$41</f>
        <v>Verona světlá nerez (Acier gratta) - maximální doporučená délka profilu 2500 mm</v>
      </c>
      <c r="AJ100" s="1">
        <v>45</v>
      </c>
    </row>
    <row r="101" spans="5:36" ht="14.85" hidden="1" customHeight="1">
      <c r="E101" s="34"/>
      <c r="U101" t="str">
        <f>'Translate&amp;Prices&amp;Logo'!$B$62</f>
        <v>Verona Ivory mat - maximální doporučená délka profilu 2150 mm</v>
      </c>
      <c r="AJ101" s="1">
        <v>45</v>
      </c>
    </row>
    <row r="102" spans="5:36" ht="14.85" hidden="1" customHeight="1">
      <c r="E102" s="34"/>
      <c r="U102" t="str">
        <f>'Translate&amp;Prices&amp;Logo'!$B$65</f>
        <v>Verona kašmír - maximální doporučená délka profilu 2150 mm</v>
      </c>
      <c r="AJ102" s="1">
        <v>45</v>
      </c>
    </row>
    <row r="103" spans="5:36" ht="14.85" hidden="1" customHeight="1">
      <c r="E103" s="34"/>
      <c r="U103" t="str">
        <f>'Translate&amp;Prices&amp;Logo'!$B$24</f>
        <v>Verona zlatá - maximální doporučená délka profilu 2150 mm</v>
      </c>
      <c r="AJ103" s="1">
        <v>45</v>
      </c>
    </row>
    <row r="104" spans="5:36" ht="14.85" hidden="1" customHeight="1">
      <c r="E104" s="34"/>
      <c r="U104" t="str">
        <f>'Translate&amp;Prices&amp;Logo'!$B$56</f>
        <v>Verona zlatá broušená - maximální doporučená délka profilu 2150 mm</v>
      </c>
      <c r="AJ104" s="1">
        <v>45</v>
      </c>
    </row>
    <row r="105" spans="5:36" ht="14.85" hidden="1" customHeight="1">
      <c r="E105" s="34"/>
      <c r="U105" t="str">
        <f>'Translate&amp;Prices&amp;Logo'!$B$43</f>
        <v>Vivaro (elox.) - maximální doporučená délka profilu 2500 mm</v>
      </c>
      <c r="AJ105" s="1">
        <v>45</v>
      </c>
    </row>
    <row r="106" spans="5:36" ht="14.85" hidden="1" customHeight="1">
      <c r="U106" t="str">
        <f>'Translate&amp;Prices&amp;Logo'!$B$44</f>
        <v>Vivaro černá mat - maximální doporučená délka profilu 2500 mm</v>
      </c>
      <c r="AJ106" s="1">
        <v>45</v>
      </c>
    </row>
    <row r="107" spans="5:36" ht="14.85" hidden="1" customHeight="1">
      <c r="U107" t="str">
        <f>'Translate&amp;Prices&amp;Logo'!$B$46</f>
        <v>Vivaro tmavá nerez br. (inox lija) - maximální doporučená délka profilu 2500 mm</v>
      </c>
      <c r="AJ107" s="1">
        <v>20</v>
      </c>
    </row>
    <row r="108" spans="5:36" ht="14.85" hidden="1" customHeight="1">
      <c r="U108" t="str">
        <f>'Translate&amp;Prices&amp;Logo'!$B$47</f>
        <v>Vivaro bílá mat RAL 9003 - maximální doporučená délka profilu 2500 mm</v>
      </c>
      <c r="AJ108" s="1">
        <v>20</v>
      </c>
    </row>
    <row r="109" spans="5:36" ht="14.85" hidden="1" customHeight="1">
      <c r="U109" t="str">
        <f>'Translate&amp;Prices&amp;Logo'!$B$48</f>
        <v>Vivaro bílá lesk RAL 9003 - maximální doporučená délka profilu 2500 mm</v>
      </c>
      <c r="AJ109" s="1">
        <v>27</v>
      </c>
    </row>
    <row r="110" spans="5:36" ht="14.85" hidden="1" customHeight="1">
      <c r="U110" t="str">
        <f>'Translate&amp;Prices&amp;Logo'!$B$31</f>
        <v>Vivaro zlatá - maximální doporučená délka profilu 2150 mm</v>
      </c>
      <c r="AJ110" s="1">
        <v>27</v>
      </c>
    </row>
    <row r="111" spans="5:36" ht="14.85" hidden="1" customHeight="1">
      <c r="U111" t="str">
        <f>'Translate&amp;Prices&amp;Logo'!$B$57</f>
        <v>Vivaro zlatá broušená - maximální doporučená délka profilu 2150 mm</v>
      </c>
      <c r="AJ111" s="1">
        <v>27</v>
      </c>
    </row>
    <row r="112" spans="5:36" ht="14.85" hidden="1" customHeight="1">
      <c r="U112" t="str">
        <f>'Translate&amp;Prices&amp;Logo'!$B$82</f>
        <v>Rocca elox (Vlevo a vpravo) + Varna elox (Nahoře a dole)</v>
      </c>
      <c r="AJ112" s="1">
        <v>27</v>
      </c>
    </row>
    <row r="113" spans="21:21" ht="14.85" hidden="1" customHeight="1">
      <c r="U113" t="str">
        <f>'Translate&amp;Prices&amp;Logo'!$B$83</f>
        <v>Rocca černá (Vlevo a vpravo) + Varna černá (Nahoře a dole)</v>
      </c>
    </row>
    <row r="114" spans="21:21" ht="14.85" hidden="1" customHeight="1">
      <c r="U114" t="str">
        <f>'Translate&amp;Prices&amp;Logo'!$B$73</f>
        <v>ROMA černá mat - maximální doporučená délka profilu 2696 mm</v>
      </c>
    </row>
    <row r="115" spans="21:21" ht="14.85" hidden="1" customHeight="1">
      <c r="U115" t="str">
        <f>'Translate&amp;Prices&amp;Logo'!$B$74</f>
        <v>ROMA champagne mat - maximální doporučená délka profilu 2696 mm</v>
      </c>
    </row>
    <row r="116" spans="21:21" ht="14.85" hidden="1" customHeight="1">
      <c r="U116" t="str">
        <f>'Translate&amp;Prices&amp;Logo'!$B$75</f>
        <v>ROMA GRIP černá mat - maximální doporučená délka profilu 2696 mm</v>
      </c>
    </row>
    <row r="117" spans="21:21" ht="14.85" hidden="1" customHeight="1">
      <c r="U117" t="str">
        <f>'Translate&amp;Prices&amp;Logo'!$B$76</f>
        <v>ROMA GRIP champagne mat - maximální doporučená délka profilu 2696 mm</v>
      </c>
    </row>
  </sheetData>
  <sheetProtection algorithmName="SHA-512" hashValue="dLQJI6d1blh8+iXemstp6Ppk99Y8H6VH/D/2mNwbUEXW7FrhmQ4x3lC/EPhSF9lhTcKHUc/Bt+j773wCZM1VDw==" saltValue="hjBCTBTiW8yLmKrCJSvpcQ==" spinCount="100000" sheet="1" objects="1" scenarios="1" selectLockedCells="1"/>
  <mergeCells count="95">
    <mergeCell ref="AJ2:AN3"/>
    <mergeCell ref="S7:AC7"/>
    <mergeCell ref="AG22:AJ22"/>
    <mergeCell ref="AC22:AE22"/>
    <mergeCell ref="S22:AB22"/>
    <mergeCell ref="AB17:AC17"/>
    <mergeCell ref="AB15:AC15"/>
    <mergeCell ref="V11:W11"/>
    <mergeCell ref="S13:T13"/>
    <mergeCell ref="V13:W13"/>
    <mergeCell ref="S11:T11"/>
    <mergeCell ref="AB11:AC11"/>
    <mergeCell ref="Y13:Z13"/>
    <mergeCell ref="P2:AB3"/>
    <mergeCell ref="P4:AC5"/>
    <mergeCell ref="Y15:Z15"/>
    <mergeCell ref="AC28:AE28"/>
    <mergeCell ref="E48:F48"/>
    <mergeCell ref="AB9:AC9"/>
    <mergeCell ref="S26:AA26"/>
    <mergeCell ref="AC26:AE26"/>
    <mergeCell ref="S28:AA28"/>
    <mergeCell ref="AB13:AC13"/>
    <mergeCell ref="V9:W9"/>
    <mergeCell ref="Y11:Z11"/>
    <mergeCell ref="Y9:Z9"/>
    <mergeCell ref="I48:J48"/>
    <mergeCell ref="M48:N48"/>
    <mergeCell ref="M26:O26"/>
    <mergeCell ref="M30:O30"/>
    <mergeCell ref="M28:O28"/>
    <mergeCell ref="M39:O40"/>
    <mergeCell ref="B48:C48"/>
    <mergeCell ref="AL22:AM22"/>
    <mergeCell ref="E35:G37"/>
    <mergeCell ref="I35:K37"/>
    <mergeCell ref="M35:O37"/>
    <mergeCell ref="AG34:AJ34"/>
    <mergeCell ref="S30:AA30"/>
    <mergeCell ref="AC30:AE30"/>
    <mergeCell ref="AG30:AJ30"/>
    <mergeCell ref="S32:AA32"/>
    <mergeCell ref="AC32:AE32"/>
    <mergeCell ref="AG32:AJ32"/>
    <mergeCell ref="S34:AA34"/>
    <mergeCell ref="AG28:AJ28"/>
    <mergeCell ref="E26:G26"/>
    <mergeCell ref="I26:K26"/>
    <mergeCell ref="B26:C26"/>
    <mergeCell ref="B39:C39"/>
    <mergeCell ref="B28:C28"/>
    <mergeCell ref="B30:C30"/>
    <mergeCell ref="I30:K30"/>
    <mergeCell ref="E28:G28"/>
    <mergeCell ref="I28:K28"/>
    <mergeCell ref="E30:G30"/>
    <mergeCell ref="E39:G40"/>
    <mergeCell ref="I39:K40"/>
    <mergeCell ref="AC39:AJ39"/>
    <mergeCell ref="B32:C32"/>
    <mergeCell ref="B35:C35"/>
    <mergeCell ref="E32:G33"/>
    <mergeCell ref="I32:K33"/>
    <mergeCell ref="M32:O33"/>
    <mergeCell ref="AC34:AE34"/>
    <mergeCell ref="S39:AA47"/>
    <mergeCell ref="AG26:AJ26"/>
    <mergeCell ref="S37:U37"/>
    <mergeCell ref="W37:Z37"/>
    <mergeCell ref="I15:N15"/>
    <mergeCell ref="I17:N17"/>
    <mergeCell ref="C18:J18"/>
    <mergeCell ref="K18:N18"/>
    <mergeCell ref="M24:O24"/>
    <mergeCell ref="I24:K24"/>
    <mergeCell ref="AG24:AJ24"/>
    <mergeCell ref="E24:G24"/>
    <mergeCell ref="S24:AA24"/>
    <mergeCell ref="AC24:AE24"/>
    <mergeCell ref="C15:G15"/>
    <mergeCell ref="C17:G17"/>
    <mergeCell ref="Y17:Z17"/>
    <mergeCell ref="C9:G9"/>
    <mergeCell ref="C11:G11"/>
    <mergeCell ref="C13:G13"/>
    <mergeCell ref="I9:N9"/>
    <mergeCell ref="S9:T9"/>
    <mergeCell ref="I11:N11"/>
    <mergeCell ref="I13:N13"/>
    <mergeCell ref="I19:N21"/>
    <mergeCell ref="C19:G19"/>
    <mergeCell ref="S15:T15"/>
    <mergeCell ref="V15:W15"/>
    <mergeCell ref="S17:T17"/>
    <mergeCell ref="V17:W17"/>
  </mergeCells>
  <conditionalFormatting sqref="C19:G19">
    <cfRule type="expression" dxfId="161" priority="16">
      <formula>$I$17="Dostawa na adres"</formula>
    </cfRule>
  </conditionalFormatting>
  <conditionalFormatting sqref="H19">
    <cfRule type="expression" dxfId="159" priority="15">
      <formula>I17="Dostawa na adres"</formula>
    </cfRule>
  </conditionalFormatting>
  <conditionalFormatting sqref="K20">
    <cfRule type="expression" dxfId="157" priority="694">
      <formula>#REF!="Dostawa na adres"</formula>
    </cfRule>
  </conditionalFormatting>
  <conditionalFormatting sqref="K19:L19 I19:J21 M19:N21 K21:L21">
    <cfRule type="expression" dxfId="156" priority="14">
      <formula>I17="Dostawa na adres"</formula>
    </cfRule>
  </conditionalFormatting>
  <conditionalFormatting sqref="L20">
    <cfRule type="expression" dxfId="155" priority="693">
      <formula>K18="Dostawa na adres"</formula>
    </cfRule>
  </conditionalFormatting>
  <conditionalFormatting sqref="S37">
    <cfRule type="expression" dxfId="154" priority="9">
      <formula>I17="Dostawa na adres"</formula>
    </cfRule>
  </conditionalFormatting>
  <conditionalFormatting sqref="S39:AA47">
    <cfRule type="expression" dxfId="153" priority="695">
      <formula>$AP$37=1</formula>
    </cfRule>
  </conditionalFormatting>
  <conditionalFormatting sqref="V37">
    <cfRule type="expression" dxfId="152" priority="10">
      <formula>I17="Dostawa na adres"</formula>
    </cfRule>
  </conditionalFormatting>
  <conditionalFormatting sqref="W37">
    <cfRule type="expression" dxfId="151" priority="8">
      <formula>I17="Dostawa na adres"</formula>
    </cfRule>
  </conditionalFormatting>
  <conditionalFormatting sqref="AA37">
    <cfRule type="expression" dxfId="150" priority="7">
      <formula>I17="Dostawa na adres"</formula>
    </cfRule>
  </conditionalFormatting>
  <conditionalFormatting sqref="AC24:AE24 AC26:AE26 AC28:AE28 AC30:AE30 AC32:AE32 AC34:AE34">
    <cfRule type="cellIs" dxfId="149" priority="34" operator="equal">
      <formula>0</formula>
    </cfRule>
  </conditionalFormatting>
  <conditionalFormatting sqref="AF24 AF26 AF28 AF30 AF32 AF34">
    <cfRule type="expression" dxfId="148" priority="227">
      <formula>$AG24&gt;0</formula>
    </cfRule>
  </conditionalFormatting>
  <conditionalFormatting sqref="AK24">
    <cfRule type="cellIs" dxfId="147" priority="30" operator="equal">
      <formula>0</formula>
    </cfRule>
  </conditionalFormatting>
  <conditionalFormatting sqref="AK26">
    <cfRule type="cellIs" dxfId="146" priority="29" operator="equal">
      <formula>0</formula>
    </cfRule>
  </conditionalFormatting>
  <conditionalFormatting sqref="AK28">
    <cfRule type="cellIs" dxfId="145" priority="28" operator="equal">
      <formula>0</formula>
    </cfRule>
  </conditionalFormatting>
  <conditionalFormatting sqref="AK30">
    <cfRule type="cellIs" dxfId="144" priority="27" operator="equal">
      <formula>0</formula>
    </cfRule>
  </conditionalFormatting>
  <conditionalFormatting sqref="AK32">
    <cfRule type="cellIs" dxfId="143" priority="26" operator="equal">
      <formula>0</formula>
    </cfRule>
  </conditionalFormatting>
  <conditionalFormatting sqref="AK34">
    <cfRule type="cellIs" dxfId="142" priority="25" operator="equal">
      <formula>0</formula>
    </cfRule>
  </conditionalFormatting>
  <conditionalFormatting sqref="AK37">
    <cfRule type="cellIs" dxfId="141" priority="33" operator="equal">
      <formula>0</formula>
    </cfRule>
  </conditionalFormatting>
  <conditionalFormatting sqref="AK39">
    <cfRule type="cellIs" dxfId="140" priority="31" operator="equal">
      <formula>0</formula>
    </cfRule>
  </conditionalFormatting>
  <conditionalFormatting sqref="BT30:BV30">
    <cfRule type="cellIs" dxfId="139" priority="2" operator="greaterThan">
      <formula>0</formula>
    </cfRule>
  </conditionalFormatting>
  <dataValidations count="5">
    <dataValidation type="list" allowBlank="1" showInputMessage="1" showErrorMessage="1" sqref="I17:N17" xr:uid="{18C4EAFE-389B-434D-8BA5-73773F184DCA}">
      <formula1>"Odbiór osobisty w Demos Katowice,Dostawa na adres"</formula1>
    </dataValidation>
    <dataValidation type="list" allowBlank="1" showInputMessage="1" showErrorMessage="1" sqref="E39:G40" xr:uid="{D808DC03-8FD1-4419-B710-4AA209C27220}">
      <formula1>$E$57:$E$100</formula1>
    </dataValidation>
    <dataValidation type="list" allowBlank="1" showInputMessage="1" showErrorMessage="1" sqref="I39:K40" xr:uid="{FC3C3E72-131C-4FDA-B310-1860DBB8F40D}">
      <formula1>$I$57:$I$100</formula1>
    </dataValidation>
    <dataValidation type="list" allowBlank="1" showInputMessage="1" showErrorMessage="1" sqref="M39:O40" xr:uid="{AA226C72-F8F1-49BE-BDE7-E962F9933B0F}">
      <formula1>$M$57:$M$100</formula1>
    </dataValidation>
    <dataValidation type="list" allowBlank="1" showInputMessage="1" showErrorMessage="1" sqref="M35:O37 E35:G37 I35:K37" xr:uid="{93C841BE-1A41-4044-9BDD-ACB47CED3DEE}">
      <formula1>$U$57:$U$117</formula1>
    </dataValidation>
  </dataValidations>
  <hyperlinks>
    <hyperlink ref="AJ2:AM3" location="Hlavní!A1" display="Hlavní!A1" xr:uid="{C53FD589-BE8F-4263-A61F-D243B773045B}"/>
    <hyperlink ref="K18:N18" location="'cennik transportu PL'!A1" display="'cennik transportu PL'!A1" xr:uid="{27545E76-84F1-46ED-BA72-B24BFEBB449A}"/>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7402" r:id="rId4" name="Check Box 10">
              <controlPr defaultSize="0" autoFill="0" autoLine="0" autoPict="0">
                <anchor moveWithCells="1">
                  <from>
                    <xdr:col>17</xdr:col>
                    <xdr:colOff>333375</xdr:colOff>
                    <xdr:row>20</xdr:row>
                    <xdr:rowOff>180975</xdr:rowOff>
                  </from>
                  <to>
                    <xdr:col>19</xdr:col>
                    <xdr:colOff>0</xdr:colOff>
                    <xdr:row>22</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3B906D36-5C90-4059-98DF-A01A7F42109F}">
            <xm:f>Hlavní!V39=3</xm:f>
            <x14:dxf>
              <fill>
                <patternFill>
                  <bgColor rgb="FF004984"/>
                </patternFill>
              </fill>
            </x14:dxf>
          </x14:cfRule>
          <xm:sqref>C17:G17</xm:sqref>
        </x14:conditionalFormatting>
        <x14:conditionalFormatting xmlns:xm="http://schemas.microsoft.com/office/excel/2006/main">
          <x14:cfRule type="expression" priority="12" id="{15600A83-ECF6-4B53-9F3E-430E57CDC678}">
            <xm:f>Hlavní!V39=3</xm:f>
            <x14:dxf>
              <fill>
                <patternFill>
                  <bgColor theme="2"/>
                </patternFill>
              </fill>
            </x14:dxf>
          </x14:cfRule>
          <xm:sqref>H17</xm:sqref>
        </x14:conditionalFormatting>
        <x14:conditionalFormatting xmlns:xm="http://schemas.microsoft.com/office/excel/2006/main">
          <x14:cfRule type="expression" priority="11" id="{93B468E8-D8B2-438F-AA89-5EE34535F192}">
            <xm:f>Hlavní!V39=3</xm:f>
            <x14:dxf>
              <fill>
                <patternFill>
                  <bgColor rgb="FF009EE0"/>
                </patternFill>
              </fill>
            </x14:dxf>
          </x14:cfRule>
          <xm:sqref>I17:N17</xm:sqref>
        </x14:conditionalFormatting>
      </x14:conditionalFormatting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FEDF8-FDF7-4DC6-A3E1-2D10FD0EDB8B}">
  <sheetPr codeName="List10">
    <tabColor rgb="FF00B0F0"/>
  </sheetPr>
  <dimension ref="C1:AJ105"/>
  <sheetViews>
    <sheetView workbookViewId="0"/>
  </sheetViews>
  <sheetFormatPr defaultColWidth="7.7109375" defaultRowHeight="14.85" customHeight="1"/>
  <cols>
    <col min="1" max="5" width="7.7109375" style="6" customWidth="1"/>
    <col min="6" max="6" width="14.42578125" style="6" customWidth="1"/>
    <col min="7" max="9" width="7.7109375" style="6" customWidth="1"/>
    <col min="10" max="10" width="10.5703125" style="6" customWidth="1"/>
    <col min="11" max="11" width="10.28515625" style="6" customWidth="1"/>
    <col min="12" max="12" width="7.7109375" style="6" customWidth="1"/>
    <col min="13" max="13" width="9.42578125" style="6" customWidth="1"/>
    <col min="14" max="14" width="8.5703125" style="6" bestFit="1" customWidth="1"/>
    <col min="15" max="15" width="7.7109375" style="6" customWidth="1"/>
    <col min="16" max="17" width="9.7109375" style="6" customWidth="1"/>
    <col min="18" max="18" width="18.28515625" style="6" customWidth="1"/>
    <col min="19" max="21" width="13.28515625" style="6" customWidth="1"/>
    <col min="22" max="22" width="19.7109375" style="6" customWidth="1"/>
    <col min="23" max="23" width="18.28515625" style="6" customWidth="1"/>
    <col min="24" max="24" width="17.140625" style="6" customWidth="1"/>
    <col min="25" max="26" width="10.28515625" style="6" bestFit="1" customWidth="1"/>
    <col min="27" max="27" width="13.28515625" style="6" customWidth="1"/>
    <col min="28" max="28" width="11.5703125" style="6" customWidth="1"/>
    <col min="29" max="16384" width="7.7109375" style="6"/>
  </cols>
  <sheetData>
    <row r="1" spans="20:26" ht="8.85" customHeight="1"/>
    <row r="2" spans="20:26" ht="11.85" customHeight="1"/>
    <row r="3" spans="20:26" ht="15"/>
    <row r="4" spans="20:26" ht="15"/>
    <row r="5" spans="20:26" ht="15"/>
    <row r="6" spans="20:26" ht="15"/>
    <row r="7" spans="20:26" ht="15"/>
    <row r="8" spans="20:26" ht="15"/>
    <row r="9" spans="20:26" ht="15"/>
    <row r="10" spans="20:26" ht="15"/>
    <row r="11" spans="20:26" ht="15">
      <c r="T11" s="409" t="s">
        <v>4292</v>
      </c>
      <c r="V11" s="410">
        <v>800</v>
      </c>
      <c r="W11" s="410">
        <v>1400</v>
      </c>
      <c r="Y11" s="410">
        <v>2300</v>
      </c>
      <c r="Z11" s="410">
        <v>2750</v>
      </c>
    </row>
    <row r="12" spans="20:26" ht="15"/>
    <row r="13" spans="20:26" ht="15">
      <c r="T13" s="409" t="s">
        <v>4292</v>
      </c>
      <c r="V13" s="410">
        <v>800</v>
      </c>
      <c r="W13" s="410">
        <v>800</v>
      </c>
      <c r="Y13" s="616">
        <v>750</v>
      </c>
      <c r="Z13" s="617"/>
    </row>
    <row r="14" spans="20:26" ht="16.5" customHeight="1"/>
    <row r="15" spans="20:26" ht="15"/>
    <row r="16" spans="20:26" ht="18.75" customHeight="1"/>
    <row r="17" spans="3:36" ht="15.75" thickBot="1"/>
    <row r="18" spans="3:36" ht="20.25" customHeight="1">
      <c r="T18" s="435" t="s">
        <v>4293</v>
      </c>
      <c r="U18" s="400"/>
      <c r="V18" s="400"/>
      <c r="W18" s="400"/>
      <c r="X18" s="400"/>
      <c r="Y18" s="400"/>
      <c r="Z18" s="400"/>
      <c r="AB18" s="6">
        <f>IF(Posuv!I17="Dostawa na adres",Hlavní!V39,0)</f>
        <v>0</v>
      </c>
    </row>
    <row r="19" spans="3:36" ht="14.85" customHeight="1" thickBot="1">
      <c r="T19" s="436" t="str">
        <f>J25</f>
        <v>Min</v>
      </c>
      <c r="U19" s="400"/>
      <c r="V19" s="400"/>
      <c r="W19" s="400"/>
      <c r="X19" s="400"/>
      <c r="Y19" s="400"/>
      <c r="Z19" s="400"/>
    </row>
    <row r="20" spans="3:36" s="289" customFormat="1" ht="11.45" customHeight="1">
      <c r="T20" s="409" t="s">
        <v>4294</v>
      </c>
      <c r="U20" s="410"/>
      <c r="V20" s="469">
        <v>35</v>
      </c>
      <c r="W20" s="469">
        <v>35</v>
      </c>
      <c r="X20" s="410"/>
      <c r="Y20" s="469">
        <v>288</v>
      </c>
      <c r="Z20" s="469">
        <v>332</v>
      </c>
    </row>
    <row r="21" spans="3:36" ht="14.85" customHeight="1">
      <c r="T21" s="348"/>
      <c r="U21" s="349"/>
      <c r="V21" s="349" t="s">
        <v>4295</v>
      </c>
      <c r="W21" s="349" t="s">
        <v>4296</v>
      </c>
      <c r="Y21" s="350" t="s">
        <v>4297</v>
      </c>
      <c r="Z21" s="350" t="s">
        <v>4298</v>
      </c>
    </row>
    <row r="22" spans="3:36" ht="14.85" customHeight="1">
      <c r="T22" s="353" t="s">
        <v>4300</v>
      </c>
      <c r="U22" s="437"/>
      <c r="V22" s="354">
        <v>3</v>
      </c>
      <c r="W22" s="354">
        <v>2</v>
      </c>
      <c r="Y22" s="618">
        <v>20</v>
      </c>
      <c r="Z22" s="711"/>
    </row>
    <row r="23" spans="3:36" ht="15.75" customHeight="1"/>
    <row r="24" spans="3:36" ht="14.85" customHeight="1">
      <c r="C24" s="1"/>
      <c r="D24" s="1"/>
      <c r="E24" s="1"/>
      <c r="F24" s="1"/>
      <c r="G24" s="1"/>
      <c r="H24" s="1"/>
      <c r="I24" s="12"/>
      <c r="J24" s="12"/>
      <c r="K24" s="1"/>
      <c r="L24" s="1"/>
      <c r="M24" s="1"/>
      <c r="N24" s="1"/>
      <c r="O24" s="1"/>
      <c r="P24" s="1"/>
      <c r="R24" s="595" t="s">
        <v>4350</v>
      </c>
      <c r="S24" s="1"/>
    </row>
    <row r="25" spans="3:36" ht="14.85" customHeight="1">
      <c r="I25" s="296" t="s">
        <v>4347</v>
      </c>
      <c r="J25" s="434" t="s">
        <v>4348</v>
      </c>
      <c r="K25" s="1" t="s">
        <v>4305</v>
      </c>
      <c r="L25" s="618" t="s">
        <v>4349</v>
      </c>
      <c r="M25" s="619"/>
      <c r="N25" s="619"/>
      <c r="O25" s="619"/>
      <c r="P25" s="620"/>
      <c r="Q25" s="8"/>
      <c r="R25" s="595"/>
      <c r="S25" s="1"/>
      <c r="AC25" s="12"/>
      <c r="AD25" s="12" t="s">
        <v>4305</v>
      </c>
      <c r="AE25" s="12" t="s">
        <v>4338</v>
      </c>
    </row>
    <row r="26" spans="3:36" ht="14.85" customHeight="1">
      <c r="D26" s="1"/>
      <c r="E26" s="1"/>
      <c r="F26" s="8" t="s">
        <v>3509</v>
      </c>
      <c r="G26" s="8">
        <f>Posuv!E26</f>
        <v>0</v>
      </c>
      <c r="H26" s="8">
        <f>Posuv!E28</f>
        <v>0</v>
      </c>
      <c r="I26" s="296">
        <f>MAX(G26:H26)</f>
        <v>0</v>
      </c>
      <c r="J26" s="434">
        <f>MIN(G26:H26)</f>
        <v>0</v>
      </c>
      <c r="K26" s="1">
        <f>Posuv!E30</f>
        <v>0</v>
      </c>
      <c r="L26" s="434"/>
      <c r="M26" s="8" t="str">
        <f>IF(AND(IF($J26&lt;=V$13,"balík A","ne")="balík A",IF($I26&lt;=V$11,"balík A","ne")="balík A",$V$21="balík A"),"balík A","ne")</f>
        <v>balík A</v>
      </c>
      <c r="N26" s="8" t="str">
        <f>IF(AND(IF($J26&lt;=W$13,"balík B","ne")="balík B",IF($I26&lt;=W$11,"balík B","ne")="balík B",$W$21="balík B"),"balík B","ne")</f>
        <v>balík B</v>
      </c>
      <c r="O26" s="8" t="str">
        <f>IF(AND(IF($J26&lt;=Y$13,"paleta A","ne")="paleta A",IF($I26&lt;=Y$11,"paleta A","ne")="paleta A",$Y$21="paleta A"),"paleta A","ne")</f>
        <v>paleta A</v>
      </c>
      <c r="P26" s="8" t="str">
        <f>IF(AND(IF($J26&lt;=Y$13,"paleta B","ne")="paleta B",IF($I26&lt;=Z$11,"paleta B","ne")="paleta B",$Z$21="paleta B"),"paleta B","ne")</f>
        <v>paleta B</v>
      </c>
      <c r="Q26" s="8"/>
      <c r="R26" s="1" t="str">
        <f>IF(M26&lt;&gt;"NE",M26,IF(N26&lt;&gt;"NE",N26,IF(O26&lt;&gt;"NE",O26,IF(P26&lt;&gt;"Ne",P26,"ne"))))</f>
        <v>balík A</v>
      </c>
      <c r="S26" s="8" t="str">
        <f>_xlfn.TEXTBEFORE(R26," ")</f>
        <v>balík</v>
      </c>
      <c r="T26" s="8"/>
      <c r="U26" s="8"/>
      <c r="V26" s="8">
        <f>IF($AB$18&lt;&gt;3,0,IFERROR((IF(R26=$V$21,K26,0)),0))</f>
        <v>0</v>
      </c>
      <c r="W26" s="8">
        <f>IF($AB$18&lt;&gt;3,0,IFERROR((IF(R26=$W$21,K26,0)),0))</f>
        <v>0</v>
      </c>
      <c r="X26" s="8"/>
      <c r="Y26" s="8">
        <f>IF($AB$18&lt;&gt;3,0,IFERROR((IF(R26=$Y$21,K26,0)),0))</f>
        <v>0</v>
      </c>
      <c r="Z26" s="8">
        <f>IF($AB$18&lt;&gt;3,0,IFERROR((IF(R26=$Z$21,K26,0)),0))</f>
        <v>0</v>
      </c>
      <c r="AC26" s="361" t="s">
        <v>4307</v>
      </c>
      <c r="AD26" s="12">
        <f>Posuv!E30</f>
        <v>0</v>
      </c>
      <c r="AE26" s="425">
        <f>IF(Posuv!E30&gt;0,IF(Posuv!E39&lt;&gt;"",1,2),0)</f>
        <v>0</v>
      </c>
      <c r="AG26" s="6">
        <f>IF(AD26&gt;0,1,0)</f>
        <v>0</v>
      </c>
    </row>
    <row r="27" spans="3:36" ht="14.85" customHeight="1">
      <c r="D27" s="1"/>
      <c r="E27" s="1"/>
      <c r="F27" s="8" t="s">
        <v>3510</v>
      </c>
      <c r="G27" s="8">
        <f>Posuv!I26</f>
        <v>0</v>
      </c>
      <c r="H27" s="8">
        <f>Posuv!I28</f>
        <v>0</v>
      </c>
      <c r="I27" s="296">
        <f t="shared" ref="I27:I28" si="0">MAX(G27:H27)</f>
        <v>0</v>
      </c>
      <c r="J27" s="434">
        <f t="shared" ref="J27:J28" si="1">MIN(G27:H27)</f>
        <v>0</v>
      </c>
      <c r="K27" s="1">
        <f>Posuv!I30</f>
        <v>0</v>
      </c>
      <c r="L27" s="434"/>
      <c r="M27" s="8" t="str">
        <f>IF(AND(IF($J27&lt;=V$13,"balík A","ne")="balík A",IF($I27&lt;=V$11,"balík A","ne")="balík A",$V$21="balík A"),"balík A","ne")</f>
        <v>balík A</v>
      </c>
      <c r="N27" s="8" t="str">
        <f>IF(AND(IF($J27&lt;=W$13,"balík B","ne")="balík B",IF($I27&lt;=W$11,"balík B","ne")="balík B",$W$21="balík B"),"balík B","ne")</f>
        <v>balík B</v>
      </c>
      <c r="O27" s="8" t="str">
        <f>IF(AND(IF($J27&lt;=Y$13,"paleta A","ne")="paleta A",IF($I27&lt;=Y$11,"paleta A","ne")="paleta A",$Y$21="paleta A"),"paleta A","ne")</f>
        <v>paleta A</v>
      </c>
      <c r="P27" s="8" t="str">
        <f>IF(AND(IF($J27&lt;=Y$13,"paleta B","ne")="paleta B",IF($I27&lt;=Z$11,"paleta B","ne")="paleta B",$Z$21="paleta B"),"paleta B","ne")</f>
        <v>paleta B</v>
      </c>
      <c r="Q27" s="8"/>
      <c r="R27" s="1" t="str">
        <f t="shared" ref="R27:R28" si="2">IF(M27&lt;&gt;"NE",M27,IF(N27&lt;&gt;"NE",N27,IF(O27&lt;&gt;"NE",O27,IF(P27&lt;&gt;"Ne",P27,"ne"))))</f>
        <v>balík A</v>
      </c>
      <c r="S27" s="8" t="str">
        <f>_xlfn.TEXTBEFORE(R27," ")</f>
        <v>balík</v>
      </c>
      <c r="T27" s="8"/>
      <c r="U27" s="8"/>
      <c r="V27" s="8">
        <f t="shared" ref="V27:V28" si="3">IF($AB$18&lt;&gt;3,0,IFERROR((IF(R27=$V$21,K27,0)),0))</f>
        <v>0</v>
      </c>
      <c r="W27" s="8">
        <f t="shared" ref="W27:W28" si="4">IF($AB$18&lt;&gt;3,0,IFERROR((IF(R27=$W$21,K27,0)),0))</f>
        <v>0</v>
      </c>
      <c r="X27" s="8"/>
      <c r="Y27" s="8">
        <f t="shared" ref="Y27:Y28" si="5">IF($AB$18&lt;&gt;3,0,IFERROR((IF(R27=$Y$21,K27,0)),0))</f>
        <v>0</v>
      </c>
      <c r="Z27" s="8">
        <f t="shared" ref="Z27:Z28" si="6">IF($AB$18&lt;&gt;3,0,IFERROR((IF(R27=$Z$21,K27,0)),0))</f>
        <v>0</v>
      </c>
      <c r="AC27" s="361" t="s">
        <v>4308</v>
      </c>
      <c r="AD27" s="12">
        <f>Posuv!I30</f>
        <v>0</v>
      </c>
      <c r="AE27" s="425">
        <f>IF(Posuv!I30&gt;0,IF(Posuv!I39&lt;&gt;"",1,2),0)</f>
        <v>0</v>
      </c>
      <c r="AG27" s="6">
        <f t="shared" ref="AG27:AG28" si="7">IF(AD27&gt;0,1,0)</f>
        <v>0</v>
      </c>
    </row>
    <row r="28" spans="3:36" ht="14.85" customHeight="1">
      <c r="D28" s="1"/>
      <c r="E28" s="1"/>
      <c r="F28" s="8" t="s">
        <v>3511</v>
      </c>
      <c r="G28" s="8">
        <f>Posuv!M26</f>
        <v>0</v>
      </c>
      <c r="H28" s="296">
        <f>Posuv!M28</f>
        <v>0</v>
      </c>
      <c r="I28" s="296">
        <f t="shared" si="0"/>
        <v>0</v>
      </c>
      <c r="J28" s="434">
        <f t="shared" si="1"/>
        <v>0</v>
      </c>
      <c r="K28" s="1">
        <f>Posuv!M30</f>
        <v>0</v>
      </c>
      <c r="L28" s="434"/>
      <c r="M28" s="8" t="str">
        <f>IF(AND(IF($J28&lt;=V$13,"balík A","ne")="balík A",IF($I28&lt;=V$11,"balík A","ne")="balík A",$V$21="balík A"),"balík A","ne")</f>
        <v>balík A</v>
      </c>
      <c r="N28" s="8" t="str">
        <f>IF(AND(IF($J28&lt;=W$13,"balík B","ne")="balík B",IF($I28&lt;=W$11,"balík B","ne")="balík B",$W$21="balík B"),"balík B","ne")</f>
        <v>balík B</v>
      </c>
      <c r="O28" s="8" t="str">
        <f>IF(AND(IF($J28&lt;=Y$13,"paleta A","ne")="paleta A",IF($I28&lt;=Y$11,"paleta A","ne")="paleta A",$Y$21="paleta A"),"paleta A","ne")</f>
        <v>paleta A</v>
      </c>
      <c r="P28" s="8" t="str">
        <f>IF(AND(IF($J28&lt;=Y$13,"paleta B","ne")="paleta B",IF($I28&lt;=Z$11,"paleta B","ne")="paleta B",$Z$21="paleta B"),"paleta B","ne")</f>
        <v>paleta B</v>
      </c>
      <c r="Q28" s="8"/>
      <c r="R28" s="1" t="str">
        <f t="shared" si="2"/>
        <v>balík A</v>
      </c>
      <c r="S28" s="8" t="str">
        <f>_xlfn.TEXTBEFORE(R28," ")</f>
        <v>balík</v>
      </c>
      <c r="T28" s="8"/>
      <c r="U28" s="8"/>
      <c r="V28" s="8">
        <f t="shared" si="3"/>
        <v>0</v>
      </c>
      <c r="W28" s="8">
        <f t="shared" si="4"/>
        <v>0</v>
      </c>
      <c r="X28" s="8"/>
      <c r="Y28" s="8">
        <f t="shared" si="5"/>
        <v>0</v>
      </c>
      <c r="Z28" s="8">
        <f t="shared" si="6"/>
        <v>0</v>
      </c>
      <c r="AC28" s="361" t="s">
        <v>4309</v>
      </c>
      <c r="AD28" s="12">
        <f>Posuv!M30</f>
        <v>0</v>
      </c>
      <c r="AE28" s="425">
        <f>IF(Posuv!M30&gt;0,IF(Posuv!M39&lt;&gt;"",1,2),0)</f>
        <v>0</v>
      </c>
      <c r="AG28" s="6">
        <f t="shared" si="7"/>
        <v>0</v>
      </c>
    </row>
    <row r="29" spans="3:36" ht="14.85" customHeight="1">
      <c r="D29" s="1"/>
      <c r="E29" s="1"/>
      <c r="F29" s="394"/>
      <c r="G29" s="1"/>
      <c r="H29" s="1"/>
      <c r="I29" s="12"/>
      <c r="J29" s="12" t="str">
        <f>IF(AH29=1,IF(R29="ne",1,""),"")</f>
        <v/>
      </c>
      <c r="K29" s="1">
        <f>SUM(K26:K28)</f>
        <v>0</v>
      </c>
      <c r="L29" s="1"/>
      <c r="M29" s="1"/>
      <c r="N29" s="1"/>
      <c r="O29" s="1"/>
      <c r="P29" s="1"/>
      <c r="R29" s="1" t="str">
        <f>IFERROR((VLOOKUP("ne",R26:R28,1,0)),"ano")</f>
        <v>ano</v>
      </c>
      <c r="S29" s="1" t="str">
        <f>IF(SUM(K26:K28)&lt;21,IF(OR(S26="paleta",S27="paleta",S28="paleta"),"paleta",""),"")</f>
        <v/>
      </c>
      <c r="T29" s="1"/>
      <c r="U29" s="1"/>
      <c r="V29" s="1">
        <f>SUM(V26:W28)</f>
        <v>0</v>
      </c>
      <c r="W29" s="1"/>
      <c r="Y29" s="1">
        <f>SUM(X26:Z28)</f>
        <v>0</v>
      </c>
      <c r="AE29" s="6">
        <f>SUM(AE26:AE28)</f>
        <v>0</v>
      </c>
      <c r="AG29" s="6">
        <f>SUM(AG26:AG28)</f>
        <v>0</v>
      </c>
      <c r="AH29" s="438">
        <f>IF(AE29=AG29,1,IF(AG29=(AE29/2),2,0))</f>
        <v>1</v>
      </c>
      <c r="AI29" s="438">
        <v>0</v>
      </c>
      <c r="AJ29" s="6" t="s">
        <v>4341</v>
      </c>
    </row>
    <row r="30" spans="3:36" ht="15">
      <c r="D30" s="1"/>
      <c r="E30" s="1"/>
      <c r="F30" s="394"/>
      <c r="G30" s="1"/>
      <c r="H30" s="1"/>
      <c r="I30" s="12"/>
      <c r="J30" s="12"/>
      <c r="K30" s="1"/>
      <c r="L30" s="1"/>
      <c r="M30" s="1"/>
      <c r="N30" s="1"/>
      <c r="O30" s="1"/>
      <c r="P30" s="1"/>
      <c r="Q30" s="1"/>
      <c r="R30" s="1"/>
      <c r="S30" s="1"/>
      <c r="T30" s="1"/>
      <c r="U30" s="1"/>
      <c r="V30" s="1"/>
      <c r="W30" s="1"/>
      <c r="X30" s="419"/>
      <c r="Y30" s="419"/>
      <c r="Z30" s="419"/>
      <c r="AI30" s="438">
        <v>1</v>
      </c>
      <c r="AJ30" s="6" t="s">
        <v>4339</v>
      </c>
    </row>
    <row r="31" spans="3:36" ht="14.85" customHeight="1">
      <c r="C31" s="1"/>
      <c r="D31" s="1"/>
      <c r="E31" s="1"/>
      <c r="F31" s="1"/>
      <c r="G31" s="1"/>
      <c r="H31" s="1"/>
      <c r="I31" s="12"/>
      <c r="J31" s="12"/>
      <c r="K31" s="1"/>
      <c r="L31" s="1"/>
      <c r="M31" s="1"/>
      <c r="N31" s="1"/>
      <c r="O31" s="1"/>
      <c r="P31" s="1"/>
      <c r="Q31" s="1"/>
      <c r="R31" s="1"/>
      <c r="S31" s="714" t="s">
        <v>4355</v>
      </c>
      <c r="T31" s="1">
        <v>31</v>
      </c>
      <c r="U31" s="1"/>
      <c r="V31" s="1">
        <f t="shared" ref="V31" si="8">SUM(V26:V28)</f>
        <v>0</v>
      </c>
      <c r="W31" s="1">
        <f>SUM(W26:W28)</f>
        <v>0</v>
      </c>
      <c r="X31" s="1"/>
      <c r="AA31" s="6" t="s">
        <v>4353</v>
      </c>
      <c r="AI31" s="438">
        <v>2</v>
      </c>
      <c r="AJ31" s="6" t="s">
        <v>4340</v>
      </c>
    </row>
    <row r="32" spans="3:36" ht="14.85" customHeight="1">
      <c r="C32" s="1"/>
      <c r="D32" s="1"/>
      <c r="E32" s="1"/>
      <c r="F32" s="1"/>
      <c r="G32" s="1"/>
      <c r="H32" s="1"/>
      <c r="I32" s="12"/>
      <c r="J32" s="12"/>
      <c r="K32" s="1"/>
      <c r="L32" s="1"/>
      <c r="M32" s="1"/>
      <c r="N32" s="1"/>
      <c r="O32" s="1"/>
      <c r="P32" s="1"/>
      <c r="Q32" s="1"/>
      <c r="R32" s="1"/>
      <c r="S32" s="714"/>
      <c r="T32" s="1">
        <v>32</v>
      </c>
      <c r="U32" s="1"/>
      <c r="V32" s="1">
        <f>CEILING(IF(V$31=0,0,IF(V$31&lt;3,1,V$31/V$22)),1)</f>
        <v>0</v>
      </c>
      <c r="W32" s="1">
        <f t="shared" ref="W32" si="9">FLOOR(IF(W$31=0,0,IF(W$31&lt;3,1,W$31/W$22)),1)</f>
        <v>0</v>
      </c>
      <c r="X32" s="1"/>
      <c r="AA32" s="6" t="s">
        <v>4351</v>
      </c>
    </row>
    <row r="33" spans="3:29" ht="14.85" customHeight="1">
      <c r="C33" s="1"/>
      <c r="D33" s="1"/>
      <c r="E33" s="1"/>
      <c r="G33" s="1"/>
      <c r="H33" s="1"/>
      <c r="I33" s="12"/>
      <c r="J33" s="1"/>
      <c r="K33" s="1"/>
      <c r="L33" s="1"/>
      <c r="M33" s="1"/>
      <c r="N33" s="1"/>
      <c r="O33" s="1"/>
      <c r="P33" s="1"/>
      <c r="Q33" s="1"/>
      <c r="R33" s="1"/>
      <c r="S33" s="714"/>
      <c r="T33" s="1">
        <v>33</v>
      </c>
      <c r="U33" s="1"/>
      <c r="V33" s="1"/>
      <c r="W33" s="1">
        <f>IF(W32=0,0,IF(W31=1,1,W31-(W32*W22)))</f>
        <v>0</v>
      </c>
      <c r="X33" s="1"/>
      <c r="AA33" s="6" t="s">
        <v>4352</v>
      </c>
    </row>
    <row r="34" spans="3:29" ht="14.85" customHeight="1">
      <c r="C34" s="1"/>
      <c r="D34" s="1"/>
      <c r="E34" s="1"/>
      <c r="F34" s="1"/>
      <c r="G34" s="1"/>
      <c r="H34" s="1"/>
      <c r="I34" s="12"/>
      <c r="J34" s="12"/>
      <c r="K34" s="1"/>
      <c r="L34" s="1"/>
      <c r="M34" s="1"/>
      <c r="N34" s="1"/>
      <c r="O34" s="1"/>
      <c r="P34" s="1"/>
      <c r="Q34" s="1"/>
      <c r="R34" s="1"/>
      <c r="S34" s="714"/>
      <c r="T34" s="1">
        <v>34</v>
      </c>
      <c r="V34" s="6">
        <f>IF(V31&gt;0,IF(W33=0,V31,IF(W33=V31,0,IF(W33&gt;V31,W33-V31,V31-W33))),0)</f>
        <v>0</v>
      </c>
      <c r="W34" s="6">
        <f>IF(W31=0,0,W31+W33)</f>
        <v>0</v>
      </c>
      <c r="X34" s="1"/>
      <c r="AA34" s="6" t="s">
        <v>4333</v>
      </c>
    </row>
    <row r="35" spans="3:29" ht="14.85" customHeight="1">
      <c r="C35" s="1"/>
      <c r="D35" s="1"/>
      <c r="E35" s="1"/>
      <c r="F35" s="1"/>
      <c r="G35" s="1"/>
      <c r="H35" s="1"/>
      <c r="I35" s="12"/>
      <c r="J35" s="12"/>
      <c r="K35" s="1"/>
      <c r="L35" s="1"/>
      <c r="M35" s="1"/>
      <c r="N35" s="1"/>
      <c r="O35" s="1"/>
      <c r="P35" s="1"/>
      <c r="Q35" s="1"/>
      <c r="R35" s="1"/>
      <c r="S35" s="714"/>
      <c r="T35" s="1">
        <v>35</v>
      </c>
      <c r="U35" s="1"/>
      <c r="V35" s="1">
        <f>IF(V31&gt;0,CEILING(V34/V22,1),0)</f>
        <v>0</v>
      </c>
      <c r="W35" s="1">
        <f>CEILING(W34/W22,1)</f>
        <v>0</v>
      </c>
      <c r="X35" s="1"/>
      <c r="AA35" s="6" t="s">
        <v>4382</v>
      </c>
    </row>
    <row r="36" spans="3:29" ht="28.9" customHeight="1">
      <c r="C36" s="1"/>
      <c r="D36" s="1"/>
      <c r="E36" s="1"/>
      <c r="F36" s="1"/>
      <c r="G36" s="1"/>
      <c r="H36" s="1"/>
      <c r="I36" s="12"/>
      <c r="J36" s="12"/>
      <c r="K36" s="1"/>
      <c r="L36" s="1"/>
      <c r="M36" s="1"/>
      <c r="N36" s="1"/>
      <c r="O36" s="1"/>
      <c r="P36" s="1"/>
      <c r="Q36" s="1"/>
      <c r="R36" s="1"/>
      <c r="S36" s="714"/>
      <c r="T36" s="1">
        <v>36</v>
      </c>
      <c r="U36" s="1"/>
      <c r="V36" s="1"/>
      <c r="W36" s="1"/>
      <c r="X36" s="1"/>
    </row>
    <row r="37" spans="3:29" ht="14.85" customHeight="1" thickBot="1">
      <c r="C37" s="1"/>
      <c r="D37" s="1"/>
      <c r="E37" s="1"/>
      <c r="F37" s="1"/>
      <c r="G37" s="1"/>
      <c r="H37" s="1"/>
      <c r="I37" s="12"/>
      <c r="J37" s="12"/>
      <c r="K37" s="1"/>
      <c r="L37" s="1"/>
      <c r="M37" s="1"/>
      <c r="N37" s="1"/>
      <c r="O37" s="1"/>
      <c r="P37" s="1"/>
      <c r="Q37" s="1"/>
      <c r="R37" s="1"/>
      <c r="S37" s="714"/>
      <c r="T37" s="1">
        <v>37</v>
      </c>
      <c r="U37" s="439"/>
      <c r="V37" s="457">
        <f>IF(V31=0,0,V35*V20)</f>
        <v>0</v>
      </c>
      <c r="W37" s="457">
        <f>IF(W31=0,0,W35*W20)</f>
        <v>0</v>
      </c>
      <c r="X37" s="440"/>
      <c r="Y37" s="442"/>
      <c r="Z37" s="458">
        <f>V37+W37</f>
        <v>0</v>
      </c>
      <c r="AA37" s="443" t="s">
        <v>4358</v>
      </c>
      <c r="AB37" s="443"/>
    </row>
    <row r="38" spans="3:29" ht="14.85" customHeight="1">
      <c r="C38" s="1"/>
      <c r="D38" s="1"/>
      <c r="E38" s="1"/>
      <c r="F38" s="1"/>
      <c r="G38" s="1"/>
      <c r="H38" s="1"/>
      <c r="I38" s="12"/>
      <c r="J38" s="12"/>
      <c r="K38" s="1"/>
      <c r="L38" s="1"/>
      <c r="M38" s="1"/>
      <c r="N38" s="1"/>
      <c r="O38" s="1"/>
      <c r="P38" s="1"/>
      <c r="Q38" s="1"/>
      <c r="R38" s="1"/>
      <c r="S38" s="713" t="s">
        <v>4354</v>
      </c>
      <c r="T38" s="1" t="s">
        <v>4320</v>
      </c>
      <c r="U38" s="1"/>
      <c r="W38" s="1"/>
      <c r="X38" s="1"/>
      <c r="AA38" s="6" t="s">
        <v>4354</v>
      </c>
      <c r="AC38" s="6">
        <v>38</v>
      </c>
    </row>
    <row r="39" spans="3:29" ht="14.85" customHeight="1">
      <c r="C39" s="1"/>
      <c r="D39" s="1"/>
      <c r="E39" s="1"/>
      <c r="F39" s="1"/>
      <c r="G39" s="1"/>
      <c r="H39" s="1"/>
      <c r="I39" s="12"/>
      <c r="J39" s="12"/>
      <c r="K39" s="1"/>
      <c r="L39" s="1"/>
      <c r="M39" s="1"/>
      <c r="N39" s="1"/>
      <c r="O39" s="1"/>
      <c r="P39" s="1"/>
      <c r="Q39" s="1"/>
      <c r="R39" s="1"/>
      <c r="S39" s="713"/>
      <c r="T39" s="1" t="s">
        <v>4361</v>
      </c>
      <c r="U39" s="1"/>
      <c r="V39" s="1"/>
      <c r="W39" s="1"/>
      <c r="Y39" s="6">
        <f t="shared" ref="Y39" si="10">SUM(Y26:Y28)</f>
        <v>0</v>
      </c>
      <c r="Z39" s="6">
        <f>SUM(Z26:Z28)</f>
        <v>0</v>
      </c>
      <c r="AA39" s="6" t="s">
        <v>4353</v>
      </c>
      <c r="AC39" s="6">
        <v>39</v>
      </c>
    </row>
    <row r="40" spans="3:29" ht="15">
      <c r="S40" s="713"/>
      <c r="T40" s="6">
        <v>40</v>
      </c>
      <c r="Z40" s="6">
        <f>IF(Z39=0,0,$Y$22-Z39)</f>
        <v>0</v>
      </c>
      <c r="AA40" s="6" t="s">
        <v>4320</v>
      </c>
      <c r="AC40" s="6">
        <v>40</v>
      </c>
    </row>
    <row r="41" spans="3:29" ht="15.75" hidden="1" customHeight="1">
      <c r="S41" s="713"/>
    </row>
    <row r="42" spans="3:29" ht="15.75" hidden="1" customHeight="1">
      <c r="S42" s="713"/>
    </row>
    <row r="43" spans="3:29" ht="15.75" hidden="1" customHeight="1">
      <c r="S43" s="713"/>
    </row>
    <row r="44" spans="3:29" ht="15.75" hidden="1" customHeight="1">
      <c r="S44" s="713"/>
    </row>
    <row r="45" spans="3:29" ht="15.75" hidden="1" customHeight="1">
      <c r="S45" s="713"/>
    </row>
    <row r="46" spans="3:29" ht="15.75" customHeight="1">
      <c r="S46" s="713"/>
      <c r="U46" s="470"/>
      <c r="V46" s="470"/>
      <c r="Y46" s="1">
        <f>IF(Z39=0,Y39,IF(Z40&gt;=Y39,0,Y39-Z40))</f>
        <v>0</v>
      </c>
      <c r="Z46" s="1">
        <f>IF(Z40&gt;=Y39,Y39+Z39,Z40+Z39)</f>
        <v>0</v>
      </c>
      <c r="AA46" s="6" t="s">
        <v>4333</v>
      </c>
      <c r="AC46" s="6">
        <v>46</v>
      </c>
    </row>
    <row r="47" spans="3:29" ht="14.85" customHeight="1">
      <c r="S47" s="713"/>
    </row>
    <row r="48" spans="3:29" ht="14.85" customHeight="1">
      <c r="S48" s="713"/>
      <c r="Z48" s="1"/>
    </row>
    <row r="49" spans="19:29" ht="14.85" customHeight="1">
      <c r="S49" s="713"/>
      <c r="X49" s="1"/>
      <c r="Y49" s="1"/>
    </row>
    <row r="50" spans="19:29" ht="14.85" customHeight="1">
      <c r="S50" s="713"/>
    </row>
    <row r="51" spans="19:29" ht="14.85" customHeight="1">
      <c r="S51" s="713"/>
      <c r="Y51" s="1"/>
    </row>
    <row r="52" spans="19:29" ht="14.85" customHeight="1">
      <c r="S52" s="713"/>
    </row>
    <row r="53" spans="19:29" ht="14.85" customHeight="1" thickBot="1">
      <c r="S53" s="713"/>
      <c r="Y53" s="442"/>
      <c r="Z53" s="442"/>
    </row>
    <row r="54" spans="19:29" ht="14.85" customHeight="1">
      <c r="S54" s="713"/>
      <c r="Y54" s="6">
        <f>IF(Y46&gt;0,Y20,0)</f>
        <v>0</v>
      </c>
      <c r="Z54" s="6">
        <f>IF(Z46&gt;0,Z20,0)</f>
        <v>0</v>
      </c>
      <c r="AC54" s="6">
        <v>54</v>
      </c>
    </row>
    <row r="55" spans="19:29" ht="14.85" customHeight="1" thickBot="1">
      <c r="S55" s="713"/>
      <c r="U55" s="442"/>
      <c r="V55" s="442"/>
      <c r="W55" s="442"/>
      <c r="X55" s="442"/>
      <c r="Y55" s="442"/>
      <c r="Z55" s="444">
        <f>SUM(Y54:Z54)</f>
        <v>0</v>
      </c>
      <c r="AA55" s="443" t="s">
        <v>4356</v>
      </c>
      <c r="AB55" s="443"/>
      <c r="AC55" s="6">
        <v>55</v>
      </c>
    </row>
    <row r="56" spans="19:29" ht="14.85" customHeight="1">
      <c r="S56" s="712" t="s">
        <v>4357</v>
      </c>
      <c r="V56" s="6">
        <f>V29</f>
        <v>0</v>
      </c>
      <c r="Z56" s="6">
        <f>Y29</f>
        <v>0</v>
      </c>
      <c r="AA56" s="6" t="s">
        <v>4353</v>
      </c>
      <c r="AB56" s="112"/>
      <c r="AC56" s="6">
        <v>56</v>
      </c>
    </row>
    <row r="57" spans="19:29" ht="14.85" customHeight="1">
      <c r="S57" s="712"/>
      <c r="Z57" s="6">
        <f>IF(Z55&gt;0,Y22-Z56,0)</f>
        <v>0</v>
      </c>
      <c r="AA57" s="6" t="s">
        <v>4320</v>
      </c>
      <c r="AC57" s="6">
        <v>57</v>
      </c>
    </row>
    <row r="58" spans="19:29" ht="14.85" customHeight="1">
      <c r="S58" s="712"/>
      <c r="V58" s="6">
        <f>IF(Z56=0,V56,IF(Z57&gt;=V56,0,V56-Z57))</f>
        <v>0</v>
      </c>
      <c r="Z58" s="6">
        <f>IF(Z57&gt;=V56,V56+Z56,Z57+Z56)</f>
        <v>0</v>
      </c>
      <c r="AA58" s="6" t="s">
        <v>4333</v>
      </c>
      <c r="AC58" s="6">
        <v>58</v>
      </c>
    </row>
    <row r="59" spans="19:29" ht="14.85" customHeight="1">
      <c r="S59" s="712"/>
      <c r="V59" s="438">
        <f>IF(V58&gt;0,Z37,0)</f>
        <v>0</v>
      </c>
      <c r="Z59" s="6">
        <f>IF(Z56&gt;0,Z55,0)</f>
        <v>0</v>
      </c>
    </row>
    <row r="60" spans="19:29" ht="14.85" customHeight="1" thickBot="1">
      <c r="S60" s="712"/>
      <c r="U60" s="442"/>
      <c r="V60" s="442"/>
      <c r="W60" s="442"/>
      <c r="X60" s="442"/>
      <c r="Y60" s="442"/>
      <c r="Z60" s="441">
        <f>MAX(Z59,V59)</f>
        <v>0</v>
      </c>
      <c r="AA60" s="443" t="s">
        <v>4359</v>
      </c>
      <c r="AB60" s="443"/>
      <c r="AC60" s="443"/>
    </row>
    <row r="61" spans="19:29" ht="14.85" customHeight="1">
      <c r="S61" s="445"/>
    </row>
    <row r="62" spans="19:29" ht="14.85" customHeight="1">
      <c r="S62" s="445"/>
      <c r="Z62" s="438" t="str">
        <f>IF(K29&gt;20,'kalkulace dopravy'!X3,IF(J29&lt;&gt;1,IF(AND(V29&gt;0,Y29=0),Z37,IF(AND(V29&gt;0,Y29&gt;0),Z60,IF(AND(V29=0,Y29&gt;0),Z55,""))),'kalkulace dopravy'!X4))</f>
        <v/>
      </c>
      <c r="AA62" s="443" t="s">
        <v>4360</v>
      </c>
      <c r="AB62" s="443"/>
    </row>
    <row r="63" spans="19:29" ht="14.85" customHeight="1">
      <c r="S63" s="445"/>
    </row>
    <row r="64" spans="19:29" ht="14.85" customHeight="1">
      <c r="S64" s="445"/>
    </row>
    <row r="65" spans="6:26" ht="14.85" customHeight="1">
      <c r="S65" s="445"/>
    </row>
    <row r="66" spans="6:26" ht="14.85" customHeight="1" thickBot="1"/>
    <row r="67" spans="6:26" ht="27" customHeight="1" thickBot="1">
      <c r="R67" s="449"/>
      <c r="S67" s="311"/>
      <c r="T67" s="311"/>
      <c r="U67" s="422" t="s">
        <v>3541</v>
      </c>
      <c r="V67" s="423"/>
      <c r="W67" s="424"/>
    </row>
    <row r="68" spans="6:26" ht="14.85" customHeight="1">
      <c r="R68" s="450"/>
      <c r="S68" s="420"/>
      <c r="T68" s="420"/>
      <c r="U68" s="334" t="s">
        <v>3542</v>
      </c>
      <c r="V68" s="460" t="s">
        <v>4375</v>
      </c>
      <c r="W68" s="335" t="s">
        <v>4376</v>
      </c>
    </row>
    <row r="69" spans="6:26" ht="14.85" customHeight="1">
      <c r="R69" s="10"/>
      <c r="S69" s="420"/>
      <c r="T69" s="420"/>
      <c r="U69" s="332" t="s">
        <v>3556</v>
      </c>
      <c r="V69" s="329" t="s">
        <v>4374</v>
      </c>
      <c r="W69" s="336" t="s">
        <v>4380</v>
      </c>
    </row>
    <row r="70" spans="6:26" ht="14.85" customHeight="1" thickBot="1">
      <c r="R70" s="10"/>
      <c r="S70"/>
      <c r="T70"/>
      <c r="U70" s="315" t="s">
        <v>4290</v>
      </c>
      <c r="V70" s="418" t="s">
        <v>4329</v>
      </c>
      <c r="W70" s="333" t="s">
        <v>4330</v>
      </c>
    </row>
    <row r="74" spans="6:26" ht="14.85" customHeight="1">
      <c r="S74" s="337"/>
      <c r="T74" s="337"/>
      <c r="U74" s="337"/>
      <c r="V74" s="426">
        <v>1400</v>
      </c>
      <c r="W74" s="426">
        <v>2850</v>
      </c>
    </row>
    <row r="75" spans="6:26" ht="14.85" customHeight="1">
      <c r="S75" s="337"/>
      <c r="T75" s="337"/>
      <c r="U75" s="397"/>
      <c r="V75" s="426">
        <v>0</v>
      </c>
      <c r="W75" s="426">
        <v>1401</v>
      </c>
    </row>
    <row r="76" spans="6:26" ht="14.85" customHeight="1">
      <c r="S76" s="337"/>
      <c r="T76" s="337"/>
      <c r="U76" s="471" t="s">
        <v>4294</v>
      </c>
      <c r="V76" s="427">
        <v>35</v>
      </c>
      <c r="W76" s="427">
        <v>71</v>
      </c>
    </row>
    <row r="77" spans="6:26" ht="14.85" customHeight="1">
      <c r="P77" s="6" t="str">
        <f>IF(O77&gt;0,"přebývá!","")</f>
        <v/>
      </c>
      <c r="S77" s="337"/>
      <c r="T77" s="337"/>
      <c r="U77" s="397"/>
      <c r="V77" s="428" t="s">
        <v>4325</v>
      </c>
      <c r="W77" s="428" t="s">
        <v>4326</v>
      </c>
    </row>
    <row r="78" spans="6:26" ht="14.85" customHeight="1">
      <c r="M78" s="6" t="s">
        <v>4304</v>
      </c>
      <c r="U78" s="471" t="s">
        <v>4300</v>
      </c>
      <c r="V78" s="6">
        <v>12</v>
      </c>
      <c r="W78" s="6">
        <v>6</v>
      </c>
      <c r="Z78" s="6">
        <v>78</v>
      </c>
    </row>
    <row r="79" spans="6:26" ht="14.85" customHeight="1">
      <c r="F79" s="6" t="s">
        <v>4301</v>
      </c>
      <c r="L79" s="6" t="s">
        <v>4331</v>
      </c>
      <c r="O79" s="6" t="s">
        <v>4305</v>
      </c>
      <c r="P79" s="6" t="s">
        <v>4306</v>
      </c>
      <c r="Q79" s="6" t="s">
        <v>4306</v>
      </c>
      <c r="U79" s="471" t="s">
        <v>4334</v>
      </c>
      <c r="V79" s="6">
        <f>CEILING(SUM(V80:V82)/V78,1)</f>
        <v>0</v>
      </c>
      <c r="W79" s="6">
        <f>CEILING(SUM(W80:W82)/W78,1)</f>
        <v>0</v>
      </c>
      <c r="Z79" s="6">
        <v>79</v>
      </c>
    </row>
    <row r="80" spans="6:26" ht="14.85" customHeight="1">
      <c r="F80" s="6" t="s">
        <v>4307</v>
      </c>
      <c r="G80" s="6" t="str">
        <f>IF(AND($L$80&gt;V$75,$L$80&lt;=V$74),"tubus A","ne")</f>
        <v>ne</v>
      </c>
      <c r="H80" s="6" t="str">
        <f>IF(AND(L80&gt;=W$75,$L$80&lt;=W$74),"tubus B","ne")</f>
        <v>ne</v>
      </c>
      <c r="L80" s="6">
        <f>MAX(P80:Q80)</f>
        <v>0</v>
      </c>
      <c r="M80" s="6" t="str">
        <f>IF(H80&lt;&gt;"ne",H80,IF(G80&lt;&gt;"ne",G80,"ne"))</f>
        <v>ne</v>
      </c>
      <c r="N80" s="6" t="e">
        <f>_xlfn.TEXTBEFORE(M80," ")</f>
        <v>#N/A</v>
      </c>
      <c r="O80" s="6">
        <f>Posuv!E30</f>
        <v>0</v>
      </c>
      <c r="P80" s="6">
        <f>Posuv!E26</f>
        <v>0</v>
      </c>
      <c r="Q80" s="6">
        <f>Posuv!E28</f>
        <v>0</v>
      </c>
      <c r="R80" s="6" t="s">
        <v>4307</v>
      </c>
      <c r="V80" s="434">
        <f>IF($AB$18&lt;&gt;3,0,IFERROR((IF($M$80=V$77,$O$80,0)),0))</f>
        <v>0</v>
      </c>
      <c r="W80" s="434">
        <f t="shared" ref="W80" si="11">IF($AB$18&lt;&gt;3,0,IFERROR((IF($M$80=W$77,$O$80,0)),0))</f>
        <v>0</v>
      </c>
      <c r="X80" s="6" t="s">
        <v>4307</v>
      </c>
      <c r="Z80" s="6">
        <v>80</v>
      </c>
    </row>
    <row r="81" spans="6:26" ht="14.85" customHeight="1">
      <c r="F81" s="6" t="s">
        <v>4308</v>
      </c>
      <c r="G81" s="6" t="str">
        <f t="shared" ref="G81:G82" si="12">IF(AND($L$80&gt;V$75,$L$80&lt;=V$74),"tubus A","ne")</f>
        <v>ne</v>
      </c>
      <c r="H81" s="6" t="str">
        <f>IF(AND(L81&gt;=W$75,$L$80&lt;=W$74),"tubus B","ne")</f>
        <v>ne</v>
      </c>
      <c r="L81" s="6">
        <f>MAX(P81:Q81)</f>
        <v>0</v>
      </c>
      <c r="M81" s="6" t="str">
        <f>IF(H81&lt;&gt;"ne",H81,IF(G81&lt;&gt;"ne",G81,"ne"))</f>
        <v>ne</v>
      </c>
      <c r="N81" s="6" t="e">
        <f t="shared" ref="N81:N82" si="13">_xlfn.TEXTBEFORE(M81," ")</f>
        <v>#N/A</v>
      </c>
      <c r="O81" s="6">
        <f>Posuv!I30</f>
        <v>0</v>
      </c>
      <c r="P81" s="6">
        <f>Posuv!I26</f>
        <v>0</v>
      </c>
      <c r="Q81" s="6">
        <f>Posuv!I28</f>
        <v>0</v>
      </c>
      <c r="R81" s="6" t="s">
        <v>4308</v>
      </c>
      <c r="V81" s="434">
        <f t="shared" ref="V81:W81" si="14">IF($AB$18&lt;&gt;3,0,IFERROR((IF($M$81=V$77,$O$81,0)),0))</f>
        <v>0</v>
      </c>
      <c r="W81" s="434">
        <f t="shared" si="14"/>
        <v>0</v>
      </c>
      <c r="X81" s="6" t="s">
        <v>4308</v>
      </c>
      <c r="Z81" s="6">
        <v>81</v>
      </c>
    </row>
    <row r="82" spans="6:26" ht="14.85" customHeight="1">
      <c r="F82" s="6" t="s">
        <v>4309</v>
      </c>
      <c r="G82" s="6" t="str">
        <f t="shared" si="12"/>
        <v>ne</v>
      </c>
      <c r="H82" s="6" t="str">
        <f>IF(AND(L82&gt;=W$75,$L$80&lt;=W$74),"tubus B","ne")</f>
        <v>ne</v>
      </c>
      <c r="L82" s="6">
        <f t="shared" ref="L82" si="15">MAX(P82:Q82)</f>
        <v>0</v>
      </c>
      <c r="M82" s="6" t="str">
        <f>IF(H82&lt;&gt;"ne",H82,IF(G82&lt;&gt;"ne",G82,"ne"))</f>
        <v>ne</v>
      </c>
      <c r="N82" s="6" t="e">
        <f t="shared" si="13"/>
        <v>#N/A</v>
      </c>
      <c r="O82" s="6">
        <f>Posuv!M30</f>
        <v>0</v>
      </c>
      <c r="P82" s="6">
        <f>Posuv!M26</f>
        <v>0</v>
      </c>
      <c r="Q82" s="6">
        <f>Posuv!M28</f>
        <v>0</v>
      </c>
      <c r="R82" s="6" t="s">
        <v>4309</v>
      </c>
      <c r="V82" s="434">
        <f t="shared" ref="V82:W82" si="16">IF($AB$18&lt;&gt;3,0,IFERROR((IF($M$82=V$77,$O$82,0)),0))</f>
        <v>0</v>
      </c>
      <c r="W82" s="434">
        <f t="shared" si="16"/>
        <v>0</v>
      </c>
      <c r="X82" s="6" t="s">
        <v>4309</v>
      </c>
      <c r="Z82" s="6">
        <v>82</v>
      </c>
    </row>
    <row r="83" spans="6:26" ht="14.85" customHeight="1">
      <c r="O83" s="6">
        <f>SUM(O80:O82)</f>
        <v>0</v>
      </c>
      <c r="V83" s="6">
        <f>SUM(V80:V82)</f>
        <v>0</v>
      </c>
      <c r="W83" s="6">
        <f>SUM(W80:W82)</f>
        <v>0</v>
      </c>
      <c r="X83" s="1" t="s">
        <v>4332</v>
      </c>
      <c r="Z83" s="6">
        <v>83</v>
      </c>
    </row>
    <row r="84" spans="6:26" ht="14.85" customHeight="1">
      <c r="W84" s="6">
        <f>IF(W79&gt;0,(W78*W79-W83),0)</f>
        <v>0</v>
      </c>
      <c r="X84" s="1" t="s">
        <v>4320</v>
      </c>
      <c r="Z84" s="6">
        <v>84</v>
      </c>
    </row>
    <row r="85" spans="6:26" ht="14.85" customHeight="1">
      <c r="V85" s="6">
        <f>IF(W84=0,V83,IF(W84&gt;=V83,0,V83-W84))</f>
        <v>0</v>
      </c>
      <c r="W85" s="6">
        <f>IF(W84&gt;V83,V83+W83,W84+W83)</f>
        <v>0</v>
      </c>
      <c r="X85" s="1" t="s">
        <v>4333</v>
      </c>
      <c r="Z85" s="6">
        <v>85</v>
      </c>
    </row>
    <row r="86" spans="6:26" ht="14.85" customHeight="1">
      <c r="V86" s="6">
        <f>CEILING(V85/V78,1)</f>
        <v>0</v>
      </c>
      <c r="W86" s="6">
        <f>CEILING(W85/W78,1)</f>
        <v>0</v>
      </c>
      <c r="X86" s="1" t="s">
        <v>4335</v>
      </c>
      <c r="Z86" s="6">
        <v>86</v>
      </c>
    </row>
    <row r="87" spans="6:26" ht="14.85" customHeight="1">
      <c r="V87" s="6">
        <f>V86*V76</f>
        <v>0</v>
      </c>
      <c r="W87" s="6">
        <f>W86*W76</f>
        <v>0</v>
      </c>
      <c r="X87" s="1" t="s">
        <v>3556</v>
      </c>
      <c r="Z87" s="6">
        <v>87</v>
      </c>
    </row>
    <row r="88" spans="6:26" ht="14.85" customHeight="1">
      <c r="Z88" s="6">
        <v>88</v>
      </c>
    </row>
    <row r="89" spans="6:26" ht="14.85" customHeight="1">
      <c r="W89" s="6">
        <f>SUM(V87:W87)</f>
        <v>0</v>
      </c>
      <c r="X89" s="6" t="s">
        <v>4336</v>
      </c>
    </row>
    <row r="93" spans="6:26" ht="14.85" customHeight="1">
      <c r="J93" s="112"/>
      <c r="K93" s="112"/>
      <c r="L93" s="112"/>
      <c r="M93" s="112"/>
      <c r="N93" s="112"/>
      <c r="O93" s="112"/>
      <c r="P93" s="112"/>
      <c r="Q93" s="112"/>
    </row>
    <row r="94" spans="6:26" ht="14.85" customHeight="1">
      <c r="J94" s="112"/>
      <c r="K94" s="112"/>
      <c r="L94" s="112"/>
      <c r="M94" s="112"/>
      <c r="N94" s="112"/>
      <c r="O94" s="112"/>
      <c r="P94" s="112"/>
      <c r="Q94" s="112"/>
    </row>
    <row r="95" spans="6:26" ht="14.85" customHeight="1">
      <c r="J95" s="112"/>
      <c r="K95" s="112"/>
      <c r="L95" s="112"/>
      <c r="M95" s="112"/>
      <c r="N95" s="112"/>
      <c r="O95" s="112"/>
      <c r="P95" s="112"/>
      <c r="Q95" s="112"/>
    </row>
    <row r="96" spans="6:26" ht="14.85" customHeight="1">
      <c r="J96" s="112"/>
      <c r="K96" s="112"/>
      <c r="L96" s="112"/>
      <c r="M96" s="112"/>
      <c r="N96" s="112"/>
      <c r="O96" s="112"/>
      <c r="P96" s="112"/>
      <c r="Q96" s="112"/>
    </row>
    <row r="97" spans="10:17" ht="14.85" customHeight="1">
      <c r="J97" s="112"/>
      <c r="K97" s="112"/>
      <c r="L97" s="112"/>
      <c r="M97" s="112"/>
      <c r="N97" s="112"/>
      <c r="O97" s="112"/>
      <c r="P97" s="112"/>
      <c r="Q97" s="112"/>
    </row>
    <row r="98" spans="10:17" ht="14.85" customHeight="1">
      <c r="J98" s="112"/>
      <c r="K98" s="112"/>
      <c r="L98" s="112"/>
      <c r="M98" s="112"/>
      <c r="N98" s="112"/>
      <c r="O98" s="112"/>
      <c r="P98" s="112"/>
      <c r="Q98" s="112"/>
    </row>
    <row r="99" spans="10:17" ht="14.85" customHeight="1">
      <c r="J99" s="112"/>
      <c r="K99" s="112"/>
      <c r="L99" s="112"/>
      <c r="M99" s="112"/>
      <c r="N99" s="112"/>
      <c r="O99" s="112"/>
      <c r="P99" s="112"/>
      <c r="Q99" s="112"/>
    </row>
    <row r="100" spans="10:17" ht="14.85" customHeight="1">
      <c r="J100" s="112"/>
      <c r="K100" s="112"/>
      <c r="L100" s="112"/>
      <c r="M100" s="112"/>
      <c r="N100" s="112"/>
      <c r="O100" s="112"/>
      <c r="P100" s="112"/>
      <c r="Q100" s="112"/>
    </row>
    <row r="101" spans="10:17" ht="14.85" customHeight="1">
      <c r="J101" s="112"/>
      <c r="K101" s="112"/>
      <c r="L101" s="112"/>
      <c r="M101" s="112"/>
      <c r="N101" s="112"/>
      <c r="O101" s="112"/>
      <c r="P101" s="112"/>
      <c r="Q101" s="112"/>
    </row>
    <row r="102" spans="10:17" ht="14.85" customHeight="1">
      <c r="J102" s="112"/>
      <c r="K102" s="112"/>
      <c r="L102" s="112"/>
      <c r="M102" s="112"/>
      <c r="N102" s="112"/>
      <c r="O102" s="112"/>
      <c r="P102" s="112"/>
      <c r="Q102" s="112"/>
    </row>
    <row r="103" spans="10:17" ht="14.85" customHeight="1">
      <c r="J103" s="112"/>
      <c r="K103" s="112"/>
      <c r="L103" s="112"/>
      <c r="M103" s="112"/>
      <c r="N103" s="112"/>
      <c r="O103" s="112"/>
      <c r="P103" s="112"/>
      <c r="Q103" s="112"/>
    </row>
    <row r="104" spans="10:17" ht="14.85" customHeight="1">
      <c r="J104" s="112"/>
      <c r="K104" s="112"/>
      <c r="L104" s="112"/>
      <c r="M104" s="112"/>
      <c r="N104" s="112"/>
      <c r="O104" s="112"/>
      <c r="P104" s="112"/>
      <c r="Q104" s="112"/>
    </row>
    <row r="105" spans="10:17" ht="14.85" customHeight="1">
      <c r="J105" s="112"/>
      <c r="K105" s="112"/>
      <c r="L105" s="112"/>
      <c r="M105" s="112"/>
      <c r="N105" s="112"/>
      <c r="O105" s="112"/>
      <c r="P105" s="112"/>
      <c r="Q105" s="112"/>
    </row>
  </sheetData>
  <mergeCells count="7">
    <mergeCell ref="Y13:Z13"/>
    <mergeCell ref="Y22:Z22"/>
    <mergeCell ref="L25:P25"/>
    <mergeCell ref="S56:S60"/>
    <mergeCell ref="S38:S55"/>
    <mergeCell ref="S31:S37"/>
    <mergeCell ref="R24:R25"/>
  </mergeCells>
  <conditionalFormatting sqref="X30:Z30">
    <cfRule type="cellIs" dxfId="138" priority="1" operator="greaterThan">
      <formula>0</formula>
    </cfRule>
  </conditionalFormatting>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77761" r:id="rId4" name="Check Box 1">
              <controlPr defaultSize="0" autoFill="0" autoLine="0" autoPict="0">
                <anchor moveWithCells="1">
                  <from>
                    <xdr:col>0</xdr:col>
                    <xdr:colOff>0</xdr:colOff>
                    <xdr:row>20</xdr:row>
                    <xdr:rowOff>180975</xdr:rowOff>
                  </from>
                  <to>
                    <xdr:col>0</xdr:col>
                    <xdr:colOff>361950</xdr:colOff>
                    <xdr:row>22</xdr:row>
                    <xdr:rowOff>38100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85DD-4D1C-4757-B4E2-17EFE6ADF110}">
  <sheetPr codeName="List2">
    <pageSetUpPr fitToPage="1"/>
  </sheetPr>
  <dimension ref="A1:AR111"/>
  <sheetViews>
    <sheetView showGridLines="0" showRowColHeaders="0" showZeros="0" zoomScale="55" zoomScaleNormal="55" workbookViewId="0">
      <selection activeCell="AC2" sqref="AC2:AF3"/>
    </sheetView>
  </sheetViews>
  <sheetFormatPr defaultColWidth="0" defaultRowHeight="15" zeroHeight="1"/>
  <cols>
    <col min="1" max="28" width="8.5703125" style="1" customWidth="1"/>
    <col min="29" max="32" width="9.140625" style="1" customWidth="1"/>
    <col min="33" max="16384" width="9.140625" style="1" hidden="1"/>
  </cols>
  <sheetData>
    <row r="1" spans="1:32">
      <c r="A1"/>
      <c r="B1" s="38"/>
      <c r="C1" s="38"/>
      <c r="D1" s="38"/>
      <c r="E1" s="38"/>
      <c r="F1" s="38"/>
      <c r="G1" s="38"/>
      <c r="H1" s="38"/>
      <c r="I1" s="38"/>
      <c r="J1" s="38"/>
      <c r="K1" s="38"/>
      <c r="L1" s="38"/>
      <c r="M1" s="38"/>
      <c r="N1" s="38"/>
      <c r="O1" s="38"/>
      <c r="P1" s="38"/>
      <c r="Q1" s="38"/>
      <c r="R1" s="38"/>
      <c r="S1" s="38"/>
      <c r="T1" s="38"/>
      <c r="U1" s="38"/>
      <c r="V1" s="38"/>
    </row>
    <row r="2" spans="1:32" ht="20.25">
      <c r="A2" s="39"/>
      <c r="B2" s="39"/>
      <c r="C2" s="39"/>
      <c r="D2" s="39"/>
      <c r="E2" s="39"/>
      <c r="F2" s="39"/>
      <c r="G2" s="39"/>
      <c r="H2" s="39"/>
      <c r="I2" s="39"/>
      <c r="J2" s="39"/>
      <c r="K2" s="720" t="str">
        <f>'Translate&amp;Prices&amp;Logo'!$B$312</f>
        <v>Nákresy profilů a spoj. kování</v>
      </c>
      <c r="L2" s="720"/>
      <c r="M2" s="720"/>
      <c r="N2" s="720"/>
      <c r="O2" s="720"/>
      <c r="P2" s="720"/>
      <c r="Q2" s="720"/>
      <c r="R2" s="200"/>
      <c r="S2" s="200"/>
      <c r="T2" s="200"/>
      <c r="U2" s="39"/>
      <c r="V2" s="39"/>
      <c r="W2" s="15"/>
      <c r="X2" s="15"/>
      <c r="Y2" s="15"/>
      <c r="Z2" s="15"/>
      <c r="AA2" s="15"/>
      <c r="AB2" s="15"/>
      <c r="AC2" s="718" t="str">
        <f>'Translate&amp;Prices&amp;Logo'!$B$542</f>
        <v>Úvod</v>
      </c>
      <c r="AD2" s="719"/>
      <c r="AE2" s="719"/>
      <c r="AF2" s="719"/>
    </row>
    <row r="3" spans="1:32" ht="20.25">
      <c r="A3" s="39"/>
      <c r="B3" s="39"/>
      <c r="C3" s="39"/>
      <c r="D3" s="39"/>
      <c r="E3" s="39"/>
      <c r="F3" s="39"/>
      <c r="G3" s="39"/>
      <c r="H3" s="39"/>
      <c r="I3" s="39"/>
      <c r="J3" s="39"/>
      <c r="K3" s="720"/>
      <c r="L3" s="720"/>
      <c r="M3" s="720"/>
      <c r="N3" s="720"/>
      <c r="O3" s="720"/>
      <c r="P3" s="720"/>
      <c r="Q3" s="720"/>
      <c r="R3" s="200"/>
      <c r="S3" s="200"/>
      <c r="T3" s="200"/>
      <c r="U3" s="39"/>
      <c r="V3" s="39"/>
      <c r="W3" s="15"/>
      <c r="X3" s="15"/>
      <c r="Y3" s="15"/>
      <c r="Z3" s="15"/>
      <c r="AA3" s="15"/>
      <c r="AB3" s="15"/>
      <c r="AC3" s="718"/>
      <c r="AD3" s="719"/>
      <c r="AE3" s="719"/>
      <c r="AF3" s="719"/>
    </row>
    <row r="4" spans="1:32">
      <c r="A4" s="38"/>
      <c r="B4" s="38"/>
      <c r="C4" s="38"/>
      <c r="D4" s="38"/>
      <c r="E4" s="38"/>
      <c r="F4" s="38"/>
      <c r="G4" s="38"/>
      <c r="H4" s="38"/>
      <c r="I4" s="38"/>
    </row>
    <row r="5" spans="1:32">
      <c r="A5" s="38"/>
      <c r="B5" s="38"/>
      <c r="C5" s="38"/>
      <c r="D5" s="38"/>
      <c r="E5" s="38"/>
      <c r="F5" s="38"/>
      <c r="G5" s="38"/>
      <c r="H5" s="38"/>
      <c r="I5" s="38"/>
    </row>
    <row r="6" spans="1:32"/>
    <row r="7" spans="1:32"/>
    <row r="8" spans="1:32" s="9" customFormat="1" ht="18.600000000000001" customHeight="1">
      <c r="B8" s="717" t="str">
        <f>'Translate&amp;Prices&amp;Logo'!$B$235</f>
        <v>Úzký ALU rámeček</v>
      </c>
      <c r="C8" s="717"/>
      <c r="D8" s="717"/>
      <c r="E8" s="717"/>
      <c r="F8" s="717"/>
      <c r="G8" s="717"/>
      <c r="V8" s="723" t="str">
        <f>'Translate&amp;Prices&amp;Logo'!$B$318</f>
        <v>Nákresy profilů</v>
      </c>
      <c r="W8" s="723"/>
      <c r="X8" s="723"/>
      <c r="Y8" s="723"/>
      <c r="Z8" s="723"/>
      <c r="AA8" s="723"/>
      <c r="AB8" s="215"/>
      <c r="AC8" s="215"/>
    </row>
    <row r="9" spans="1:32"/>
    <row r="10" spans="1:32"/>
    <row r="11" spans="1:32">
      <c r="B11"/>
    </row>
    <row r="12" spans="1:32"/>
    <row r="13" spans="1:32"/>
    <row r="14" spans="1:32"/>
    <row r="15" spans="1:32"/>
    <row r="16" spans="1:32"/>
    <row r="17" spans="2:44"/>
    <row r="18" spans="2:44"/>
    <row r="19" spans="2:44" ht="21" customHeight="1">
      <c r="AA19" s="57"/>
      <c r="AR19" s="57"/>
    </row>
    <row r="20" spans="2:44" ht="14.85" customHeight="1">
      <c r="AA20" s="57"/>
      <c r="AR20" s="57"/>
    </row>
    <row r="21" spans="2:44" ht="14.85" customHeight="1"/>
    <row r="22" spans="2:44" ht="14.85" customHeight="1">
      <c r="B22" s="716" t="s">
        <v>27</v>
      </c>
      <c r="C22" s="716"/>
      <c r="D22" s="716"/>
      <c r="F22" s="716" t="s">
        <v>1413</v>
      </c>
      <c r="G22" s="716"/>
      <c r="H22" s="716"/>
      <c r="J22" s="716" t="s">
        <v>1414</v>
      </c>
      <c r="K22" s="716"/>
      <c r="L22" s="716"/>
      <c r="N22" s="716" t="s">
        <v>2262</v>
      </c>
      <c r="O22" s="716"/>
      <c r="P22" s="328"/>
    </row>
    <row r="23" spans="2:44" ht="21" customHeight="1">
      <c r="B23" s="716"/>
      <c r="C23" s="716"/>
      <c r="D23" s="716"/>
      <c r="F23" s="716"/>
      <c r="G23" s="716"/>
      <c r="H23" s="716"/>
      <c r="J23" s="716"/>
      <c r="K23" s="716"/>
      <c r="L23" s="716"/>
      <c r="N23" s="716"/>
      <c r="O23" s="716"/>
      <c r="P23" s="328"/>
    </row>
    <row r="24" spans="2:44" ht="21" customHeight="1">
      <c r="B24" s="207"/>
      <c r="C24" s="207"/>
      <c r="D24" s="207"/>
      <c r="F24" s="207"/>
      <c r="G24" s="207"/>
      <c r="H24" s="207"/>
      <c r="J24" s="207"/>
      <c r="K24" s="207"/>
      <c r="L24" s="207"/>
      <c r="N24" s="207"/>
      <c r="O24" s="207"/>
      <c r="P24" s="207"/>
      <c r="R24" s="207"/>
      <c r="S24" s="207"/>
      <c r="T24" s="207"/>
    </row>
    <row r="25" spans="2:44" ht="21" customHeight="1">
      <c r="B25" s="207"/>
      <c r="C25" s="207"/>
      <c r="D25" s="207"/>
      <c r="F25" s="207"/>
      <c r="G25" s="207"/>
      <c r="H25" s="207"/>
      <c r="J25" s="207"/>
      <c r="K25" s="207"/>
      <c r="L25" s="207"/>
      <c r="N25" s="207"/>
      <c r="O25" s="207"/>
      <c r="P25" s="207"/>
      <c r="R25" s="207"/>
      <c r="S25" s="207"/>
      <c r="T25" s="207"/>
      <c r="AB25" s="3"/>
    </row>
    <row r="26" spans="2:44" ht="21" customHeight="1">
      <c r="B26" s="207"/>
      <c r="C26" s="207"/>
      <c r="D26" s="207"/>
      <c r="F26" s="207"/>
      <c r="G26" s="207"/>
      <c r="H26" s="207"/>
      <c r="J26" s="207"/>
      <c r="K26" s="207"/>
      <c r="L26" s="207"/>
      <c r="N26" s="207"/>
      <c r="O26" s="207"/>
      <c r="P26" s="207"/>
      <c r="R26" s="207"/>
      <c r="S26" s="207"/>
      <c r="T26" s="207"/>
    </row>
    <row r="27" spans="2:44" ht="21" customHeight="1">
      <c r="B27" s="207"/>
      <c r="C27" s="207"/>
      <c r="D27" s="207"/>
      <c r="F27" s="207"/>
      <c r="G27" s="207"/>
      <c r="H27" s="207"/>
      <c r="J27" s="207"/>
      <c r="K27" s="207"/>
      <c r="L27" s="207"/>
      <c r="N27" s="207"/>
      <c r="O27" s="207"/>
      <c r="P27" s="207"/>
      <c r="R27" s="207"/>
      <c r="S27" s="207"/>
      <c r="T27" s="207"/>
    </row>
    <row r="28" spans="2:44" ht="21" customHeight="1">
      <c r="B28" s="207"/>
      <c r="C28" s="207"/>
      <c r="D28" s="207"/>
      <c r="F28" s="207"/>
      <c r="G28" s="207"/>
      <c r="H28" s="207"/>
      <c r="J28" s="207"/>
      <c r="K28" s="207"/>
      <c r="L28" s="207"/>
      <c r="N28" s="207"/>
      <c r="O28" s="207"/>
      <c r="P28" s="207"/>
      <c r="R28" s="207"/>
      <c r="S28" s="207"/>
      <c r="T28" s="207"/>
    </row>
    <row r="29" spans="2:44" ht="21" customHeight="1">
      <c r="B29" s="207"/>
      <c r="C29" s="207"/>
      <c r="D29" s="207"/>
      <c r="F29" s="207"/>
      <c r="G29" s="207"/>
      <c r="H29" s="207"/>
      <c r="J29"/>
      <c r="K29" s="207"/>
      <c r="L29" s="207"/>
      <c r="N29" s="207"/>
      <c r="O29" s="207"/>
      <c r="P29" s="207"/>
      <c r="R29" s="207"/>
      <c r="S29" s="207"/>
      <c r="T29" s="207"/>
    </row>
    <row r="30" spans="2:44" ht="21" customHeight="1">
      <c r="B30" s="207"/>
      <c r="C30" s="207"/>
      <c r="D30" s="207"/>
      <c r="F30" s="207"/>
      <c r="G30" s="207"/>
      <c r="H30" s="207"/>
      <c r="J30" s="207"/>
      <c r="K30" s="207"/>
      <c r="L30" s="207"/>
      <c r="M30" s="19"/>
      <c r="N30" s="207"/>
      <c r="O30" s="207"/>
      <c r="P30" s="207"/>
      <c r="R30" s="207"/>
      <c r="S30" s="207"/>
      <c r="T30" s="207"/>
      <c r="AB30" s="3"/>
    </row>
    <row r="31" spans="2:44" ht="21" customHeight="1">
      <c r="B31" s="207"/>
      <c r="C31" s="207"/>
      <c r="D31" s="207"/>
      <c r="F31" s="207"/>
      <c r="G31" s="207"/>
      <c r="H31" s="207"/>
      <c r="J31" s="207"/>
      <c r="K31" s="207"/>
      <c r="L31" s="207"/>
      <c r="N31" s="207"/>
      <c r="O31" s="207"/>
      <c r="P31" s="207"/>
      <c r="R31" s="207"/>
      <c r="S31" s="207"/>
      <c r="T31" s="207"/>
    </row>
    <row r="32" spans="2:44" ht="21" customHeight="1">
      <c r="B32" s="207"/>
      <c r="C32" s="207"/>
      <c r="D32" s="207"/>
      <c r="F32" s="207"/>
      <c r="G32" s="207"/>
      <c r="H32" s="207"/>
      <c r="J32" s="207"/>
      <c r="K32" s="207"/>
      <c r="L32" s="207"/>
      <c r="N32" s="207"/>
      <c r="O32" s="207"/>
      <c r="P32" s="207"/>
      <c r="R32" s="207"/>
      <c r="S32" s="207"/>
      <c r="T32" s="207"/>
    </row>
    <row r="33" spans="1:26" ht="21" customHeight="1">
      <c r="B33" s="716" t="s">
        <v>2271</v>
      </c>
      <c r="C33" s="716"/>
      <c r="D33" s="716"/>
      <c r="F33" s="716" t="s">
        <v>2272</v>
      </c>
      <c r="G33" s="716"/>
      <c r="H33" s="716"/>
      <c r="J33" s="716" t="s">
        <v>4421</v>
      </c>
      <c r="K33" s="716"/>
      <c r="L33" s="716"/>
      <c r="N33" s="716" t="s">
        <v>4554</v>
      </c>
      <c r="O33" s="716"/>
      <c r="P33" s="207"/>
      <c r="R33" s="207"/>
      <c r="S33" s="207"/>
      <c r="T33" s="207"/>
    </row>
    <row r="34" spans="1:26" ht="15" customHeight="1">
      <c r="B34" s="716"/>
      <c r="C34" s="716"/>
      <c r="D34" s="716"/>
      <c r="F34" s="716"/>
      <c r="G34" s="716"/>
      <c r="H34" s="716"/>
      <c r="J34" s="716"/>
      <c r="K34" s="716"/>
      <c r="L34" s="716"/>
      <c r="N34" s="716"/>
      <c r="O34" s="716"/>
    </row>
    <row r="35" spans="1:26">
      <c r="I35"/>
    </row>
    <row r="36" spans="1:26" ht="14.85" customHeight="1">
      <c r="B36" s="114"/>
      <c r="C36" s="114"/>
      <c r="D36" s="114"/>
      <c r="E36" s="114"/>
      <c r="G36" s="114"/>
      <c r="H36" s="114"/>
      <c r="I36" s="114"/>
      <c r="J36" s="114"/>
      <c r="L36" s="114"/>
      <c r="M36" s="114"/>
      <c r="N36" s="114"/>
      <c r="O36" s="114"/>
      <c r="Q36" s="114"/>
      <c r="R36" s="114"/>
      <c r="S36" s="114"/>
      <c r="T36" s="114"/>
      <c r="U36" s="114"/>
      <c r="V36" s="114"/>
      <c r="W36" s="114"/>
    </row>
    <row r="37" spans="1:26" s="9" customFormat="1" ht="18.600000000000001" customHeight="1">
      <c r="A37" s="1"/>
      <c r="B37" s="717" t="str">
        <f>'Translate&amp;Prices&amp;Logo'!$B$236</f>
        <v>Široký ALU rámeček</v>
      </c>
      <c r="C37" s="717"/>
      <c r="D37" s="717"/>
      <c r="E37" s="717"/>
      <c r="F37" s="717"/>
      <c r="G37" s="717"/>
      <c r="H37" s="114"/>
      <c r="I37" s="114"/>
      <c r="J37" s="114"/>
      <c r="L37" s="114"/>
      <c r="M37" s="114"/>
      <c r="N37" s="114"/>
      <c r="O37" s="114"/>
      <c r="Q37" s="114"/>
      <c r="R37" s="114"/>
      <c r="S37" s="114"/>
      <c r="T37" s="114"/>
      <c r="U37" s="114"/>
      <c r="V37" s="721"/>
      <c r="W37" s="721"/>
      <c r="Y37" s="722"/>
      <c r="Z37" s="722"/>
    </row>
    <row r="38" spans="1:26" ht="14.85" customHeight="1"/>
    <row r="39" spans="1:26"/>
    <row r="40" spans="1:26">
      <c r="B40"/>
      <c r="R40"/>
    </row>
    <row r="41" spans="1:26"/>
    <row r="42" spans="1:26">
      <c r="A42" s="9"/>
    </row>
    <row r="43" spans="1:26"/>
    <row r="44" spans="1:26"/>
    <row r="45" spans="1:26"/>
    <row r="46" spans="1:26"/>
    <row r="47" spans="1:26"/>
    <row r="48" spans="1:26"/>
    <row r="49" spans="2:43"/>
    <row r="50" spans="2:43"/>
    <row r="51" spans="2:43" ht="14.45" customHeight="1">
      <c r="F51" s="328"/>
      <c r="G51" s="328"/>
      <c r="H51" s="328"/>
      <c r="K51" s="328"/>
      <c r="L51" s="328"/>
      <c r="N51" s="716"/>
      <c r="O51" s="716"/>
      <c r="P51" s="716"/>
    </row>
    <row r="52" spans="2:43" ht="14.45" customHeight="1">
      <c r="B52" s="716" t="s">
        <v>1418</v>
      </c>
      <c r="C52" s="716"/>
      <c r="D52" s="716"/>
      <c r="F52" s="716" t="s">
        <v>1419</v>
      </c>
      <c r="G52" s="716"/>
      <c r="H52" s="328"/>
      <c r="J52" s="716" t="s">
        <v>1416</v>
      </c>
      <c r="K52" s="716"/>
      <c r="L52" s="328"/>
      <c r="N52" s="716"/>
      <c r="O52" s="716"/>
      <c r="P52" s="716"/>
    </row>
    <row r="53" spans="2:43" ht="18" customHeight="1">
      <c r="B53" s="716"/>
      <c r="C53" s="716"/>
      <c r="D53" s="716"/>
      <c r="F53" s="716"/>
      <c r="G53" s="716"/>
      <c r="J53" s="716"/>
      <c r="K53" s="716"/>
      <c r="L53" s="328"/>
      <c r="V53" s="724" t="s">
        <v>4554</v>
      </c>
      <c r="W53" s="724"/>
      <c r="X53" s="724"/>
      <c r="AF53" s="49"/>
      <c r="AQ53" s="49"/>
    </row>
    <row r="54" spans="2:43">
      <c r="I54"/>
      <c r="V54" s="724"/>
      <c r="W54" s="724"/>
      <c r="X54" s="724"/>
    </row>
    <row r="55" spans="2:43">
      <c r="AF55" s="49"/>
      <c r="AQ55" s="49"/>
    </row>
    <row r="56" spans="2:43">
      <c r="B56"/>
    </row>
    <row r="57" spans="2:43">
      <c r="AC57" s="49"/>
      <c r="AD57" s="49"/>
      <c r="AE57" s="49"/>
      <c r="AF57" s="49"/>
      <c r="AQ57" s="49"/>
    </row>
    <row r="58" spans="2:43"/>
    <row r="59" spans="2:43">
      <c r="I59"/>
      <c r="AC59" s="49"/>
      <c r="AD59" s="49"/>
      <c r="AE59" s="49"/>
      <c r="AF59" s="49"/>
      <c r="AQ59" s="49"/>
    </row>
    <row r="60" spans="2:43"/>
    <row r="61" spans="2:43">
      <c r="AC61" s="49"/>
      <c r="AD61" s="49"/>
      <c r="AE61" s="49"/>
      <c r="AF61" s="49"/>
      <c r="AQ61" s="49"/>
    </row>
    <row r="62" spans="2:43"/>
    <row r="63" spans="2:43">
      <c r="C63"/>
      <c r="AC63" s="49"/>
      <c r="AD63" s="49"/>
      <c r="AE63" s="49"/>
      <c r="AF63" s="49"/>
      <c r="AQ63" s="49"/>
    </row>
    <row r="64" spans="2:43"/>
    <row r="65" spans="2:27"/>
    <row r="66" spans="2:27"/>
    <row r="67" spans="2:27" ht="14.45" customHeight="1">
      <c r="B67" s="716" t="s">
        <v>1417</v>
      </c>
      <c r="C67" s="716"/>
      <c r="D67" s="716"/>
      <c r="F67" s="716" t="s">
        <v>1415</v>
      </c>
      <c r="G67" s="716"/>
      <c r="H67" s="716"/>
      <c r="K67" s="328"/>
      <c r="L67" s="328"/>
      <c r="N67" s="716"/>
      <c r="O67" s="716"/>
      <c r="P67" s="716"/>
    </row>
    <row r="68" spans="2:27" ht="14.45" customHeight="1">
      <c r="B68" s="716"/>
      <c r="C68" s="716"/>
      <c r="D68" s="716"/>
      <c r="F68" s="716"/>
      <c r="G68" s="716"/>
      <c r="H68" s="716"/>
      <c r="J68" s="328"/>
      <c r="K68" s="328"/>
      <c r="L68" s="328"/>
      <c r="N68" s="716"/>
      <c r="O68" s="716"/>
      <c r="P68" s="716"/>
      <c r="V68" s="717" t="str">
        <f>'Translate&amp;Prices&amp;Logo'!$B$296</f>
        <v>Minimální vzdálenost umístění závěsů</v>
      </c>
      <c r="W68" s="717"/>
      <c r="X68" s="717"/>
      <c r="Y68" s="717"/>
      <c r="Z68" s="717"/>
      <c r="AA68" s="717"/>
    </row>
    <row r="69" spans="2:27"/>
    <row r="70" spans="2:27"/>
    <row r="71" spans="2:27"/>
    <row r="72" spans="2:27" ht="18.75">
      <c r="B72" s="715" t="str">
        <f>'Translate&amp;Prices&amp;Logo'!$B$544</f>
        <v>Kombinace 2 profilů</v>
      </c>
      <c r="C72" s="715"/>
      <c r="D72" s="715"/>
      <c r="E72" s="715"/>
      <c r="F72" s="715"/>
      <c r="G72" s="715"/>
    </row>
    <row r="73" spans="2:27"/>
    <row r="74" spans="2:27"/>
    <row r="75" spans="2:27"/>
    <row r="76" spans="2:27"/>
    <row r="77" spans="2:27"/>
    <row r="78" spans="2:27"/>
    <row r="79" spans="2:27"/>
    <row r="80" spans="2:27"/>
    <row r="81" spans="2:7"/>
    <row r="82" spans="2:7"/>
    <row r="83" spans="2:7"/>
    <row r="84" spans="2:7"/>
    <row r="85" spans="2:7"/>
    <row r="86" spans="2:7"/>
    <row r="87" spans="2:7"/>
    <row r="88" spans="2:7"/>
    <row r="89" spans="2:7"/>
    <row r="90" spans="2:7"/>
    <row r="91" spans="2:7"/>
    <row r="92" spans="2:7" ht="18.75">
      <c r="B92" s="715" t="str">
        <f>'Translate&amp;Prices&amp;Logo'!$B$545</f>
        <v>Dělící lišty</v>
      </c>
      <c r="C92" s="715"/>
      <c r="D92" s="715"/>
      <c r="E92" s="715"/>
      <c r="F92" s="715"/>
      <c r="G92" s="715"/>
    </row>
    <row r="93" spans="2:7"/>
    <row r="94" spans="2:7"/>
    <row r="95" spans="2:7"/>
    <row r="96" spans="2:7"/>
    <row r="97"/>
    <row r="98"/>
    <row r="99"/>
    <row r="100"/>
    <row r="101"/>
    <row r="102"/>
    <row r="103"/>
    <row r="104"/>
    <row r="105"/>
    <row r="106"/>
    <row r="107"/>
    <row r="108"/>
    <row r="109"/>
    <row r="110"/>
    <row r="111"/>
  </sheetData>
  <sheetProtection algorithmName="SHA-512" hashValue="3RFLae8+lvncaQdw5wYN///g3JlBA4ECUwBp/rIVDchBsSMhUEuR6VBPiYCvwS6b60JZU4o/2N2rrimi5gpXew==" saltValue="1WERblkKhMmRsb0pdeCxxQ==" spinCount="100000" sheet="1" objects="1" scenarios="1"/>
  <mergeCells count="26">
    <mergeCell ref="B8:G8"/>
    <mergeCell ref="B22:D23"/>
    <mergeCell ref="V68:AA68"/>
    <mergeCell ref="F22:H23"/>
    <mergeCell ref="V8:AA8"/>
    <mergeCell ref="J22:L23"/>
    <mergeCell ref="J52:K53"/>
    <mergeCell ref="N33:O34"/>
    <mergeCell ref="N22:O23"/>
    <mergeCell ref="V53:X54"/>
    <mergeCell ref="AC2:AF3"/>
    <mergeCell ref="N67:P68"/>
    <mergeCell ref="N51:P52"/>
    <mergeCell ref="K2:Q3"/>
    <mergeCell ref="V37:W37"/>
    <mergeCell ref="Y37:Z37"/>
    <mergeCell ref="J33:L34"/>
    <mergeCell ref="B92:G92"/>
    <mergeCell ref="B33:D34"/>
    <mergeCell ref="F33:H34"/>
    <mergeCell ref="B72:G72"/>
    <mergeCell ref="B67:D68"/>
    <mergeCell ref="B52:D53"/>
    <mergeCell ref="F67:H68"/>
    <mergeCell ref="B37:G37"/>
    <mergeCell ref="F52:G53"/>
  </mergeCells>
  <hyperlinks>
    <hyperlink ref="AC2:AF3" location="Hlavní!A1" display="Hlavní!A1" xr:uid="{919E2E19-1A62-4989-A0DF-222614B2E9D3}"/>
  </hyperlinks>
  <pageMargins left="0.7" right="0.7" top="0.78740157499999996" bottom="0.78740157499999996" header="0.3" footer="0.3"/>
  <pageSetup paperSize="9" scale="3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90465" r:id="rId4" name="Check Box 1967">
              <controlPr locked="0" defaultSize="0" autoFill="0" autoLine="0" autoPict="0">
                <anchor moveWithCells="1">
                  <from>
                    <xdr:col>22</xdr:col>
                    <xdr:colOff>0</xdr:colOff>
                    <xdr:row>0</xdr:row>
                    <xdr:rowOff>0</xdr:rowOff>
                  </from>
                  <to>
                    <xdr:col>22</xdr:col>
                    <xdr:colOff>0</xdr:colOff>
                    <xdr:row>1</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09EC-3894-4570-AB54-1E648138882B}">
  <sheetPr codeName="List24">
    <tabColor rgb="FF92D050"/>
  </sheetPr>
  <dimension ref="A1:BI178"/>
  <sheetViews>
    <sheetView showGridLines="0" showRowColHeaders="0" showZeros="0" workbookViewId="0">
      <selection activeCell="AL2" sqref="AL2:AP3"/>
    </sheetView>
  </sheetViews>
  <sheetFormatPr defaultColWidth="0" defaultRowHeight="14.85" customHeight="1" zeroHeight="1"/>
  <cols>
    <col min="1" max="14" width="4.42578125" style="1" customWidth="1"/>
    <col min="15" max="15" width="5.42578125" style="1" customWidth="1"/>
    <col min="16" max="20" width="4.42578125" style="1" customWidth="1"/>
    <col min="21" max="26" width="5.140625" style="1" customWidth="1"/>
    <col min="27" max="30" width="4.42578125" style="1" customWidth="1"/>
    <col min="31" max="31" width="4.42578125" style="13" customWidth="1"/>
    <col min="32" max="32" width="4.42578125" style="11" customWidth="1"/>
    <col min="33" max="39" width="4.42578125" style="1" customWidth="1"/>
    <col min="40" max="40" width="5.28515625" style="1" customWidth="1"/>
    <col min="41" max="41" width="6.85546875" style="1" customWidth="1"/>
    <col min="42" max="42" width="5.42578125" style="1" customWidth="1"/>
    <col min="43" max="46" width="8.5703125" style="1" hidden="1" customWidth="1"/>
    <col min="47" max="47" width="12.140625" style="1" hidden="1" customWidth="1"/>
    <col min="48" max="52" width="8.5703125" style="1" hidden="1" customWidth="1"/>
    <col min="53" max="53" width="8.85546875" style="12" hidden="1" customWidth="1"/>
    <col min="54" max="54" width="8.5703125" style="12" hidden="1" customWidth="1"/>
    <col min="55" max="55" width="8.5703125" style="1" hidden="1" customWidth="1"/>
    <col min="56" max="56" width="11.28515625" style="1" hidden="1" customWidth="1"/>
    <col min="57" max="58" width="8.5703125" style="1" hidden="1" customWidth="1"/>
    <col min="59" max="59" width="12.5703125" style="1" hidden="1" customWidth="1"/>
    <col min="60" max="60" width="12.85546875" style="1" hidden="1" customWidth="1"/>
    <col min="61" max="61" width="16" style="1" hidden="1" customWidth="1"/>
    <col min="62" max="16384" width="8.5703125" style="1" hidden="1"/>
  </cols>
  <sheetData>
    <row r="1" spans="1:53" ht="15">
      <c r="A1" s="38"/>
      <c r="B1" s="38"/>
      <c r="C1" s="38"/>
      <c r="D1" s="38"/>
      <c r="E1" s="38"/>
      <c r="F1" s="38"/>
      <c r="G1" s="38"/>
      <c r="H1" s="38"/>
      <c r="I1" s="38"/>
      <c r="J1" s="38"/>
      <c r="K1" s="38"/>
      <c r="L1" s="38"/>
      <c r="M1" s="38"/>
      <c r="N1" s="38"/>
      <c r="O1" s="38"/>
      <c r="P1" s="38"/>
      <c r="Q1" s="38"/>
      <c r="R1" s="38"/>
      <c r="S1" s="38"/>
      <c r="T1" s="38"/>
      <c r="U1" s="38"/>
      <c r="V1" s="38"/>
      <c r="AM1" s="730">
        <f ca="1">TODAY()</f>
        <v>46322</v>
      </c>
      <c r="AN1" s="648"/>
      <c r="AO1" s="648"/>
      <c r="AP1" s="648"/>
    </row>
    <row r="2" spans="1:53"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625" t="str">
        <f>'Translate&amp;Prices&amp;Logo'!$B$542</f>
        <v>Úvod</v>
      </c>
      <c r="AM2" s="626"/>
      <c r="AN2" s="626"/>
      <c r="AO2" s="626"/>
      <c r="AP2" s="626"/>
    </row>
    <row r="3" spans="1:53"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625"/>
      <c r="AM3" s="626"/>
      <c r="AN3" s="626"/>
      <c r="AO3" s="626"/>
      <c r="AP3" s="626"/>
    </row>
    <row r="4" spans="1:53" ht="14.85" customHeight="1"/>
    <row r="5" spans="1:53" ht="14.85" customHeight="1">
      <c r="B5" s="306" t="str">
        <f>'Translate&amp;Prices&amp;Logo'!$B$251</f>
        <v>Zákazník</v>
      </c>
      <c r="C5" s="306"/>
      <c r="D5" s="306"/>
      <c r="E5" s="306"/>
      <c r="F5" s="306"/>
      <c r="G5" s="283"/>
      <c r="H5" s="726">
        <f>Zakaznik!$K$13</f>
        <v>0</v>
      </c>
      <c r="I5" s="726"/>
      <c r="J5" s="726"/>
      <c r="K5" s="726"/>
      <c r="L5" s="726"/>
      <c r="M5" s="726"/>
      <c r="N5" s="726"/>
      <c r="Q5" s="727" t="s">
        <v>3519</v>
      </c>
      <c r="R5" s="727"/>
      <c r="S5" s="727"/>
      <c r="T5" s="36"/>
      <c r="U5" s="726">
        <f>Zakaznik!K23</f>
        <v>0</v>
      </c>
      <c r="V5" s="726"/>
      <c r="W5" s="726"/>
      <c r="X5" s="726"/>
      <c r="Y5" s="726"/>
      <c r="Z5" s="726"/>
      <c r="AB5" s="304" t="str">
        <f>'Translate&amp;Prices&amp;Logo'!$B$180</f>
        <v>Cena rámečků celkem</v>
      </c>
      <c r="AC5" s="304"/>
      <c r="AD5" s="304"/>
      <c r="AE5" s="304"/>
      <c r="AF5" s="304"/>
      <c r="AG5" s="36"/>
      <c r="AH5" s="733">
        <f>SUM(Ram_1!$L$30,Ram_2!$L$30,Ram_3!$L$30,Ram_4!$L$30,Ram_5!$L$30,Ram_6!$L$30)</f>
        <v>0</v>
      </c>
      <c r="AI5" s="733"/>
      <c r="AJ5" s="733"/>
      <c r="AK5" s="733"/>
      <c r="AL5" s="733"/>
      <c r="AM5" s="305" t="str">
        <f>VLOOKUP('Translate&amp;Prices&amp;Logo'!D1,kombinace_1!$EV$1:$EW$6,2,0)</f>
        <v>Kč</v>
      </c>
      <c r="AN5" s="303"/>
      <c r="AO5" s="734" t="str">
        <f>IF(U5="Dostawa na adres","Cennik transportu - kliknij tutaj","")</f>
        <v/>
      </c>
      <c r="AP5" s="734"/>
      <c r="AQ5" s="417"/>
      <c r="AR5" s="417"/>
      <c r="AS5" s="417"/>
    </row>
    <row r="6" spans="1:53" ht="14.85" customHeight="1">
      <c r="B6" s="306" t="str">
        <f>'Translate&amp;Prices&amp;Logo'!$B$255</f>
        <v>IČ:</v>
      </c>
      <c r="C6" s="306"/>
      <c r="D6" s="306"/>
      <c r="E6" s="306"/>
      <c r="F6" s="306"/>
      <c r="G6" s="283"/>
      <c r="H6" s="726">
        <f>Zakaznik!$K$15</f>
        <v>0</v>
      </c>
      <c r="I6" s="726"/>
      <c r="J6" s="726"/>
      <c r="K6" s="726"/>
      <c r="L6" s="726"/>
      <c r="M6" s="726"/>
      <c r="N6" s="726"/>
      <c r="Q6" s="727" t="s">
        <v>3520</v>
      </c>
      <c r="R6" s="727"/>
      <c r="S6" s="727"/>
      <c r="T6" s="36"/>
      <c r="U6" s="731">
        <f>Zakaznik!$K$25</f>
        <v>0</v>
      </c>
      <c r="V6" s="731"/>
      <c r="W6" s="731"/>
      <c r="X6" s="731"/>
      <c r="Y6" s="731"/>
      <c r="Z6" s="731"/>
      <c r="AB6" s="732" t="str">
        <f>IF(AND(Hlavní!V39=3,Zakaznik!K23="Dostawa na adres"),"Koszty transportu","")</f>
        <v/>
      </c>
      <c r="AC6" s="732"/>
      <c r="AD6" s="732"/>
      <c r="AE6" s="732"/>
      <c r="AF6" s="732"/>
      <c r="AG6" s="36"/>
      <c r="AH6" s="728">
        <f>IF(AND(Hlavní!V39=3,Zakaznik!K23="Dostawa na adres"),'kalkulace dopravy'!U2,0)</f>
        <v>0</v>
      </c>
      <c r="AI6" s="728"/>
      <c r="AJ6" s="728"/>
      <c r="AK6" s="728"/>
      <c r="AL6" s="728"/>
      <c r="AM6" s="305" t="s">
        <v>3518</v>
      </c>
      <c r="AO6" s="734"/>
      <c r="AP6" s="734"/>
      <c r="AQ6" s="417"/>
      <c r="AR6" s="417"/>
      <c r="AS6" s="417"/>
    </row>
    <row r="7" spans="1:53" ht="14.85" customHeight="1">
      <c r="B7" s="306" t="str">
        <f>'Translate&amp;Prices&amp;Logo'!$B$252</f>
        <v>Kontaktní tel.</v>
      </c>
      <c r="C7" s="306"/>
      <c r="D7" s="306"/>
      <c r="E7" s="306"/>
      <c r="F7" s="306"/>
      <c r="G7" s="283"/>
      <c r="H7" s="726">
        <f>Zakaznik!$K$17</f>
        <v>0</v>
      </c>
      <c r="I7" s="726"/>
      <c r="J7" s="726"/>
      <c r="K7" s="726"/>
      <c r="L7" s="726"/>
      <c r="M7" s="726"/>
      <c r="N7" s="726"/>
      <c r="U7" s="731">
        <f>Zakaznik!$K$26</f>
        <v>0</v>
      </c>
      <c r="V7" s="731"/>
      <c r="W7" s="731"/>
      <c r="X7" s="731"/>
      <c r="Y7" s="731"/>
      <c r="Z7" s="731"/>
      <c r="AA7" s="30"/>
      <c r="AB7" s="727" t="str">
        <f>IF(AND(Hlavní!V39=3,Zakaznik!K23="Dostawa na adres"),"Cena razem","")</f>
        <v/>
      </c>
      <c r="AC7" s="727"/>
      <c r="AD7" s="727"/>
      <c r="AE7" s="727"/>
      <c r="AF7" s="727"/>
      <c r="AG7" s="36"/>
      <c r="AH7" s="728">
        <f>SUM(AH5:AL6)</f>
        <v>0</v>
      </c>
      <c r="AI7" s="728"/>
      <c r="AJ7" s="728"/>
      <c r="AK7" s="728"/>
      <c r="AL7" s="728"/>
      <c r="AM7" s="305" t="s">
        <v>3518</v>
      </c>
      <c r="AO7" s="734"/>
      <c r="AP7" s="734"/>
    </row>
    <row r="8" spans="1:53" ht="14.85" customHeight="1">
      <c r="K8" s="298"/>
      <c r="L8" s="298"/>
      <c r="M8" s="298"/>
      <c r="N8" s="298"/>
      <c r="O8" s="298"/>
      <c r="Q8" s="31"/>
      <c r="R8" s="299"/>
      <c r="S8" s="299"/>
      <c r="T8" s="299"/>
      <c r="U8" s="731">
        <f>Zakaznik!$K$27</f>
        <v>0</v>
      </c>
      <c r="V8" s="731"/>
      <c r="W8" s="731"/>
      <c r="X8" s="731"/>
      <c r="Y8" s="731"/>
      <c r="Z8" s="731"/>
      <c r="AA8" s="30"/>
      <c r="AB8" s="30"/>
      <c r="AC8" s="31"/>
      <c r="AE8" s="302"/>
      <c r="AF8" s="302"/>
      <c r="AG8" s="302"/>
      <c r="AH8" s="302"/>
      <c r="AI8" s="302"/>
      <c r="AJ8" s="302"/>
    </row>
    <row r="9" spans="1:53" ht="15" customHeight="1">
      <c r="B9" s="727" t="str">
        <f>'Translate&amp;Prices&amp;Logo'!$B$256</f>
        <v>Sleva na rámečky</v>
      </c>
      <c r="C9" s="727"/>
      <c r="D9" s="727"/>
      <c r="E9" s="727"/>
      <c r="F9" s="727"/>
      <c r="G9" s="283"/>
      <c r="H9" s="729">
        <f>Zakaznik!$K$21</f>
        <v>0</v>
      </c>
      <c r="I9" s="729"/>
      <c r="J9" s="729"/>
      <c r="K9" s="729"/>
      <c r="L9" s="729"/>
      <c r="M9" s="729"/>
      <c r="N9" s="729"/>
      <c r="AB9" s="683" t="str">
        <f>IF(ISTEXT(AH6)=TRUE,VLOOKUP(AH6,'kalkulace dopravy'!X2:Y4,2,0),"")</f>
        <v/>
      </c>
      <c r="AC9" s="683"/>
      <c r="AD9" s="683"/>
      <c r="AE9" s="683"/>
      <c r="AF9" s="683"/>
      <c r="AG9" s="683"/>
      <c r="AH9" s="683"/>
      <c r="AI9" s="683"/>
      <c r="AJ9" s="683"/>
      <c r="AK9" s="683"/>
      <c r="AL9" s="683"/>
      <c r="AM9" s="683"/>
      <c r="AN9" s="683"/>
      <c r="AO9" s="683"/>
      <c r="AP9" s="316"/>
      <c r="AU9" s="1">
        <f>IF(Hlavní!$V$39=3,1,2)</f>
        <v>2</v>
      </c>
    </row>
    <row r="10" spans="1:53" ht="15" customHeight="1">
      <c r="B10" s="308">
        <f>Zakaznik!$K$21</f>
        <v>0</v>
      </c>
      <c r="C10" s="97"/>
      <c r="D10" s="97"/>
      <c r="E10" s="97"/>
      <c r="F10" s="97"/>
      <c r="AB10" s="683"/>
      <c r="AC10" s="683"/>
      <c r="AD10" s="683"/>
      <c r="AE10" s="683"/>
      <c r="AF10" s="683"/>
      <c r="AG10" s="683"/>
      <c r="AH10" s="683"/>
      <c r="AI10" s="683"/>
      <c r="AJ10" s="683"/>
      <c r="AK10" s="683"/>
      <c r="AL10" s="683"/>
      <c r="AM10" s="683"/>
      <c r="AN10" s="683"/>
      <c r="AO10" s="683"/>
      <c r="AP10" s="316"/>
      <c r="AU10" s="1">
        <f>IF(Zakaznik!K23="Dostawa na adres",1,2)</f>
        <v>2</v>
      </c>
    </row>
    <row r="11" spans="1:53" ht="14.85" customHeight="1" thickBot="1">
      <c r="AK11" s="725"/>
      <c r="AL11" s="725"/>
      <c r="AM11" s="725"/>
      <c r="AN11" s="316"/>
      <c r="AO11" s="316"/>
      <c r="AP11" s="316"/>
    </row>
    <row r="12" spans="1:53" ht="14.85" customHeight="1" thickTop="1">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10"/>
      <c r="AF12" s="111"/>
      <c r="AG12" s="109"/>
      <c r="AH12" s="109"/>
      <c r="AI12" s="109"/>
      <c r="AJ12" s="109"/>
      <c r="AK12" s="109"/>
      <c r="AL12" s="109"/>
      <c r="AM12" s="109"/>
      <c r="AN12" s="109"/>
      <c r="AO12" s="109"/>
      <c r="BA12" s="1"/>
    </row>
    <row r="13" spans="1:53" ht="14.85" customHeight="1">
      <c r="D13" s="735" t="str">
        <f>"&lt; "&amp;'Translate&amp;Prices&amp;Logo'!$B$576&amp;" -- "&amp;Ram_1!$A$2</f>
        <v>&lt; Zpět -- Rámeček  1</v>
      </c>
      <c r="E13" s="735"/>
      <c r="F13" s="735"/>
      <c r="G13" s="735"/>
      <c r="H13" s="735"/>
      <c r="BA13" s="1"/>
    </row>
    <row r="14" spans="1:53" ht="14.85" customHeight="1"/>
    <row r="15" spans="1:53" ht="14.85" customHeight="1"/>
    <row r="16" spans="1:53" ht="14.85" customHeight="1">
      <c r="AU16" s="667"/>
    </row>
    <row r="17" spans="47:53" ht="14.85" customHeight="1">
      <c r="AU17" s="667"/>
    </row>
    <row r="18" spans="47:53" ht="14.85" customHeight="1"/>
    <row r="19" spans="47:53" ht="14.85" customHeight="1">
      <c r="AU19" s="667"/>
      <c r="BA19" s="1"/>
    </row>
    <row r="20" spans="47:53" ht="14.85" customHeight="1">
      <c r="AU20" s="667"/>
    </row>
    <row r="21" spans="47:53" ht="14.85" customHeight="1"/>
    <row r="22" spans="47:53" ht="14.85" customHeight="1"/>
    <row r="23" spans="47:53" ht="14.85" customHeight="1"/>
    <row r="24" spans="47:53" ht="14.85" customHeight="1"/>
    <row r="25" spans="47:53" ht="14.85" customHeight="1"/>
    <row r="26" spans="47:53" ht="14.85" customHeight="1"/>
    <row r="27" spans="47:53" ht="14.85" customHeight="1"/>
    <row r="28" spans="47:53" ht="14.85" customHeight="1"/>
    <row r="29" spans="47:53" ht="14.85" customHeight="1"/>
    <row r="30" spans="47:53" ht="14.85" customHeight="1"/>
    <row r="31" spans="47:53" ht="14.85" customHeight="1"/>
    <row r="32" spans="47:53" ht="14.85" customHeight="1"/>
    <row r="33" spans="2:41" ht="14.85" customHeight="1"/>
    <row r="34" spans="2:41" ht="14.85" customHeight="1"/>
    <row r="35" spans="2:41" ht="14.85" customHeight="1"/>
    <row r="36" spans="2:41" ht="14.85" customHeight="1"/>
    <row r="37" spans="2:41" ht="14.85" customHeight="1"/>
    <row r="38" spans="2:41" ht="14.85" customHeight="1">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1"/>
      <c r="AF38" s="42"/>
      <c r="AG38" s="40"/>
      <c r="AH38" s="40"/>
      <c r="AI38" s="40"/>
      <c r="AJ38" s="40"/>
      <c r="AK38" s="40"/>
      <c r="AL38" s="40"/>
      <c r="AM38" s="40"/>
      <c r="AN38" s="40"/>
      <c r="AO38" s="40"/>
    </row>
    <row r="39" spans="2:41" ht="15"/>
    <row r="40" spans="2:41" ht="15">
      <c r="D40" s="735" t="str">
        <f>"&lt; "&amp;'Translate&amp;Prices&amp;Logo'!$B$576&amp;" -- "&amp;Ram_2!$A$2</f>
        <v>&lt; Zpět -- Rámeček  2</v>
      </c>
      <c r="E40" s="735"/>
      <c r="F40" s="735"/>
      <c r="G40" s="735"/>
      <c r="H40" s="735"/>
    </row>
    <row r="41" spans="2:41" ht="15"/>
    <row r="42" spans="2:41" ht="15"/>
    <row r="43" spans="2:41" ht="15"/>
    <row r="44" spans="2:41" ht="15"/>
    <row r="45" spans="2:41" ht="15"/>
    <row r="46" spans="2:41" ht="15"/>
    <row r="47" spans="2:41" ht="15"/>
    <row r="48" spans="2:41" ht="15"/>
    <row r="49" ht="15"/>
    <row r="50" ht="15"/>
    <row r="51" ht="15"/>
    <row r="52" ht="15"/>
    <row r="53" ht="15"/>
    <row r="54" ht="15"/>
    <row r="55" ht="15"/>
    <row r="56" ht="15"/>
    <row r="57" ht="15"/>
    <row r="58" ht="15"/>
    <row r="59" ht="15"/>
    <row r="60" ht="15"/>
    <row r="61" ht="15"/>
    <row r="62" ht="15"/>
    <row r="63" ht="15"/>
    <row r="64" ht="15"/>
    <row r="65" spans="2:41" ht="15">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1"/>
      <c r="AF65" s="42"/>
      <c r="AG65" s="40"/>
      <c r="AH65" s="40"/>
      <c r="AI65" s="40"/>
      <c r="AJ65" s="40"/>
      <c r="AK65" s="40"/>
      <c r="AL65" s="40"/>
      <c r="AM65" s="40"/>
      <c r="AN65" s="40"/>
      <c r="AO65" s="40"/>
    </row>
    <row r="66" spans="2:41" ht="15"/>
    <row r="67" spans="2:41" ht="15">
      <c r="D67" s="735" t="str">
        <f>"&lt; "&amp;'Translate&amp;Prices&amp;Logo'!$B$576&amp;" -- "&amp;Ram_3!$A$2</f>
        <v>&lt; Zpět -- Rámeček  3</v>
      </c>
      <c r="E67" s="735"/>
      <c r="F67" s="735"/>
      <c r="G67" s="735"/>
      <c r="H67" s="735"/>
    </row>
    <row r="68" spans="2:41" ht="15"/>
    <row r="69" spans="2:41" ht="15"/>
    <row r="70" spans="2:41" ht="15"/>
    <row r="71" spans="2:41" ht="15"/>
    <row r="72" spans="2:41" ht="15"/>
    <row r="73" spans="2:41" ht="15"/>
    <row r="74" spans="2:41" ht="15"/>
    <row r="75" spans="2:41" ht="15"/>
    <row r="76" spans="2:41" ht="15"/>
    <row r="77" spans="2:41" ht="15"/>
    <row r="78" spans="2:41" ht="15"/>
    <row r="79" spans="2:41" ht="15"/>
    <row r="80" spans="2:41" ht="15"/>
    <row r="81" spans="2:41" ht="15"/>
    <row r="82" spans="2:41" ht="15"/>
    <row r="83" spans="2:41" ht="15"/>
    <row r="84" spans="2:41" ht="15"/>
    <row r="85" spans="2:41" ht="15"/>
    <row r="86" spans="2:41" ht="15"/>
    <row r="87" spans="2:41" ht="15"/>
    <row r="88" spans="2:41" ht="15"/>
    <row r="89" spans="2:41" ht="15"/>
    <row r="90" spans="2:41" ht="15"/>
    <row r="91" spans="2:41" ht="15"/>
    <row r="92" spans="2:41" ht="15">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1"/>
      <c r="AF92" s="42"/>
      <c r="AG92" s="40"/>
      <c r="AH92" s="40"/>
      <c r="AI92" s="40"/>
      <c r="AJ92" s="40"/>
      <c r="AK92" s="40"/>
      <c r="AL92" s="40"/>
      <c r="AM92" s="40"/>
      <c r="AN92" s="40"/>
      <c r="AO92" s="40"/>
    </row>
    <row r="93" spans="2:41" ht="14.85" customHeight="1"/>
    <row r="94" spans="2:41" ht="14.85" customHeight="1">
      <c r="D94" s="735" t="str">
        <f>"&lt; "&amp;'Translate&amp;Prices&amp;Logo'!$B$576&amp;" -- "&amp;Ram_4!$A$2</f>
        <v>&lt; Zpět -- Rámeček  4</v>
      </c>
      <c r="E94" s="735"/>
      <c r="F94" s="735"/>
      <c r="G94" s="735"/>
      <c r="H94" s="735"/>
    </row>
    <row r="95" spans="2:41" ht="14.85" customHeight="1"/>
    <row r="96" spans="2:41"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spans="2:41" ht="14.85" customHeight="1"/>
    <row r="114" spans="2:41" ht="14.85" customHeight="1"/>
    <row r="115" spans="2:41" ht="14.85" customHeight="1"/>
    <row r="116" spans="2:41" ht="14.85" customHeight="1"/>
    <row r="117" spans="2:41" ht="14.85" customHeight="1"/>
    <row r="118" spans="2:41" ht="14.85" customHeight="1"/>
    <row r="119" spans="2:41" ht="14.85" customHeight="1">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1"/>
      <c r="AF119" s="42"/>
      <c r="AG119" s="40"/>
      <c r="AH119" s="40"/>
      <c r="AI119" s="40"/>
      <c r="AJ119" s="40"/>
      <c r="AK119" s="40"/>
      <c r="AL119" s="40"/>
      <c r="AM119" s="40"/>
      <c r="AN119" s="40"/>
      <c r="AO119" s="40"/>
    </row>
    <row r="120" spans="2:41" ht="14.85" customHeight="1"/>
    <row r="121" spans="2:41" ht="14.85" customHeight="1">
      <c r="D121" s="735" t="str">
        <f>"&lt; "&amp;'Translate&amp;Prices&amp;Logo'!$B$576&amp;" -- "&amp;Ram_5!$A$2</f>
        <v>&lt; Zpět -- Rámeček  5</v>
      </c>
      <c r="E121" s="735"/>
      <c r="F121" s="735"/>
      <c r="G121" s="735"/>
      <c r="H121" s="735"/>
    </row>
    <row r="122" spans="2:41" ht="14.85" customHeight="1"/>
    <row r="123" spans="2:41" ht="14.85" customHeight="1"/>
    <row r="124" spans="2:41" ht="14.85" customHeight="1"/>
    <row r="125" spans="2:41" ht="14.85" customHeight="1"/>
    <row r="126" spans="2:41" ht="14.85" customHeight="1"/>
    <row r="127" spans="2:41" ht="14.85" customHeight="1"/>
    <row r="128" spans="2:41"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spans="2:41" ht="14.85" customHeight="1"/>
    <row r="146" spans="2:41" ht="14.85" customHeight="1">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1"/>
      <c r="AF146" s="42"/>
      <c r="AG146" s="40"/>
      <c r="AH146" s="40"/>
      <c r="AI146" s="40"/>
      <c r="AJ146" s="40"/>
      <c r="AK146" s="40"/>
      <c r="AL146" s="40"/>
      <c r="AM146" s="40"/>
      <c r="AN146" s="40"/>
      <c r="AO146" s="40"/>
    </row>
    <row r="147" spans="2:41" ht="14.85" customHeight="1"/>
    <row r="148" spans="2:41" ht="14.85" customHeight="1">
      <c r="D148" s="735" t="str">
        <f>"&lt; "&amp;'Translate&amp;Prices&amp;Logo'!$B$576&amp;" -- "&amp;Ram_6!$A$2</f>
        <v>&lt; Zpět -- Rámeček  6</v>
      </c>
      <c r="E148" s="735"/>
      <c r="F148" s="735"/>
      <c r="G148" s="735"/>
      <c r="H148" s="735"/>
    </row>
    <row r="149" spans="2:41" ht="14.85" customHeight="1"/>
    <row r="150" spans="2:41" ht="14.85" customHeight="1"/>
    <row r="151" spans="2:41" ht="14.85" customHeight="1"/>
    <row r="152" spans="2:41" ht="14.85" customHeight="1"/>
    <row r="153" spans="2:41" ht="14.85" customHeight="1"/>
    <row r="154" spans="2:41" ht="14.85" customHeight="1"/>
    <row r="155" spans="2:41" ht="14.85" customHeight="1"/>
    <row r="156" spans="2:41" ht="14.85" customHeight="1"/>
    <row r="157" spans="2:41" ht="14.85" customHeight="1"/>
    <row r="158" spans="2:41" ht="14.85" customHeight="1"/>
    <row r="159" spans="2:41" ht="14.85" customHeight="1"/>
    <row r="160" spans="2:41" ht="14.85" customHeight="1"/>
    <row r="161" spans="2:41" ht="14.85" customHeight="1"/>
    <row r="162" spans="2:41" ht="14.85" customHeight="1"/>
    <row r="163" spans="2:41" ht="14.85" customHeight="1"/>
    <row r="164" spans="2:41" ht="14.85" customHeight="1"/>
    <row r="165" spans="2:41" ht="14.85" customHeight="1"/>
    <row r="166" spans="2:41" ht="14.85" customHeight="1"/>
    <row r="167" spans="2:41" ht="14.85" customHeight="1"/>
    <row r="168" spans="2:41" ht="14.85" customHeight="1"/>
    <row r="169" spans="2:41" ht="14.85" customHeight="1"/>
    <row r="170" spans="2:41" ht="14.85" customHeight="1"/>
    <row r="171" spans="2:41" ht="14.85" customHeight="1"/>
    <row r="172" spans="2:41" ht="14.85" customHeight="1"/>
    <row r="173" spans="2:41" ht="14.85" customHeight="1">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1"/>
      <c r="AF173" s="42"/>
      <c r="AG173" s="40"/>
      <c r="AH173" s="40"/>
      <c r="AI173" s="40"/>
      <c r="AJ173" s="40"/>
      <c r="AK173" s="40"/>
      <c r="AL173" s="40"/>
      <c r="AM173" s="40"/>
      <c r="AN173" s="40"/>
      <c r="AO173" s="40"/>
    </row>
    <row r="174" spans="2:41" ht="14.85" customHeight="1"/>
    <row r="175" spans="2:41" ht="32.85" customHeight="1">
      <c r="J175" s="121"/>
      <c r="K175" s="121"/>
      <c r="L175" s="121"/>
      <c r="M175" s="121"/>
      <c r="N175" s="121"/>
      <c r="O175" s="121"/>
      <c r="P175" s="121"/>
      <c r="Q175" s="121"/>
      <c r="R175" s="121"/>
      <c r="S175" s="121"/>
      <c r="T175" s="121"/>
      <c r="U175" s="121"/>
      <c r="V175" s="121"/>
      <c r="W175" s="121"/>
      <c r="X175" s="121"/>
      <c r="Y175" s="121"/>
      <c r="Z175" s="9"/>
      <c r="AA175" s="136"/>
      <c r="AB175" s="136"/>
      <c r="AC175" s="136"/>
      <c r="AD175" s="136"/>
      <c r="AE175" s="136"/>
      <c r="AF175" s="136"/>
      <c r="AG175" s="136"/>
      <c r="AH175" s="136"/>
      <c r="AI175" s="136"/>
      <c r="AJ175" s="136"/>
      <c r="AK175" s="136"/>
      <c r="AL175" s="136"/>
      <c r="AM175" s="136"/>
    </row>
    <row r="176" spans="2:41" ht="14.85" customHeight="1"/>
    <row r="177" ht="14.85" customHeight="1"/>
    <row r="178" ht="14.85" customHeight="1"/>
  </sheetData>
  <sheetProtection algorithmName="SHA-512" hashValue="NH1WSMRfzXqFoY53VtdXcuxmlh7rkqeJYSm3wlikTLfA7b2Rqs0yNJNYP5MX5+3NmtmSV/6GxNc1a2GEMkWVvw==" saltValue="+6L9GsNJFOYdrPVWbZK3XQ==" spinCount="100000" sheet="1" objects="1" scenarios="1"/>
  <mergeCells count="29">
    <mergeCell ref="H5:N5"/>
    <mergeCell ref="H6:N6"/>
    <mergeCell ref="U7:Z7"/>
    <mergeCell ref="D121:H121"/>
    <mergeCell ref="D148:H148"/>
    <mergeCell ref="D13:H13"/>
    <mergeCell ref="D40:H40"/>
    <mergeCell ref="D67:H67"/>
    <mergeCell ref="D94:H94"/>
    <mergeCell ref="B9:F9"/>
    <mergeCell ref="U8:Z8"/>
    <mergeCell ref="AM1:AP1"/>
    <mergeCell ref="AL2:AP3"/>
    <mergeCell ref="Q5:S5"/>
    <mergeCell ref="Q6:S6"/>
    <mergeCell ref="U5:Z5"/>
    <mergeCell ref="U6:Z6"/>
    <mergeCell ref="AB6:AF6"/>
    <mergeCell ref="AH5:AL5"/>
    <mergeCell ref="AH6:AL6"/>
    <mergeCell ref="AO5:AP7"/>
    <mergeCell ref="AU19:AU20"/>
    <mergeCell ref="AU16:AU17"/>
    <mergeCell ref="AK11:AM11"/>
    <mergeCell ref="H7:N7"/>
    <mergeCell ref="AB7:AF7"/>
    <mergeCell ref="AH7:AL7"/>
    <mergeCell ref="H9:N9"/>
    <mergeCell ref="AB9:AO10"/>
  </mergeCells>
  <phoneticPr fontId="15" type="noConversion"/>
  <conditionalFormatting sqref="Q5:Z5">
    <cfRule type="expression" dxfId="137" priority="6">
      <formula>$AU$9=2</formula>
    </cfRule>
  </conditionalFormatting>
  <conditionalFormatting sqref="Q6:AM8">
    <cfRule type="expression" dxfId="136" priority="3">
      <formula>$AU$10=2</formula>
    </cfRule>
  </conditionalFormatting>
  <hyperlinks>
    <hyperlink ref="D13:H13" location="Ram_1!H8" display="Ram_1!H8" xr:uid="{D68FF964-65D5-4DF8-BB19-6E4611C7C298}"/>
    <hyperlink ref="AL2:AO3" location="Hlavní!A1" display="Hlavní!A1" xr:uid="{9E78D769-C235-4371-AE7A-D533C59D2D23}"/>
    <hyperlink ref="D40:H40" location="Ram_2!H8" display="Ram_2!H8" xr:uid="{B2B6E23E-98E1-4A74-A4CC-287AF17859A8}"/>
    <hyperlink ref="D67:H67" location="Ram_3!H8" display="Ram_3!H8" xr:uid="{27F39622-A6EB-444A-8664-AB9AA9E8B35A}"/>
    <hyperlink ref="D94:H94" location="Ram_4!H8" display="Ram_4!H8" xr:uid="{C1B191D4-0306-4C82-9C1A-25094FF04AE6}"/>
    <hyperlink ref="D121:H121" location="Ram_5!H8" display="Ram_5!H8" xr:uid="{E1894653-1B92-4B0F-B555-612DD37C8B8B}"/>
    <hyperlink ref="D148:H148" location="Ram_6!H8" display="Ram_6!H8" xr:uid="{A7FB2F7E-A023-4419-8967-6071ED00C37A}"/>
    <hyperlink ref="AL2:AP3" location="Hlavní!A1" display="Hlavní!A1" xr:uid="{7C022376-6675-4BD2-B924-520BBC522039}"/>
    <hyperlink ref="AO5:AP7" location="'cennik transportu PL'!A1" display="'cennik transportu PL'!A1" xr:uid="{31E73882-73F1-4F60-9AED-7DD55DDDE670}"/>
  </hyperlinks>
  <pageMargins left="0.7" right="0.7" top="0.78740157499999996" bottom="0.78740157499999996" header="0.3" footer="0.3"/>
  <pageSetup paperSize="9" scale="70" fitToHeight="6" orientation="landscape" verticalDpi="300" r:id="rId1"/>
  <rowBreaks count="5" manualBreakCount="5">
    <brk id="38" max="41" man="1"/>
    <brk id="65" max="41" man="1"/>
    <brk id="92" max="41" man="1"/>
    <brk id="119" max="41" man="1"/>
    <brk id="146" max="41" man="1"/>
  </rowBreaks>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F5EA-3DED-4211-A689-5804FC89909E}">
  <sheetPr codeName="List20">
    <tabColor rgb="FF92D050"/>
  </sheetPr>
  <dimension ref="A1:BS129"/>
  <sheetViews>
    <sheetView showGridLines="0" showRowColHeaders="0" workbookViewId="0">
      <selection activeCell="AT2" sqref="AT2:AX3"/>
    </sheetView>
  </sheetViews>
  <sheetFormatPr defaultColWidth="0" defaultRowHeight="16.5" customHeight="1" zeroHeight="1"/>
  <cols>
    <col min="1" max="30" width="4.42578125" style="1" customWidth="1"/>
    <col min="31" max="31" width="4.42578125" style="13" customWidth="1"/>
    <col min="32" max="32" width="4.42578125" style="11" customWidth="1"/>
    <col min="33" max="50" width="4.42578125" style="1" customWidth="1"/>
    <col min="51" max="16384" width="8.5703125" style="1" hidden="1"/>
  </cols>
  <sheetData>
    <row r="1" spans="1:50" ht="15">
      <c r="A1" s="38"/>
      <c r="B1" s="38"/>
      <c r="C1" s="38"/>
      <c r="D1" s="38"/>
      <c r="E1" s="38"/>
      <c r="F1" s="38"/>
      <c r="G1" s="38"/>
      <c r="H1" s="38"/>
      <c r="I1" s="38"/>
      <c r="J1" s="38"/>
      <c r="K1" s="38"/>
      <c r="L1" s="38"/>
      <c r="M1" s="38"/>
      <c r="N1" s="38"/>
      <c r="O1" s="38"/>
      <c r="P1" s="38"/>
      <c r="Q1" s="38"/>
      <c r="R1" s="38"/>
      <c r="S1" s="38"/>
      <c r="T1" s="38"/>
      <c r="U1" s="38"/>
      <c r="V1" s="38"/>
      <c r="AP1" s="38"/>
      <c r="AQ1" s="38"/>
      <c r="AR1" s="38"/>
      <c r="AS1" s="38"/>
      <c r="AT1" s="38"/>
      <c r="AU1" s="38"/>
      <c r="AV1" s="38"/>
      <c r="AW1" s="38"/>
      <c r="AX1" s="38"/>
    </row>
    <row r="2" spans="1:50" ht="15.7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15"/>
      <c r="AO2" s="15"/>
      <c r="AP2" s="15"/>
      <c r="AQ2" s="15"/>
      <c r="AR2" s="15"/>
      <c r="AS2" s="39"/>
      <c r="AT2" s="742" t="str">
        <f>'Translate&amp;Prices&amp;Logo'!$B$542</f>
        <v>Úvod</v>
      </c>
      <c r="AU2" s="742"/>
      <c r="AV2" s="742"/>
      <c r="AW2" s="742"/>
      <c r="AX2" s="742"/>
    </row>
    <row r="3" spans="1:50" ht="15.7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6"/>
      <c r="AF3" s="17"/>
      <c r="AG3" s="15"/>
      <c r="AH3" s="15"/>
      <c r="AI3" s="15"/>
      <c r="AJ3" s="15"/>
      <c r="AK3" s="15"/>
      <c r="AL3" s="15"/>
      <c r="AM3" s="15"/>
      <c r="AN3" s="15"/>
      <c r="AO3" s="15"/>
      <c r="AP3" s="15"/>
      <c r="AQ3" s="15"/>
      <c r="AR3" s="15"/>
      <c r="AS3" s="39"/>
      <c r="AT3" s="742"/>
      <c r="AU3" s="742"/>
      <c r="AV3" s="742"/>
      <c r="AW3" s="742"/>
      <c r="AX3" s="742"/>
    </row>
    <row r="4" spans="1:50" ht="6.6" customHeight="1">
      <c r="A4" s="38"/>
      <c r="B4" s="38"/>
      <c r="C4" s="38"/>
      <c r="D4" s="38"/>
      <c r="E4" s="38"/>
      <c r="F4" s="38"/>
      <c r="G4" s="38"/>
      <c r="H4" s="38"/>
      <c r="I4" s="38"/>
      <c r="P4" s="739"/>
      <c r="Q4" s="739"/>
      <c r="R4" s="739"/>
      <c r="S4" s="739"/>
      <c r="T4" s="739"/>
      <c r="U4" s="739"/>
      <c r="V4" s="739"/>
      <c r="W4" s="739"/>
      <c r="X4" s="739"/>
      <c r="Y4" s="739"/>
      <c r="Z4" s="739"/>
      <c r="AA4" s="739"/>
      <c r="AB4" s="739"/>
      <c r="AC4" s="739"/>
      <c r="AD4" s="739"/>
      <c r="AP4" s="38"/>
      <c r="AQ4" s="38"/>
      <c r="AR4" s="38"/>
      <c r="AS4" s="38"/>
      <c r="AT4" s="38"/>
      <c r="AU4" s="38"/>
      <c r="AV4" s="38"/>
      <c r="AW4" s="38"/>
    </row>
    <row r="5" spans="1:50" ht="15" customHeight="1">
      <c r="A5" s="38"/>
      <c r="B5" s="38"/>
      <c r="C5" s="38"/>
      <c r="D5" s="38"/>
      <c r="E5" s="38"/>
      <c r="F5" s="38"/>
      <c r="G5" s="38"/>
      <c r="H5" s="38"/>
      <c r="I5" s="38"/>
      <c r="P5" s="739"/>
      <c r="Q5" s="739"/>
      <c r="R5" s="739"/>
      <c r="S5" s="739"/>
      <c r="T5" s="739"/>
      <c r="U5" s="739"/>
      <c r="V5" s="739"/>
      <c r="W5" s="739"/>
      <c r="X5" s="739"/>
      <c r="Y5" s="739"/>
      <c r="Z5" s="739"/>
      <c r="AA5" s="739"/>
      <c r="AB5" s="739"/>
      <c r="AC5" s="739"/>
      <c r="AD5" s="739"/>
      <c r="AP5" s="38"/>
      <c r="AQ5" s="38"/>
      <c r="AR5" s="38"/>
      <c r="AS5" s="38"/>
      <c r="AT5" s="38"/>
      <c r="AU5" s="38"/>
      <c r="AV5" s="38"/>
      <c r="AW5" s="38"/>
    </row>
    <row r="6" spans="1:50" ht="15">
      <c r="A6" s="38"/>
      <c r="B6" s="38"/>
      <c r="C6" s="38"/>
      <c r="D6" s="38"/>
      <c r="E6" s="38"/>
      <c r="F6" s="38"/>
      <c r="G6" s="38"/>
      <c r="H6" s="38"/>
      <c r="I6" s="38"/>
      <c r="J6" s="38"/>
      <c r="K6" s="38"/>
      <c r="L6" s="38"/>
      <c r="M6" s="38"/>
      <c r="N6" s="38"/>
      <c r="O6" s="38"/>
      <c r="P6" s="38"/>
      <c r="Q6" s="38"/>
      <c r="R6" s="38"/>
      <c r="S6" s="38"/>
      <c r="T6" s="38"/>
      <c r="U6" s="38"/>
      <c r="V6" s="38"/>
      <c r="AP6" s="38"/>
      <c r="AQ6" s="38"/>
      <c r="AR6" s="38"/>
      <c r="AS6" s="38"/>
      <c r="AT6" s="38"/>
      <c r="AU6" s="38"/>
      <c r="AV6" s="38"/>
      <c r="AW6" s="38"/>
      <c r="AX6" s="38"/>
    </row>
    <row r="7" spans="1:50" ht="14.85" customHeight="1"/>
    <row r="8" spans="1:50" ht="14.85" customHeight="1"/>
    <row r="9" spans="1:50" ht="14.85" customHeight="1"/>
    <row r="10" spans="1:50" s="20" customFormat="1" ht="14.85" customHeight="1"/>
    <row r="11" spans="1:50" ht="14.85" customHeight="1"/>
    <row r="12" spans="1:50" ht="14.85" customHeight="1"/>
    <row r="13" spans="1:50" ht="14.85" customHeight="1"/>
    <row r="14" spans="1:50" ht="14.85" customHeight="1"/>
    <row r="15" spans="1:50" ht="14.85" customHeight="1"/>
    <row r="16" spans="1:50" s="20" customFormat="1" ht="14.85" customHeight="1"/>
    <row r="17" spans="2:50" ht="14.85" customHeight="1"/>
    <row r="18" spans="2:50" ht="14.85" customHeight="1"/>
    <row r="19" spans="2:50" ht="14.85" customHeight="1"/>
    <row r="20" spans="2:50" ht="14.85" customHeight="1"/>
    <row r="21" spans="2:50" ht="14.85" customHeight="1"/>
    <row r="22" spans="2:50" ht="14.85" customHeight="1"/>
    <row r="23" spans="2:50" ht="14.85" customHeight="1"/>
    <row r="24" spans="2:50" ht="14.85" customHeight="1">
      <c r="AE24" s="1"/>
      <c r="AF24" s="1"/>
    </row>
    <row r="25" spans="2:50" s="20" customFormat="1" ht="14.85" customHeight="1"/>
    <row r="26" spans="2:50" ht="14.85" customHeight="1"/>
    <row r="27" spans="2:50" ht="14.85" customHeight="1"/>
    <row r="28" spans="2:50" ht="14.85" customHeight="1"/>
    <row r="29" spans="2:50" s="20" customFormat="1" ht="12">
      <c r="AQ29" s="740"/>
      <c r="AR29" s="740"/>
      <c r="AS29" s="740"/>
    </row>
    <row r="30" spans="2:50" ht="17.100000000000001" customHeight="1">
      <c r="B30" s="741" t="s">
        <v>150</v>
      </c>
      <c r="C30" s="741"/>
      <c r="D30" s="741"/>
      <c r="E30" s="741"/>
      <c r="F30" s="741"/>
      <c r="G30" s="741"/>
      <c r="H30" s="741"/>
      <c r="I30" s="741"/>
      <c r="J30" s="741"/>
      <c r="K30" s="741"/>
      <c r="L30" s="741"/>
      <c r="M30" s="741"/>
      <c r="N30" s="741"/>
      <c r="O30" s="741"/>
      <c r="P30" s="741"/>
      <c r="Q30" s="741"/>
      <c r="R30" s="741"/>
      <c r="S30" s="741"/>
      <c r="T30" s="741"/>
      <c r="U30" s="741"/>
      <c r="V30" s="741"/>
      <c r="W30" s="741"/>
      <c r="X30" s="741"/>
      <c r="Y30" s="741"/>
      <c r="Z30" s="741"/>
      <c r="AA30" s="741"/>
      <c r="AB30" s="741"/>
      <c r="AC30" s="741"/>
      <c r="AD30" s="741"/>
      <c r="AE30" s="741"/>
      <c r="AF30" s="741"/>
      <c r="AG30" s="741"/>
      <c r="AH30" s="741"/>
      <c r="AI30" s="741"/>
      <c r="AJ30" s="741"/>
      <c r="AK30" s="741"/>
      <c r="AL30" s="741"/>
      <c r="AM30" s="741"/>
      <c r="AN30" s="741"/>
      <c r="AO30" s="741"/>
      <c r="AP30" s="741"/>
      <c r="AQ30" s="741"/>
      <c r="AR30" s="741"/>
      <c r="AS30" s="741"/>
      <c r="AT30" s="741"/>
      <c r="AU30" s="741"/>
      <c r="AV30" s="741"/>
      <c r="AW30" s="741"/>
      <c r="AX30" s="741"/>
    </row>
    <row r="31" spans="2:50" ht="15"/>
    <row r="32" spans="2:50" ht="15">
      <c r="B32" s="20"/>
      <c r="C32" s="736" t="s">
        <v>139</v>
      </c>
      <c r="D32" s="736"/>
      <c r="E32" s="736"/>
      <c r="F32" s="736"/>
      <c r="G32" s="736"/>
      <c r="H32" s="161"/>
      <c r="I32" s="736" t="s">
        <v>140</v>
      </c>
      <c r="J32" s="736"/>
      <c r="K32" s="736"/>
      <c r="L32" s="736"/>
      <c r="M32" s="736"/>
      <c r="N32" s="161"/>
      <c r="O32" s="736" t="s">
        <v>127</v>
      </c>
      <c r="P32" s="736"/>
      <c r="Q32" s="736"/>
      <c r="R32" s="736"/>
      <c r="S32" s="736"/>
      <c r="T32" s="161"/>
      <c r="U32" s="736" t="s">
        <v>129</v>
      </c>
      <c r="V32" s="736"/>
      <c r="W32" s="736"/>
      <c r="X32" s="736"/>
      <c r="Y32" s="736"/>
      <c r="Z32" s="161"/>
      <c r="AA32" s="736" t="s">
        <v>2186</v>
      </c>
      <c r="AB32" s="736"/>
      <c r="AC32" s="736"/>
      <c r="AD32" s="736"/>
      <c r="AE32" s="736"/>
      <c r="AF32" s="161"/>
      <c r="AG32" s="736" t="s">
        <v>137</v>
      </c>
      <c r="AH32" s="736"/>
      <c r="AI32" s="736"/>
      <c r="AJ32" s="736"/>
      <c r="AK32" s="736"/>
      <c r="AL32" s="161"/>
      <c r="AM32" s="736" t="s">
        <v>138</v>
      </c>
      <c r="AN32" s="736"/>
      <c r="AO32" s="736"/>
      <c r="AP32" s="736"/>
      <c r="AQ32" s="736"/>
      <c r="AR32" s="161"/>
      <c r="AS32" s="736" t="s">
        <v>142</v>
      </c>
      <c r="AT32" s="736"/>
      <c r="AU32" s="736"/>
      <c r="AV32" s="736"/>
      <c r="AW32" s="736"/>
      <c r="AX32" s="20"/>
    </row>
    <row r="33" spans="2:71" ht="8.85" customHeight="1">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row>
    <row r="34" spans="2:71" ht="15">
      <c r="C34" s="722"/>
      <c r="D34" s="722"/>
      <c r="E34" s="722"/>
      <c r="F34" s="722"/>
      <c r="G34" s="722"/>
      <c r="H34" s="160"/>
      <c r="I34" s="722"/>
      <c r="J34" s="722"/>
      <c r="K34" s="722"/>
      <c r="L34" s="722"/>
      <c r="M34" s="722"/>
      <c r="N34" s="160"/>
      <c r="O34" s="722"/>
      <c r="P34" s="722"/>
      <c r="Q34" s="722"/>
      <c r="R34" s="722"/>
      <c r="S34" s="722"/>
      <c r="T34" s="160"/>
      <c r="U34" s="722"/>
      <c r="V34" s="722"/>
      <c r="W34" s="722"/>
      <c r="X34" s="722"/>
      <c r="Y34" s="722"/>
      <c r="Z34" s="160"/>
      <c r="AA34" s="722"/>
      <c r="AB34" s="722"/>
      <c r="AC34" s="722"/>
      <c r="AD34" s="722"/>
      <c r="AE34" s="722"/>
      <c r="AF34" s="160"/>
      <c r="AG34" s="722"/>
      <c r="AH34" s="722"/>
      <c r="AI34" s="722"/>
      <c r="AJ34" s="722"/>
      <c r="AK34" s="722"/>
      <c r="AL34" s="160"/>
      <c r="AM34" s="722"/>
      <c r="AN34" s="722"/>
      <c r="AO34" s="722"/>
      <c r="AP34" s="722"/>
      <c r="AQ34" s="722"/>
      <c r="AR34" s="160"/>
      <c r="AS34" s="722"/>
      <c r="AT34" s="722"/>
      <c r="AU34" s="722"/>
      <c r="AV34" s="722"/>
      <c r="AW34" s="722"/>
    </row>
    <row r="35" spans="2:71" ht="14.85" customHeight="1">
      <c r="C35" s="722"/>
      <c r="D35" s="722"/>
      <c r="E35" s="722"/>
      <c r="F35" s="722"/>
      <c r="G35" s="722"/>
      <c r="H35" s="160"/>
      <c r="I35" s="722"/>
      <c r="J35" s="722"/>
      <c r="K35" s="722"/>
      <c r="L35" s="722"/>
      <c r="M35" s="722"/>
      <c r="N35" s="160"/>
      <c r="O35" s="722"/>
      <c r="P35" s="722"/>
      <c r="Q35" s="722"/>
      <c r="R35" s="722"/>
      <c r="S35" s="722"/>
      <c r="T35" s="160"/>
      <c r="U35" s="722"/>
      <c r="V35" s="722"/>
      <c r="W35" s="722"/>
      <c r="X35" s="722"/>
      <c r="Y35" s="722"/>
      <c r="Z35" s="160"/>
      <c r="AA35" s="722"/>
      <c r="AB35" s="722"/>
      <c r="AC35" s="722"/>
      <c r="AD35" s="722"/>
      <c r="AE35" s="722"/>
      <c r="AF35" s="160"/>
      <c r="AG35" s="722"/>
      <c r="AH35" s="722"/>
      <c r="AI35" s="722"/>
      <c r="AJ35" s="722"/>
      <c r="AK35" s="722"/>
      <c r="AL35" s="160"/>
      <c r="AM35" s="722"/>
      <c r="AN35" s="722"/>
      <c r="AO35" s="722"/>
      <c r="AP35" s="722"/>
      <c r="AQ35" s="722"/>
      <c r="AR35" s="160"/>
      <c r="AS35" s="722"/>
      <c r="AT35" s="722"/>
      <c r="AU35" s="722"/>
      <c r="AV35" s="722"/>
      <c r="AW35" s="722"/>
    </row>
    <row r="36" spans="2:71" ht="14.85" customHeight="1">
      <c r="C36" s="722"/>
      <c r="D36" s="722"/>
      <c r="E36" s="722"/>
      <c r="F36" s="722"/>
      <c r="G36" s="722"/>
      <c r="H36" s="160"/>
      <c r="I36" s="722"/>
      <c r="J36" s="722"/>
      <c r="K36" s="722"/>
      <c r="L36" s="722"/>
      <c r="M36" s="722"/>
      <c r="N36" s="160"/>
      <c r="O36" s="722"/>
      <c r="P36" s="722"/>
      <c r="Q36" s="722"/>
      <c r="R36" s="722"/>
      <c r="S36" s="722"/>
      <c r="T36" s="160"/>
      <c r="U36" s="722"/>
      <c r="V36" s="722"/>
      <c r="W36" s="722"/>
      <c r="X36" s="722"/>
      <c r="Y36" s="722"/>
      <c r="Z36" s="160"/>
      <c r="AA36" s="722"/>
      <c r="AB36" s="722"/>
      <c r="AC36" s="722"/>
      <c r="AD36" s="722"/>
      <c r="AE36" s="722"/>
      <c r="AF36" s="160"/>
      <c r="AG36" s="722"/>
      <c r="AH36" s="722"/>
      <c r="AI36" s="722"/>
      <c r="AJ36" s="722"/>
      <c r="AK36" s="722"/>
      <c r="AL36" s="160"/>
      <c r="AM36" s="722"/>
      <c r="AN36" s="722"/>
      <c r="AO36" s="722"/>
      <c r="AP36" s="722"/>
      <c r="AQ36" s="722"/>
      <c r="AR36" s="160"/>
      <c r="AS36" s="722"/>
      <c r="AT36" s="722"/>
      <c r="AU36" s="722"/>
      <c r="AV36" s="722"/>
      <c r="AW36" s="722"/>
    </row>
    <row r="37" spans="2:71" ht="14.85" customHeight="1">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2"/>
      <c r="AF37" s="163"/>
      <c r="AG37" s="160"/>
      <c r="AH37" s="160"/>
      <c r="AI37" s="160"/>
      <c r="AJ37" s="160"/>
      <c r="AK37" s="160"/>
      <c r="AL37" s="160"/>
      <c r="AM37" s="160"/>
      <c r="AN37" s="160"/>
      <c r="AO37" s="160"/>
      <c r="AP37" s="160"/>
      <c r="AQ37" s="160"/>
      <c r="AR37" s="160"/>
      <c r="AS37" s="160"/>
      <c r="AT37" s="160"/>
      <c r="AU37" s="160"/>
      <c r="AV37" s="160"/>
      <c r="AW37" s="160"/>
      <c r="BC37" s="738" t="str">
        <f>'Translate&amp;Prices&amp;Logo'!$B$259</f>
        <v>Barevné náhledy u jednotlivých názvů RAL a REF jsou pouze orientační!!!!</v>
      </c>
      <c r="BD37" s="738"/>
      <c r="BE37" s="738"/>
      <c r="BF37" s="738"/>
      <c r="BG37" s="738"/>
      <c r="BH37" s="738"/>
      <c r="BI37" s="738"/>
      <c r="BJ37" s="738"/>
      <c r="BK37" s="738"/>
      <c r="BL37" s="738"/>
      <c r="BM37" s="738"/>
      <c r="BN37" s="738"/>
      <c r="BO37" s="738"/>
      <c r="BP37" s="738"/>
      <c r="BQ37" s="738"/>
      <c r="BR37" s="738"/>
      <c r="BS37" s="738"/>
    </row>
    <row r="38" spans="2:71" ht="14.85" customHeight="1">
      <c r="B38" s="20"/>
      <c r="C38" s="736" t="s">
        <v>130</v>
      </c>
      <c r="D38" s="736"/>
      <c r="E38" s="736"/>
      <c r="F38" s="736"/>
      <c r="G38" s="736"/>
      <c r="H38" s="161"/>
      <c r="I38" s="736" t="s">
        <v>131</v>
      </c>
      <c r="J38" s="736"/>
      <c r="K38" s="736"/>
      <c r="L38" s="736"/>
      <c r="M38" s="736"/>
      <c r="N38" s="161"/>
      <c r="O38" s="736" t="s">
        <v>134</v>
      </c>
      <c r="P38" s="736"/>
      <c r="Q38" s="736"/>
      <c r="R38" s="736"/>
      <c r="S38" s="736"/>
      <c r="T38" s="161"/>
      <c r="U38" s="736" t="s">
        <v>136</v>
      </c>
      <c r="V38" s="736"/>
      <c r="W38" s="736"/>
      <c r="X38" s="736"/>
      <c r="Y38" s="736"/>
      <c r="Z38" s="161"/>
      <c r="AA38" s="736" t="s">
        <v>133</v>
      </c>
      <c r="AB38" s="736"/>
      <c r="AC38" s="736"/>
      <c r="AD38" s="736"/>
      <c r="AE38" s="736"/>
      <c r="AF38" s="161"/>
      <c r="AG38" s="736" t="s">
        <v>141</v>
      </c>
      <c r="AH38" s="736"/>
      <c r="AI38" s="736"/>
      <c r="AJ38" s="736"/>
      <c r="AK38" s="736"/>
      <c r="AL38" s="161"/>
      <c r="AM38" s="736" t="s">
        <v>2187</v>
      </c>
      <c r="AN38" s="736"/>
      <c r="AO38" s="736"/>
      <c r="AP38" s="736"/>
      <c r="AQ38" s="736"/>
      <c r="AR38" s="161"/>
      <c r="AS38" s="736" t="s">
        <v>2188</v>
      </c>
      <c r="AT38" s="736"/>
      <c r="AU38" s="736"/>
      <c r="AV38" s="736"/>
      <c r="AW38" s="736"/>
      <c r="AX38" s="20"/>
      <c r="BC38" s="737" t="str">
        <f>'Translate&amp;Prices&amp;Logo'!$B$331</f>
        <v>Vzorkovník skel je možné objednat pod kódy Lacebel VZK003P a Matelac VZK004P.</v>
      </c>
      <c r="BD38" s="737"/>
      <c r="BE38" s="737"/>
      <c r="BF38" s="737"/>
      <c r="BG38" s="737"/>
      <c r="BH38" s="737"/>
      <c r="BI38" s="737"/>
      <c r="BJ38" s="737"/>
      <c r="BK38" s="737"/>
      <c r="BL38" s="737"/>
      <c r="BM38" s="737"/>
      <c r="BN38" s="737"/>
      <c r="BO38" s="737"/>
      <c r="BP38" s="737"/>
      <c r="BQ38" s="737"/>
      <c r="BR38" s="737"/>
      <c r="BS38" s="737"/>
    </row>
    <row r="39" spans="2:71" ht="8.85" customHeight="1">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row>
    <row r="40" spans="2:71" ht="15">
      <c r="C40" s="722"/>
      <c r="D40" s="722"/>
      <c r="E40" s="722"/>
      <c r="F40" s="722"/>
      <c r="G40" s="722"/>
      <c r="H40" s="160"/>
      <c r="I40" s="722"/>
      <c r="J40" s="722"/>
      <c r="K40" s="722"/>
      <c r="L40" s="722"/>
      <c r="M40" s="722"/>
      <c r="N40" s="160"/>
      <c r="O40" s="722"/>
      <c r="P40" s="722"/>
      <c r="Q40" s="722"/>
      <c r="R40" s="722"/>
      <c r="S40" s="722"/>
      <c r="T40" s="160"/>
      <c r="U40" s="722"/>
      <c r="V40" s="722"/>
      <c r="W40" s="722"/>
      <c r="X40" s="722"/>
      <c r="Y40" s="722"/>
      <c r="Z40" s="160"/>
      <c r="AA40" s="722"/>
      <c r="AB40" s="722"/>
      <c r="AC40" s="722"/>
      <c r="AD40" s="722"/>
      <c r="AE40" s="722"/>
      <c r="AF40" s="160"/>
      <c r="AG40" s="722"/>
      <c r="AH40" s="722"/>
      <c r="AI40" s="722"/>
      <c r="AJ40" s="722"/>
      <c r="AK40" s="722"/>
      <c r="AL40" s="160"/>
      <c r="AM40" s="722"/>
      <c r="AN40" s="722"/>
      <c r="AO40" s="722"/>
      <c r="AP40" s="722"/>
      <c r="AQ40" s="722"/>
      <c r="AR40" s="160"/>
      <c r="AS40" s="722"/>
      <c r="AT40" s="722"/>
      <c r="AU40" s="722"/>
      <c r="AV40" s="722"/>
      <c r="AW40" s="722"/>
    </row>
    <row r="41" spans="2:71" ht="14.85" customHeight="1">
      <c r="C41" s="722"/>
      <c r="D41" s="722"/>
      <c r="E41" s="722"/>
      <c r="F41" s="722"/>
      <c r="G41" s="722"/>
      <c r="H41" s="160"/>
      <c r="I41" s="722"/>
      <c r="J41" s="722"/>
      <c r="K41" s="722"/>
      <c r="L41" s="722"/>
      <c r="M41" s="722"/>
      <c r="N41" s="160"/>
      <c r="O41" s="722"/>
      <c r="P41" s="722"/>
      <c r="Q41" s="722"/>
      <c r="R41" s="722"/>
      <c r="S41" s="722"/>
      <c r="T41" s="160"/>
      <c r="U41" s="722"/>
      <c r="V41" s="722"/>
      <c r="W41" s="722"/>
      <c r="X41" s="722"/>
      <c r="Y41" s="722"/>
      <c r="Z41" s="160"/>
      <c r="AA41" s="722"/>
      <c r="AB41" s="722"/>
      <c r="AC41" s="722"/>
      <c r="AD41" s="722"/>
      <c r="AE41" s="722"/>
      <c r="AF41" s="160"/>
      <c r="AG41" s="722"/>
      <c r="AH41" s="722"/>
      <c r="AI41" s="722"/>
      <c r="AJ41" s="722"/>
      <c r="AK41" s="722"/>
      <c r="AL41" s="160"/>
      <c r="AM41" s="722"/>
      <c r="AN41" s="722"/>
      <c r="AO41" s="722"/>
      <c r="AP41" s="722"/>
      <c r="AQ41" s="722"/>
      <c r="AR41" s="160"/>
      <c r="AS41" s="722"/>
      <c r="AT41" s="722"/>
      <c r="AU41" s="722"/>
      <c r="AV41" s="722"/>
      <c r="AW41" s="722"/>
    </row>
    <row r="42" spans="2:71" ht="14.85" customHeight="1">
      <c r="C42" s="722"/>
      <c r="D42" s="722"/>
      <c r="E42" s="722"/>
      <c r="F42" s="722"/>
      <c r="G42" s="722"/>
      <c r="H42" s="160"/>
      <c r="I42" s="722"/>
      <c r="J42" s="722"/>
      <c r="K42" s="722"/>
      <c r="L42" s="722"/>
      <c r="M42" s="722"/>
      <c r="N42" s="160"/>
      <c r="O42" s="722"/>
      <c r="P42" s="722"/>
      <c r="Q42" s="722"/>
      <c r="R42" s="722"/>
      <c r="S42" s="722"/>
      <c r="T42" s="160"/>
      <c r="U42" s="722"/>
      <c r="V42" s="722"/>
      <c r="W42" s="722"/>
      <c r="X42" s="722"/>
      <c r="Y42" s="722"/>
      <c r="Z42" s="160"/>
      <c r="AA42" s="722"/>
      <c r="AB42" s="722"/>
      <c r="AC42" s="722"/>
      <c r="AD42" s="722"/>
      <c r="AE42" s="722"/>
      <c r="AF42" s="160"/>
      <c r="AG42" s="722"/>
      <c r="AH42" s="722"/>
      <c r="AI42" s="722"/>
      <c r="AJ42" s="722"/>
      <c r="AK42" s="722"/>
      <c r="AL42" s="160"/>
      <c r="AM42" s="722"/>
      <c r="AN42" s="722"/>
      <c r="AO42" s="722"/>
      <c r="AP42" s="722"/>
      <c r="AQ42" s="722"/>
      <c r="AR42" s="160"/>
      <c r="AS42" s="722"/>
      <c r="AT42" s="722"/>
      <c r="AU42" s="722"/>
      <c r="AV42" s="722"/>
      <c r="AW42" s="722"/>
    </row>
    <row r="43" spans="2:71" ht="14.85" customHeight="1">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2"/>
      <c r="AF43" s="163"/>
      <c r="AG43" s="160"/>
      <c r="AH43" s="160"/>
      <c r="AI43" s="160"/>
      <c r="AJ43" s="160"/>
      <c r="AK43" s="160"/>
      <c r="AL43" s="160"/>
      <c r="AM43" s="160"/>
      <c r="AN43" s="160"/>
      <c r="AO43" s="160"/>
      <c r="AP43" s="160"/>
      <c r="AQ43" s="160"/>
      <c r="AR43" s="160"/>
      <c r="AS43" s="160"/>
      <c r="AT43" s="160"/>
      <c r="AU43" s="160"/>
      <c r="AV43" s="160"/>
      <c r="AW43" s="160"/>
      <c r="BC43" s="738"/>
      <c r="BD43" s="738"/>
      <c r="BE43" s="738"/>
      <c r="BF43" s="738"/>
      <c r="BG43" s="738"/>
      <c r="BH43" s="738"/>
      <c r="BI43" s="738"/>
      <c r="BJ43" s="738"/>
      <c r="BK43" s="738"/>
      <c r="BL43" s="738"/>
      <c r="BM43" s="738"/>
      <c r="BN43" s="738"/>
      <c r="BO43" s="738"/>
      <c r="BP43" s="738"/>
      <c r="BQ43" s="738"/>
      <c r="BR43" s="738"/>
      <c r="BS43" s="738"/>
    </row>
    <row r="44" spans="2:71" ht="14.85" customHeight="1">
      <c r="B44" s="20"/>
      <c r="C44" s="736" t="s">
        <v>135</v>
      </c>
      <c r="D44" s="736"/>
      <c r="E44" s="736"/>
      <c r="F44" s="736"/>
      <c r="G44" s="736"/>
      <c r="H44" s="161"/>
      <c r="I44" s="736" t="s">
        <v>132</v>
      </c>
      <c r="J44" s="736"/>
      <c r="K44" s="736"/>
      <c r="L44" s="736"/>
      <c r="M44" s="736"/>
      <c r="N44" s="161"/>
      <c r="O44" s="736" t="s">
        <v>143</v>
      </c>
      <c r="P44" s="736"/>
      <c r="Q44" s="736"/>
      <c r="R44" s="736"/>
      <c r="S44" s="736"/>
      <c r="T44" s="161"/>
      <c r="U44" s="736" t="s">
        <v>2189</v>
      </c>
      <c r="V44" s="736"/>
      <c r="W44" s="736"/>
      <c r="X44" s="736"/>
      <c r="Y44" s="736"/>
      <c r="Z44" s="161"/>
      <c r="AA44" s="736" t="s">
        <v>128</v>
      </c>
      <c r="AB44" s="736"/>
      <c r="AC44" s="736"/>
      <c r="AD44" s="736"/>
      <c r="AE44" s="736"/>
      <c r="AF44" s="161"/>
      <c r="AG44" s="736" t="s">
        <v>2190</v>
      </c>
      <c r="AH44" s="736"/>
      <c r="AI44" s="736"/>
      <c r="AJ44" s="736"/>
      <c r="AK44" s="736"/>
      <c r="AL44" s="161"/>
      <c r="AM44" s="736" t="s">
        <v>2191</v>
      </c>
      <c r="AN44" s="736"/>
      <c r="AO44" s="736"/>
      <c r="AP44" s="736"/>
      <c r="AQ44" s="736"/>
      <c r="AR44" s="161"/>
      <c r="AS44" s="736" t="s">
        <v>2192</v>
      </c>
      <c r="AT44" s="736"/>
      <c r="AU44" s="736"/>
      <c r="AV44" s="736"/>
      <c r="AW44" s="736"/>
      <c r="AX44" s="20"/>
      <c r="BC44" s="737"/>
      <c r="BD44" s="737"/>
      <c r="BE44" s="737"/>
      <c r="BF44" s="737"/>
      <c r="BG44" s="737"/>
      <c r="BH44" s="737"/>
      <c r="BI44" s="737"/>
      <c r="BJ44" s="737"/>
      <c r="BK44" s="737"/>
      <c r="BL44" s="737"/>
      <c r="BM44" s="737"/>
      <c r="BN44" s="737"/>
      <c r="BO44" s="737"/>
      <c r="BP44" s="737"/>
      <c r="BQ44" s="737"/>
      <c r="BR44" s="737"/>
      <c r="BS44" s="737"/>
    </row>
    <row r="45" spans="2:71" ht="8.85" customHeight="1">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row>
    <row r="46" spans="2:71" ht="15">
      <c r="C46" s="722"/>
      <c r="D46" s="722"/>
      <c r="E46" s="722"/>
      <c r="F46" s="722"/>
      <c r="G46" s="722"/>
      <c r="H46" s="160"/>
      <c r="I46" s="722"/>
      <c r="J46" s="722"/>
      <c r="K46" s="722"/>
      <c r="L46" s="722"/>
      <c r="M46" s="722"/>
      <c r="N46" s="160"/>
      <c r="O46" s="722"/>
      <c r="P46" s="722"/>
      <c r="Q46" s="722"/>
      <c r="R46" s="722"/>
      <c r="S46" s="722"/>
      <c r="T46" s="160"/>
      <c r="U46" s="722"/>
      <c r="V46" s="722"/>
      <c r="W46" s="722"/>
      <c r="X46" s="722"/>
      <c r="Y46" s="722"/>
      <c r="Z46" s="160"/>
      <c r="AA46" s="722"/>
      <c r="AB46" s="722"/>
      <c r="AC46" s="722"/>
      <c r="AD46" s="722"/>
      <c r="AE46" s="722"/>
      <c r="AF46" s="160"/>
      <c r="AG46" s="722"/>
      <c r="AH46" s="722"/>
      <c r="AI46" s="722"/>
      <c r="AJ46" s="722"/>
      <c r="AK46" s="722"/>
      <c r="AL46" s="160"/>
      <c r="AM46" s="722"/>
      <c r="AN46" s="722"/>
      <c r="AO46" s="722"/>
      <c r="AP46" s="722"/>
      <c r="AQ46" s="722"/>
      <c r="AR46" s="160"/>
      <c r="AS46" s="722"/>
      <c r="AT46" s="722"/>
      <c r="AU46" s="722"/>
      <c r="AV46" s="722"/>
      <c r="AW46" s="722"/>
    </row>
    <row r="47" spans="2:71" ht="14.85" customHeight="1">
      <c r="C47" s="722"/>
      <c r="D47" s="722"/>
      <c r="E47" s="722"/>
      <c r="F47" s="722"/>
      <c r="G47" s="722"/>
      <c r="H47" s="160"/>
      <c r="I47" s="722"/>
      <c r="J47" s="722"/>
      <c r="K47" s="722"/>
      <c r="L47" s="722"/>
      <c r="M47" s="722"/>
      <c r="N47" s="160"/>
      <c r="O47" s="722"/>
      <c r="P47" s="722"/>
      <c r="Q47" s="722"/>
      <c r="R47" s="722"/>
      <c r="S47" s="722"/>
      <c r="T47" s="160"/>
      <c r="U47" s="722"/>
      <c r="V47" s="722"/>
      <c r="W47" s="722"/>
      <c r="X47" s="722"/>
      <c r="Y47" s="722"/>
      <c r="Z47" s="160"/>
      <c r="AA47" s="722"/>
      <c r="AB47" s="722"/>
      <c r="AC47" s="722"/>
      <c r="AD47" s="722"/>
      <c r="AE47" s="722"/>
      <c r="AF47" s="160"/>
      <c r="AG47" s="722"/>
      <c r="AH47" s="722"/>
      <c r="AI47" s="722"/>
      <c r="AJ47" s="722"/>
      <c r="AK47" s="722"/>
      <c r="AL47" s="160"/>
      <c r="AM47" s="722"/>
      <c r="AN47" s="722"/>
      <c r="AO47" s="722"/>
      <c r="AP47" s="722"/>
      <c r="AQ47" s="722"/>
      <c r="AR47" s="160"/>
      <c r="AS47" s="722"/>
      <c r="AT47" s="722"/>
      <c r="AU47" s="722"/>
      <c r="AV47" s="722"/>
      <c r="AW47" s="722"/>
    </row>
    <row r="48" spans="2:71" ht="14.85" customHeight="1">
      <c r="C48" s="722"/>
      <c r="D48" s="722"/>
      <c r="E48" s="722"/>
      <c r="F48" s="722"/>
      <c r="G48" s="722"/>
      <c r="H48" s="160"/>
      <c r="I48" s="722"/>
      <c r="J48" s="722"/>
      <c r="K48" s="722"/>
      <c r="L48" s="722"/>
      <c r="M48" s="722"/>
      <c r="N48" s="160"/>
      <c r="O48" s="722"/>
      <c r="P48" s="722"/>
      <c r="Q48" s="722"/>
      <c r="R48" s="722"/>
      <c r="S48" s="722"/>
      <c r="T48" s="160"/>
      <c r="U48" s="722"/>
      <c r="V48" s="722"/>
      <c r="W48" s="722"/>
      <c r="X48" s="722"/>
      <c r="Y48" s="722"/>
      <c r="Z48" s="160"/>
      <c r="AA48" s="722"/>
      <c r="AB48" s="722"/>
      <c r="AC48" s="722"/>
      <c r="AD48" s="722"/>
      <c r="AE48" s="722"/>
      <c r="AF48" s="160"/>
      <c r="AG48" s="722"/>
      <c r="AH48" s="722"/>
      <c r="AI48" s="722"/>
      <c r="AJ48" s="722"/>
      <c r="AK48" s="722"/>
      <c r="AL48" s="160"/>
      <c r="AM48" s="722"/>
      <c r="AN48" s="722"/>
      <c r="AO48" s="722"/>
      <c r="AP48" s="722"/>
      <c r="AQ48" s="722"/>
      <c r="AR48" s="160"/>
      <c r="AS48" s="722"/>
      <c r="AT48" s="722"/>
      <c r="AU48" s="722"/>
      <c r="AV48" s="722"/>
      <c r="AW48" s="722"/>
    </row>
    <row r="49" spans="2:71" ht="14.85" customHeight="1">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2"/>
      <c r="AF49" s="163"/>
      <c r="AG49" s="160"/>
      <c r="AH49" s="160"/>
      <c r="AI49" s="160"/>
      <c r="AJ49" s="160"/>
      <c r="AK49" s="160"/>
      <c r="AL49" s="160"/>
      <c r="AM49" s="160"/>
      <c r="AN49" s="160"/>
      <c r="AO49" s="160"/>
      <c r="AP49" s="160"/>
      <c r="AQ49" s="160"/>
      <c r="AR49" s="160"/>
      <c r="AS49" s="160"/>
      <c r="AT49" s="160"/>
      <c r="AU49" s="160"/>
      <c r="AV49" s="160"/>
      <c r="AW49" s="160"/>
      <c r="BC49" s="738"/>
      <c r="BD49" s="738"/>
      <c r="BE49" s="738"/>
      <c r="BF49" s="738"/>
      <c r="BG49" s="738"/>
      <c r="BH49" s="738"/>
      <c r="BI49" s="738"/>
      <c r="BJ49" s="738"/>
      <c r="BK49" s="738"/>
      <c r="BL49" s="738"/>
      <c r="BM49" s="738"/>
      <c r="BN49" s="738"/>
      <c r="BO49" s="738"/>
      <c r="BP49" s="738"/>
      <c r="BQ49" s="738"/>
      <c r="BR49" s="738"/>
      <c r="BS49" s="738"/>
    </row>
    <row r="50" spans="2:71" ht="14.85" customHeight="1"/>
    <row r="51" spans="2:71" ht="14.85" customHeight="1"/>
    <row r="52" spans="2:71" ht="17.100000000000001" customHeight="1">
      <c r="B52" s="741" t="s">
        <v>151</v>
      </c>
      <c r="C52" s="741"/>
      <c r="D52" s="741"/>
      <c r="E52" s="741"/>
      <c r="F52" s="741"/>
      <c r="G52" s="741"/>
      <c r="H52" s="741"/>
      <c r="I52" s="741"/>
      <c r="J52" s="741"/>
      <c r="K52" s="741"/>
      <c r="L52" s="741"/>
      <c r="M52" s="741"/>
      <c r="N52" s="741"/>
      <c r="O52" s="741"/>
      <c r="P52" s="741"/>
      <c r="Q52" s="741"/>
      <c r="R52" s="741"/>
      <c r="S52" s="741"/>
      <c r="T52" s="741"/>
      <c r="U52" s="741"/>
      <c r="V52" s="741"/>
      <c r="W52" s="741"/>
      <c r="X52" s="741"/>
      <c r="Y52" s="741"/>
      <c r="Z52" s="741"/>
      <c r="AA52" s="741"/>
      <c r="AB52" s="741"/>
      <c r="AC52" s="741"/>
      <c r="AD52" s="741"/>
      <c r="AE52" s="741"/>
      <c r="AF52" s="741"/>
      <c r="AG52" s="741"/>
      <c r="AH52" s="741"/>
      <c r="AI52" s="741"/>
      <c r="AJ52" s="741"/>
      <c r="AK52" s="741"/>
      <c r="AL52" s="741"/>
      <c r="AM52" s="741"/>
      <c r="AN52" s="741"/>
      <c r="AO52" s="741"/>
      <c r="AP52" s="741"/>
      <c r="AQ52" s="741"/>
      <c r="AR52" s="741"/>
      <c r="AS52" s="741"/>
      <c r="AT52" s="741"/>
      <c r="AU52" s="741"/>
      <c r="AV52" s="741"/>
      <c r="AW52" s="741"/>
      <c r="AX52" s="741"/>
    </row>
    <row r="53" spans="2:71" ht="14.85" customHeight="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U53" s="21"/>
      <c r="AV53" s="21"/>
      <c r="AW53" s="21"/>
      <c r="AX53" s="21"/>
    </row>
    <row r="54" spans="2:71" ht="14.85" customHeight="1">
      <c r="B54" s="20"/>
      <c r="H54" s="161"/>
      <c r="I54" s="736" t="s">
        <v>134</v>
      </c>
      <c r="J54" s="736"/>
      <c r="K54" s="736"/>
      <c r="L54" s="736"/>
      <c r="M54" s="736"/>
      <c r="N54" s="161"/>
      <c r="O54" s="736" t="s">
        <v>2193</v>
      </c>
      <c r="P54" s="736"/>
      <c r="Q54" s="736"/>
      <c r="R54" s="736"/>
      <c r="S54" s="736"/>
      <c r="T54" s="161"/>
      <c r="U54" s="736" t="s">
        <v>133</v>
      </c>
      <c r="V54" s="736"/>
      <c r="W54" s="736"/>
      <c r="X54" s="736"/>
      <c r="Y54" s="736"/>
      <c r="Z54" s="161"/>
      <c r="AA54" s="736" t="s">
        <v>2194</v>
      </c>
      <c r="AB54" s="736"/>
      <c r="AC54" s="736"/>
      <c r="AD54" s="736"/>
      <c r="AE54" s="736"/>
      <c r="AF54" s="161"/>
      <c r="AG54" s="736" t="s">
        <v>2195</v>
      </c>
      <c r="AH54" s="736"/>
      <c r="AI54" s="736"/>
      <c r="AJ54" s="736"/>
      <c r="AK54" s="736"/>
      <c r="AL54" s="161"/>
      <c r="AM54" s="736" t="s">
        <v>130</v>
      </c>
      <c r="AN54" s="736"/>
      <c r="AO54" s="736"/>
      <c r="AP54" s="736"/>
      <c r="AQ54" s="736"/>
      <c r="AR54" s="161"/>
      <c r="AS54" s="736"/>
      <c r="AT54" s="736"/>
      <c r="AU54" s="736"/>
      <c r="AV54" s="736"/>
      <c r="AW54" s="736"/>
      <c r="AX54" s="20"/>
      <c r="BC54" s="737"/>
      <c r="BD54" s="737"/>
      <c r="BE54" s="737"/>
      <c r="BF54" s="737"/>
      <c r="BG54" s="737"/>
      <c r="BH54" s="737"/>
      <c r="BI54" s="737"/>
      <c r="BJ54" s="737"/>
      <c r="BK54" s="737"/>
      <c r="BL54" s="737"/>
      <c r="BM54" s="737"/>
      <c r="BN54" s="737"/>
      <c r="BO54" s="737"/>
      <c r="BP54" s="737"/>
      <c r="BQ54" s="737"/>
      <c r="BR54" s="737"/>
      <c r="BS54" s="737"/>
    </row>
    <row r="55" spans="2:71" ht="8.85" customHeight="1">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row>
    <row r="56" spans="2:71" ht="15">
      <c r="C56" s="722"/>
      <c r="D56" s="722"/>
      <c r="E56" s="722"/>
      <c r="F56" s="722"/>
      <c r="G56" s="722"/>
      <c r="H56" s="160"/>
      <c r="I56" s="722"/>
      <c r="J56" s="722"/>
      <c r="K56" s="722"/>
      <c r="L56" s="722"/>
      <c r="M56" s="722"/>
      <c r="N56" s="160"/>
      <c r="O56" s="722"/>
      <c r="P56" s="722"/>
      <c r="Q56" s="722"/>
      <c r="R56" s="722"/>
      <c r="S56" s="722"/>
      <c r="T56" s="160"/>
      <c r="U56" s="722"/>
      <c r="V56" s="722"/>
      <c r="W56" s="722"/>
      <c r="X56" s="722"/>
      <c r="Y56" s="722"/>
      <c r="Z56" s="160"/>
      <c r="AA56" s="722"/>
      <c r="AB56" s="722"/>
      <c r="AC56" s="722"/>
      <c r="AD56" s="722"/>
      <c r="AE56" s="722"/>
      <c r="AF56" s="160"/>
      <c r="AG56" s="722"/>
      <c r="AH56" s="722"/>
      <c r="AI56" s="722"/>
      <c r="AJ56" s="722"/>
      <c r="AK56" s="722"/>
      <c r="AL56" s="160"/>
      <c r="AM56" s="722"/>
      <c r="AN56" s="722"/>
      <c r="AO56" s="722"/>
      <c r="AP56" s="722"/>
      <c r="AQ56" s="722"/>
      <c r="AR56" s="160"/>
      <c r="AS56" s="722"/>
      <c r="AT56" s="722"/>
      <c r="AU56" s="722"/>
      <c r="AV56" s="722"/>
      <c r="AW56" s="722"/>
    </row>
    <row r="57" spans="2:71" ht="14.85" customHeight="1">
      <c r="C57" s="722"/>
      <c r="D57" s="722"/>
      <c r="E57" s="722"/>
      <c r="F57" s="722"/>
      <c r="G57" s="722"/>
      <c r="H57" s="160"/>
      <c r="I57" s="722"/>
      <c r="J57" s="722"/>
      <c r="K57" s="722"/>
      <c r="L57" s="722"/>
      <c r="M57" s="722"/>
      <c r="N57" s="160"/>
      <c r="O57" s="722"/>
      <c r="P57" s="722"/>
      <c r="Q57" s="722"/>
      <c r="R57" s="722"/>
      <c r="S57" s="722"/>
      <c r="T57" s="160"/>
      <c r="U57" s="722"/>
      <c r="V57" s="722"/>
      <c r="W57" s="722"/>
      <c r="X57" s="722"/>
      <c r="Y57" s="722"/>
      <c r="Z57" s="160"/>
      <c r="AA57" s="722"/>
      <c r="AB57" s="722"/>
      <c r="AC57" s="722"/>
      <c r="AD57" s="722"/>
      <c r="AE57" s="722"/>
      <c r="AF57" s="160"/>
      <c r="AG57" s="722"/>
      <c r="AH57" s="722"/>
      <c r="AI57" s="722"/>
      <c r="AJ57" s="722"/>
      <c r="AK57" s="722"/>
      <c r="AL57" s="160"/>
      <c r="AM57" s="722"/>
      <c r="AN57" s="722"/>
      <c r="AO57" s="722"/>
      <c r="AP57" s="722"/>
      <c r="AQ57" s="722"/>
      <c r="AR57" s="160"/>
      <c r="AS57" s="722"/>
      <c r="AT57" s="722"/>
      <c r="AU57" s="722"/>
      <c r="AV57" s="722"/>
      <c r="AW57" s="722"/>
    </row>
    <row r="58" spans="2:71" ht="14.85" customHeight="1">
      <c r="C58" s="722"/>
      <c r="D58" s="722"/>
      <c r="E58" s="722"/>
      <c r="F58" s="722"/>
      <c r="G58" s="722"/>
      <c r="H58" s="160"/>
      <c r="I58" s="722"/>
      <c r="J58" s="722"/>
      <c r="K58" s="722"/>
      <c r="L58" s="722"/>
      <c r="M58" s="722"/>
      <c r="N58" s="160"/>
      <c r="O58" s="722"/>
      <c r="P58" s="722"/>
      <c r="Q58" s="722"/>
      <c r="R58" s="722"/>
      <c r="S58" s="722"/>
      <c r="T58" s="160"/>
      <c r="U58" s="722"/>
      <c r="V58" s="722"/>
      <c r="W58" s="722"/>
      <c r="X58" s="722"/>
      <c r="Y58" s="722"/>
      <c r="Z58" s="160"/>
      <c r="AA58" s="722"/>
      <c r="AB58" s="722"/>
      <c r="AC58" s="722"/>
      <c r="AD58" s="722"/>
      <c r="AE58" s="722"/>
      <c r="AF58" s="160"/>
      <c r="AG58" s="722"/>
      <c r="AH58" s="722"/>
      <c r="AI58" s="722"/>
      <c r="AJ58" s="722"/>
      <c r="AK58" s="722"/>
      <c r="AL58" s="160"/>
      <c r="AM58" s="722"/>
      <c r="AN58" s="722"/>
      <c r="AO58" s="722"/>
      <c r="AP58" s="722"/>
      <c r="AQ58" s="722"/>
      <c r="AR58" s="160"/>
      <c r="AS58" s="722"/>
      <c r="AT58" s="722"/>
      <c r="AU58" s="722"/>
      <c r="AV58" s="722"/>
      <c r="AW58" s="722"/>
    </row>
    <row r="59" spans="2:71" ht="14.85" customHeight="1">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2"/>
      <c r="AF59" s="163"/>
      <c r="AG59" s="160"/>
      <c r="AH59" s="160"/>
      <c r="AI59" s="160"/>
      <c r="AJ59" s="160"/>
      <c r="AK59" s="160"/>
      <c r="AL59" s="160"/>
      <c r="AM59" s="160"/>
      <c r="AN59" s="160"/>
      <c r="AO59" s="160"/>
      <c r="AP59" s="160"/>
      <c r="AQ59" s="160"/>
      <c r="AR59" s="160"/>
      <c r="AS59" s="160"/>
      <c r="AT59" s="160"/>
      <c r="AU59" s="160"/>
      <c r="AV59" s="160"/>
      <c r="AW59" s="160"/>
      <c r="BC59" s="738"/>
      <c r="BD59" s="738"/>
      <c r="BE59" s="738"/>
      <c r="BF59" s="738"/>
      <c r="BG59" s="738"/>
      <c r="BH59" s="738"/>
      <c r="BI59" s="738"/>
      <c r="BJ59" s="738"/>
      <c r="BK59" s="738"/>
      <c r="BL59" s="738"/>
      <c r="BM59" s="738"/>
      <c r="BN59" s="738"/>
      <c r="BO59" s="738"/>
      <c r="BP59" s="738"/>
      <c r="BQ59" s="738"/>
      <c r="BR59" s="738"/>
      <c r="BS59" s="738"/>
    </row>
    <row r="60" spans="2:71" ht="14.85" customHeight="1">
      <c r="Q60" s="648"/>
      <c r="R60" s="648"/>
      <c r="S60" s="648"/>
    </row>
    <row r="61" spans="2:71" ht="16.5" customHeight="1"/>
    <row r="62" spans="2:71" ht="16.5" customHeight="1">
      <c r="B62" s="741" t="str">
        <f>'Translate&amp;Prices&amp;Logo'!$B$655</f>
        <v>Výplň rámečku síťka</v>
      </c>
      <c r="C62" s="741"/>
      <c r="D62" s="741"/>
      <c r="E62" s="741"/>
      <c r="F62" s="741"/>
      <c r="G62" s="741"/>
      <c r="H62" s="741"/>
      <c r="I62" s="741"/>
      <c r="J62" s="741"/>
      <c r="K62" s="741"/>
      <c r="L62" s="741"/>
      <c r="M62" s="741"/>
      <c r="N62" s="741"/>
      <c r="O62" s="741"/>
      <c r="P62" s="741"/>
      <c r="Q62" s="741"/>
      <c r="R62" s="741"/>
      <c r="S62" s="741"/>
      <c r="T62" s="741"/>
      <c r="U62" s="741"/>
      <c r="V62" s="741"/>
      <c r="W62" s="741"/>
      <c r="X62" s="741"/>
      <c r="Y62" s="741"/>
      <c r="Z62" s="741"/>
      <c r="AA62" s="741"/>
      <c r="AB62" s="741"/>
      <c r="AC62" s="741"/>
      <c r="AD62" s="741"/>
      <c r="AE62" s="741"/>
      <c r="AF62" s="741"/>
      <c r="AG62" s="741"/>
      <c r="AH62" s="741"/>
      <c r="AI62" s="741"/>
      <c r="AJ62" s="741"/>
      <c r="AK62" s="741"/>
      <c r="AL62" s="741"/>
      <c r="AM62" s="741"/>
      <c r="AN62" s="741"/>
      <c r="AO62" s="741"/>
      <c r="AP62" s="741"/>
      <c r="AQ62" s="741"/>
      <c r="AR62" s="741"/>
      <c r="AS62" s="741"/>
      <c r="AT62" s="741"/>
      <c r="AU62" s="741"/>
      <c r="AV62" s="741"/>
      <c r="AW62" s="741"/>
      <c r="AX62" s="741"/>
    </row>
    <row r="63" spans="2:71" ht="16.5" customHeight="1"/>
    <row r="64" spans="2:71" ht="16.5" customHeight="1"/>
    <row r="65" spans="2:2" ht="16.5" customHeight="1"/>
    <row r="66" spans="2:2" ht="16.5" customHeight="1">
      <c r="B66" s="1" t="str">
        <f>CONCATENATE('Translate&amp;Prices&amp;Logo'!B166," - ",'Translate&amp;Prices&amp;Logo'!$B$672)</f>
        <v>síťka alu zlatá - rozměr oka 10x6x1 mm - průhlednost 67 %</v>
      </c>
    </row>
    <row r="67" spans="2:2" ht="16.5" customHeight="1">
      <c r="B67" s="1" t="str">
        <f>CONCATENATE('Translate&amp;Prices&amp;Logo'!B167," - ",'Translate&amp;Prices&amp;Logo'!$B$671)</f>
        <v>síťka ocel černá mat RAL 9005 – rozměr oka 8x4x1 mm - průhlednost 50%</v>
      </c>
    </row>
    <row r="68" spans="2:2" ht="16.5" customHeight="1">
      <c r="B68" s="1" t="str">
        <f>CONCATENATE('Translate&amp;Prices&amp;Logo'!B168," - ",'Translate&amp;Prices&amp;Logo'!$B$671)</f>
        <v>síťka ocel bílá - rozměr oka 8x4x1 mm - průhlednost 50%</v>
      </c>
    </row>
    <row r="69" spans="2:2" ht="16.5" customHeight="1">
      <c r="B69" s="1" t="str">
        <f>CONCATENATE('Translate&amp;Prices&amp;Logo'!B169," - ",'Translate&amp;Prices&amp;Logo'!$B$672)</f>
        <v>síťka elox - rozměr oka 10x6x1 mm - průhlednost 67 %</v>
      </c>
    </row>
    <row r="70" spans="2:2" ht="16.5" customHeight="1"/>
    <row r="71" spans="2:2" ht="16.5" customHeight="1"/>
    <row r="72" spans="2:2" ht="16.5" customHeight="1"/>
    <row r="73" spans="2:2" ht="16.5" customHeight="1"/>
    <row r="74" spans="2:2" ht="16.5" customHeight="1"/>
    <row r="75" spans="2:2" ht="16.5" customHeight="1"/>
    <row r="76" spans="2:2" ht="16.5" customHeight="1"/>
    <row r="77" spans="2:2" ht="16.5" customHeight="1"/>
    <row r="78" spans="2:2" ht="16.5" customHeight="1"/>
    <row r="79" spans="2:2" ht="16.5" customHeight="1"/>
    <row r="80" spans="2:2"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sheetData>
  <sheetProtection algorithmName="SHA-512" hashValue="yu2L4+fvdW7WCJ4vVPdQLyX80107TO5v+ht/9DtKL+F5YSJ009iAl10sSZxnwn4K0vz/yVS10faXt9NrtMhHxQ==" saltValue="4/p0MB/QdT2YA1EmiJRYVg==" spinCount="100000" sheet="1" objects="1" scenarios="1"/>
  <mergeCells count="77">
    <mergeCell ref="AT2:AX3"/>
    <mergeCell ref="B62:AX62"/>
    <mergeCell ref="BC59:BS59"/>
    <mergeCell ref="BC54:BS54"/>
    <mergeCell ref="C56:G58"/>
    <mergeCell ref="I56:M58"/>
    <mergeCell ref="O56:S58"/>
    <mergeCell ref="U56:Y58"/>
    <mergeCell ref="AA56:AE58"/>
    <mergeCell ref="AG56:AK58"/>
    <mergeCell ref="AM56:AQ58"/>
    <mergeCell ref="AS56:AW58"/>
    <mergeCell ref="Q60:S60"/>
    <mergeCell ref="B52:AX52"/>
    <mergeCell ref="AM54:AQ54"/>
    <mergeCell ref="I54:M54"/>
    <mergeCell ref="O54:S54"/>
    <mergeCell ref="U54:Y54"/>
    <mergeCell ref="AA54:AE54"/>
    <mergeCell ref="AG54:AK54"/>
    <mergeCell ref="C40:G42"/>
    <mergeCell ref="I46:M48"/>
    <mergeCell ref="O46:S48"/>
    <mergeCell ref="U46:Y48"/>
    <mergeCell ref="AA46:AE48"/>
    <mergeCell ref="I40:M42"/>
    <mergeCell ref="O40:S42"/>
    <mergeCell ref="U40:Y42"/>
    <mergeCell ref="AA40:AE42"/>
    <mergeCell ref="C44:G44"/>
    <mergeCell ref="I44:M44"/>
    <mergeCell ref="O44:S44"/>
    <mergeCell ref="U44:Y44"/>
    <mergeCell ref="AA44:AE44"/>
    <mergeCell ref="C46:G48"/>
    <mergeCell ref="C38:G38"/>
    <mergeCell ref="I38:M38"/>
    <mergeCell ref="O38:S38"/>
    <mergeCell ref="U38:Y38"/>
    <mergeCell ref="AA38:AE38"/>
    <mergeCell ref="P4:AD5"/>
    <mergeCell ref="AQ29:AS29"/>
    <mergeCell ref="B30:AX30"/>
    <mergeCell ref="AS54:AW54"/>
    <mergeCell ref="AA32:AE32"/>
    <mergeCell ref="AG32:AK32"/>
    <mergeCell ref="AM32:AQ32"/>
    <mergeCell ref="AS32:AW32"/>
    <mergeCell ref="C32:G32"/>
    <mergeCell ref="C34:G36"/>
    <mergeCell ref="I32:M32"/>
    <mergeCell ref="O32:S32"/>
    <mergeCell ref="U32:Y32"/>
    <mergeCell ref="I34:M36"/>
    <mergeCell ref="O34:S36"/>
    <mergeCell ref="U34:Y36"/>
    <mergeCell ref="BC44:BS44"/>
    <mergeCell ref="BC49:BS49"/>
    <mergeCell ref="BC43:BS43"/>
    <mergeCell ref="AG46:AK48"/>
    <mergeCell ref="BC37:BS37"/>
    <mergeCell ref="BC38:BS38"/>
    <mergeCell ref="AM46:AQ48"/>
    <mergeCell ref="AS46:AW48"/>
    <mergeCell ref="AG40:AK42"/>
    <mergeCell ref="AG38:AK38"/>
    <mergeCell ref="AS40:AW42"/>
    <mergeCell ref="AG44:AK44"/>
    <mergeCell ref="AM44:AQ44"/>
    <mergeCell ref="AS44:AW44"/>
    <mergeCell ref="AM40:AQ42"/>
    <mergeCell ref="AS34:AW36"/>
    <mergeCell ref="AM38:AQ38"/>
    <mergeCell ref="AS38:AW38"/>
    <mergeCell ref="AA34:AE36"/>
    <mergeCell ref="AG34:AK36"/>
    <mergeCell ref="AM34:AQ36"/>
  </mergeCells>
  <hyperlinks>
    <hyperlink ref="AT2:AW3" location="Hlavní!A1" display="Hlavní!A1" xr:uid="{FE4D4BE5-A41A-411D-B9D3-6D520AE30380}"/>
  </hyperlinks>
  <pageMargins left="0.7" right="0.7" top="0.78740157499999996" bottom="0.78740157499999996" header="0.3" footer="0.3"/>
  <pageSetup paperSize="9" orientation="portrait"/>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98A7-3B53-4384-9A22-9888F5DDD3FB}">
  <sheetPr codeName="List30">
    <tabColor rgb="FF92D050"/>
  </sheetPr>
  <dimension ref="A1:CW224"/>
  <sheetViews>
    <sheetView showZeros="0" topLeftCell="A75" workbookViewId="0">
      <selection activeCell="AC20" sqref="AC20:AI20"/>
    </sheetView>
  </sheetViews>
  <sheetFormatPr defaultColWidth="0" defaultRowHeight="14.85" customHeight="1"/>
  <cols>
    <col min="1" max="11" width="4.42578125" style="1" customWidth="1"/>
    <col min="12" max="15" width="5.5703125" style="1" customWidth="1"/>
    <col min="16" max="22" width="4.42578125" style="1" customWidth="1"/>
    <col min="23" max="26" width="6.140625" style="1" customWidth="1"/>
    <col min="27" max="27" width="10.5703125" style="1" customWidth="1"/>
    <col min="28" max="28" width="2.140625" style="1" customWidth="1"/>
    <col min="29" max="30" width="6.42578125" style="1" customWidth="1"/>
    <col min="31" max="31" width="6.42578125" style="13" customWidth="1"/>
    <col min="32" max="32" width="7.7109375" style="11" customWidth="1"/>
    <col min="33" max="34" width="6.140625" style="1" customWidth="1"/>
    <col min="35" max="35" width="15.28515625" style="1" customWidth="1"/>
    <col min="36" max="37" width="6.140625" style="1" customWidth="1"/>
    <col min="38" max="41" width="6.42578125" style="1" customWidth="1"/>
    <col min="42" max="42" width="4.42578125" style="1" customWidth="1"/>
    <col min="43" max="43" width="8.5703125" style="1" customWidth="1"/>
    <col min="44" max="44" width="8.7109375" style="1" customWidth="1"/>
    <col min="45" max="52" width="8.5703125" style="1" hidden="1" customWidth="1"/>
    <col min="53" max="54" width="8.5703125" style="12" hidden="1" customWidth="1"/>
    <col min="55" max="55" width="8.5703125" style="1" hidden="1" customWidth="1"/>
    <col min="56" max="57" width="12.5703125" style="1" hidden="1" customWidth="1"/>
    <col min="58" max="60" width="8.5703125" style="1" hidden="1" customWidth="1"/>
    <col min="61" max="61" width="14.42578125" style="1" hidden="1" customWidth="1"/>
    <col min="62" max="62" width="20.28515625" style="1" hidden="1" customWidth="1"/>
    <col min="63" max="64" width="8.5703125" style="1" hidden="1" customWidth="1"/>
    <col min="65" max="65" width="21.85546875" style="1" hidden="1" customWidth="1"/>
    <col min="66" max="88" width="8.5703125" style="1" hidden="1" customWidth="1"/>
    <col min="89" max="89" width="34.28515625" style="1" hidden="1" customWidth="1"/>
    <col min="90" max="90" width="25" style="1" hidden="1" customWidth="1"/>
    <col min="91" max="16384" width="8.5703125" style="1" hidden="1"/>
  </cols>
  <sheetData>
    <row r="1" spans="1:90" ht="15">
      <c r="A1" s="38"/>
      <c r="B1" s="38"/>
      <c r="C1" s="38"/>
      <c r="D1" s="38"/>
      <c r="E1" s="38"/>
      <c r="F1" s="38"/>
      <c r="G1" s="38"/>
      <c r="H1" s="38"/>
      <c r="I1" s="38"/>
      <c r="J1" s="38"/>
      <c r="K1" s="38"/>
      <c r="L1" s="38"/>
      <c r="M1" s="38"/>
      <c r="N1" s="38"/>
      <c r="O1" s="38"/>
      <c r="P1" s="38"/>
      <c r="Q1" s="38"/>
      <c r="R1" s="38"/>
      <c r="S1" s="38"/>
      <c r="T1" s="38"/>
      <c r="U1" s="38"/>
      <c r="V1" s="38"/>
      <c r="AL1" s="648" t="str">
        <f>_xlfn.TEXTAFTER('Translate&amp;Prices&amp;Logo'!B249,"/")</f>
        <v>Verze 8.6</v>
      </c>
      <c r="AM1" s="648"/>
      <c r="AN1" s="648"/>
      <c r="AO1" s="730">
        <f ca="1">_souhrn!AM1</f>
        <v>46322</v>
      </c>
      <c r="AP1" s="648"/>
      <c r="AQ1" s="648"/>
      <c r="AR1" s="648"/>
    </row>
    <row r="2" spans="1:90" ht="14.85" customHeight="1">
      <c r="A2" s="39"/>
      <c r="B2" s="39"/>
      <c r="C2" s="39"/>
      <c r="D2" s="39"/>
      <c r="E2" s="39"/>
      <c r="F2" s="39"/>
      <c r="G2" s="39"/>
      <c r="H2" s="39"/>
      <c r="I2" s="39"/>
      <c r="J2" s="39"/>
      <c r="K2" s="39"/>
      <c r="L2" s="39"/>
      <c r="M2" s="39"/>
      <c r="N2" s="39"/>
      <c r="O2" s="39"/>
      <c r="P2" s="39"/>
      <c r="Q2" s="39"/>
      <c r="R2" s="39"/>
      <c r="S2" s="39"/>
      <c r="T2" s="15"/>
      <c r="U2" s="15"/>
      <c r="V2" s="15"/>
      <c r="W2" s="15"/>
      <c r="X2" s="15"/>
      <c r="Y2" s="15"/>
      <c r="Z2" s="15"/>
      <c r="AA2" s="15"/>
      <c r="AB2" s="15"/>
      <c r="AC2" s="15"/>
      <c r="AD2" s="15"/>
      <c r="AE2" s="16"/>
      <c r="AF2" s="17"/>
      <c r="AG2" s="15"/>
      <c r="AH2" s="15"/>
      <c r="AI2" s="15"/>
      <c r="AJ2" s="15"/>
      <c r="AK2" s="15"/>
      <c r="AL2" s="15"/>
      <c r="AM2" s="15"/>
      <c r="AN2" s="755"/>
      <c r="AO2" s="756"/>
      <c r="AP2" s="756"/>
      <c r="AQ2" s="756"/>
      <c r="AR2" s="756"/>
      <c r="CK2" t="s">
        <v>2568</v>
      </c>
      <c r="CL2" t="s">
        <v>3211</v>
      </c>
    </row>
    <row r="3" spans="1:90" ht="14.85" customHeight="1">
      <c r="A3" s="39"/>
      <c r="B3" s="39"/>
      <c r="C3" s="39"/>
      <c r="D3" s="39"/>
      <c r="E3" s="39"/>
      <c r="F3" s="39"/>
      <c r="G3" s="39"/>
      <c r="H3" s="39"/>
      <c r="I3" s="39"/>
      <c r="J3" s="39"/>
      <c r="K3" s="39"/>
      <c r="L3" s="39"/>
      <c r="M3" s="39"/>
      <c r="N3" s="39"/>
      <c r="O3" s="39"/>
      <c r="P3" s="39"/>
      <c r="Q3" s="39"/>
      <c r="R3" s="39"/>
      <c r="S3" s="39"/>
      <c r="T3" s="15"/>
      <c r="U3" s="15"/>
      <c r="V3" s="15"/>
      <c r="W3" s="15"/>
      <c r="X3" s="15"/>
      <c r="Y3" s="15"/>
      <c r="Z3" s="15"/>
      <c r="AA3" s="15"/>
      <c r="AB3" s="15"/>
      <c r="AC3" s="15"/>
      <c r="AD3" s="15"/>
      <c r="AE3" s="15"/>
      <c r="AF3" s="15"/>
      <c r="AG3" s="15"/>
      <c r="AH3" s="15"/>
      <c r="AI3" s="15"/>
      <c r="AJ3" s="15"/>
      <c r="AK3" s="15"/>
      <c r="AL3" s="15"/>
      <c r="AM3" s="15"/>
      <c r="AN3" s="755"/>
      <c r="AO3" s="756"/>
      <c r="AP3" s="756"/>
      <c r="AQ3" s="756"/>
      <c r="AR3" s="756"/>
      <c r="CK3" t="s">
        <v>2569</v>
      </c>
      <c r="CL3" t="s">
        <v>2569</v>
      </c>
    </row>
    <row r="4" spans="1:90" ht="32.25" customHeight="1">
      <c r="X4" s="784">
        <f>IF(AND(Hlavní!V39=3,Zakaznik!K23="Dostawa na adres"),_souhrn!AH$7,_souhrn!AH$5)</f>
        <v>0</v>
      </c>
      <c r="Y4" s="785"/>
      <c r="Z4" s="785"/>
      <c r="AA4" s="785"/>
      <c r="AB4" s="785"/>
      <c r="AC4" s="785"/>
      <c r="AD4" s="785"/>
      <c r="AE4" s="785"/>
      <c r="AF4" s="781" t="str">
        <f>VLOOKUP('Translate&amp;Prices&amp;Logo'!D1,kombinace_1!$EV$1:$EW$6,2,0)</f>
        <v>Kč</v>
      </c>
      <c r="AG4" s="136"/>
      <c r="AH4" s="136"/>
      <c r="AI4" s="136"/>
      <c r="AJ4" s="136"/>
      <c r="AK4" s="136"/>
      <c r="AL4" s="136"/>
      <c r="AM4" s="136"/>
      <c r="AN4" s="137"/>
      <c r="AO4" s="136"/>
      <c r="AP4" s="136"/>
      <c r="AQ4" s="136"/>
      <c r="CK4" t="s">
        <v>1334</v>
      </c>
      <c r="CL4" t="s">
        <v>4274</v>
      </c>
    </row>
    <row r="5" spans="1:90" ht="14.85" customHeight="1">
      <c r="B5" s="745" t="s">
        <v>3517</v>
      </c>
      <c r="C5" s="745"/>
      <c r="D5" s="783">
        <f>Zakaznik!K23</f>
        <v>0</v>
      </c>
      <c r="E5" s="783"/>
      <c r="F5" s="783"/>
      <c r="G5" s="783"/>
      <c r="H5" s="783"/>
      <c r="I5" s="783"/>
      <c r="J5" s="783"/>
      <c r="K5" s="783"/>
      <c r="L5" s="29"/>
      <c r="M5" s="49" t="str">
        <f>IF(D5="Dostawa na adres",Zakaznik!E13,"")</f>
        <v/>
      </c>
      <c r="N5" s="49"/>
      <c r="O5" s="300" t="str">
        <f>IF(D5="Dostawa na adres",Zakaznik!K13,"")</f>
        <v/>
      </c>
      <c r="P5" s="300"/>
      <c r="Q5" s="300"/>
      <c r="R5" s="300"/>
      <c r="S5" s="300"/>
      <c r="T5" s="300"/>
      <c r="U5" s="300"/>
      <c r="V5" s="20"/>
      <c r="W5" s="20"/>
      <c r="X5" s="785"/>
      <c r="Y5" s="785"/>
      <c r="Z5" s="785"/>
      <c r="AA5" s="785"/>
      <c r="AB5" s="785"/>
      <c r="AC5" s="785"/>
      <c r="AD5" s="785"/>
      <c r="AE5" s="785"/>
      <c r="AF5" s="781"/>
      <c r="AG5" s="136"/>
      <c r="AH5" s="136"/>
      <c r="AI5" s="20"/>
      <c r="AJ5" s="20"/>
      <c r="AL5" s="29"/>
      <c r="AM5" s="29"/>
      <c r="AN5" s="29"/>
      <c r="AO5" s="29"/>
      <c r="CK5" t="s">
        <v>1339</v>
      </c>
      <c r="CL5" t="s">
        <v>4275</v>
      </c>
    </row>
    <row r="6" spans="1:90" ht="14.85" customHeight="1">
      <c r="B6" s="30"/>
      <c r="C6" s="30"/>
      <c r="D6" s="782" t="str">
        <f>IF(Zakaznik!$K$23="Dostawa na adres",Zakaznik!K25,"")</f>
        <v/>
      </c>
      <c r="E6" s="782"/>
      <c r="F6" s="782"/>
      <c r="G6" s="782"/>
      <c r="H6" s="782"/>
      <c r="I6" s="782"/>
      <c r="J6" s="782"/>
      <c r="K6" s="782"/>
      <c r="L6" s="29"/>
      <c r="M6" s="29"/>
      <c r="N6" s="29"/>
      <c r="O6" s="29"/>
      <c r="P6" s="29"/>
      <c r="Q6" s="301"/>
      <c r="R6" s="301"/>
      <c r="S6" s="301"/>
      <c r="T6" s="301"/>
      <c r="U6" s="301"/>
      <c r="V6" s="20"/>
      <c r="W6" s="20"/>
      <c r="Y6" s="29"/>
      <c r="Z6" s="29"/>
      <c r="AA6" s="29"/>
      <c r="AB6" s="29"/>
      <c r="AD6" s="20"/>
      <c r="AE6" s="20"/>
      <c r="AF6" s="20"/>
      <c r="AG6" s="20"/>
      <c r="AH6" s="20"/>
      <c r="AI6" s="20"/>
      <c r="AJ6" s="20"/>
      <c r="AL6" s="122"/>
      <c r="AM6" s="123"/>
      <c r="AN6" s="123"/>
      <c r="AO6" s="123"/>
      <c r="CK6" t="s">
        <v>2508</v>
      </c>
      <c r="CL6" t="s">
        <v>2508</v>
      </c>
    </row>
    <row r="7" spans="1:90" ht="14.85" customHeight="1">
      <c r="B7" s="30"/>
      <c r="C7" s="30"/>
      <c r="D7" s="782" t="str">
        <f>IF(Zakaznik!$K$23="Dostawa na adres",Zakaznik!K26,"")</f>
        <v/>
      </c>
      <c r="E7" s="782"/>
      <c r="F7" s="782"/>
      <c r="G7" s="782"/>
      <c r="H7" s="782"/>
      <c r="I7" s="782"/>
      <c r="J7" s="782"/>
      <c r="K7" s="782"/>
      <c r="L7" s="49"/>
      <c r="M7" s="49" t="str">
        <f>IF(D5="Dostawa na adres",Zakaznik!E17,"")</f>
        <v/>
      </c>
      <c r="N7" s="49"/>
      <c r="O7" s="49"/>
      <c r="Q7" s="743" t="str">
        <f>IF(D5="Dostawa na adres",Zakaznik!K17,"")</f>
        <v/>
      </c>
      <c r="R7" s="743"/>
      <c r="S7" s="743"/>
      <c r="T7" s="743"/>
      <c r="U7" s="743"/>
      <c r="V7" s="20"/>
      <c r="W7" s="20"/>
      <c r="X7" s="29"/>
      <c r="Y7" s="29"/>
      <c r="Z7" s="29"/>
      <c r="AA7" s="29"/>
      <c r="AB7" s="29"/>
      <c r="AC7" s="29"/>
      <c r="AD7" s="29"/>
      <c r="AE7" s="29"/>
      <c r="AF7" s="20"/>
      <c r="AG7" s="20"/>
      <c r="AH7" s="20"/>
      <c r="AI7" s="20"/>
      <c r="AJ7" s="20"/>
      <c r="AL7" s="123"/>
      <c r="AM7" s="123"/>
      <c r="AN7" s="123"/>
      <c r="AO7" s="123"/>
      <c r="CK7" t="s">
        <v>2509</v>
      </c>
      <c r="CL7" t="s">
        <v>2509</v>
      </c>
    </row>
    <row r="8" spans="1:90" ht="13.35" customHeight="1" thickBot="1">
      <c r="B8" s="30"/>
      <c r="C8" s="30"/>
      <c r="D8" s="782" t="str">
        <f>IF(Zakaznik!$K$23="Dostawa na adres",Zakaznik!K27,"")</f>
        <v/>
      </c>
      <c r="E8" s="782"/>
      <c r="F8" s="782"/>
      <c r="G8" s="782"/>
      <c r="H8" s="782"/>
      <c r="I8" s="782"/>
      <c r="J8" s="782"/>
      <c r="K8" s="782"/>
      <c r="L8" s="29"/>
      <c r="M8" s="29"/>
      <c r="N8" s="29"/>
      <c r="O8" s="29"/>
      <c r="P8" s="29"/>
      <c r="Q8" s="29"/>
      <c r="R8" s="29"/>
      <c r="S8" s="29"/>
      <c r="T8" s="29"/>
      <c r="U8" s="29"/>
      <c r="CK8" t="s">
        <v>1076</v>
      </c>
      <c r="CL8" t="s">
        <v>2535</v>
      </c>
    </row>
    <row r="9" spans="1:90" ht="35.1" customHeight="1" thickBot="1">
      <c r="J9" s="121"/>
      <c r="K9" s="121"/>
      <c r="L9" s="121"/>
      <c r="M9" s="121"/>
      <c r="N9" s="121"/>
      <c r="O9" s="121"/>
      <c r="P9" s="121"/>
      <c r="Q9" s="121"/>
      <c r="R9" s="121"/>
      <c r="S9" s="121"/>
      <c r="T9" s="121"/>
      <c r="U9" s="121"/>
      <c r="V9" s="121"/>
      <c r="W9" s="752" t="str">
        <f>'Translate&amp;Prices&amp;Logo'!$O$258</f>
        <v>Numer zamówienia</v>
      </c>
      <c r="X9" s="752"/>
      <c r="Y9" s="752"/>
      <c r="Z9" s="752"/>
      <c r="AA9" s="752"/>
      <c r="AB9" s="56"/>
      <c r="AC9" s="749">
        <f>Ram_1!AS5</f>
        <v>0</v>
      </c>
      <c r="AD9" s="750"/>
      <c r="AE9" s="750"/>
      <c r="AF9" s="750"/>
      <c r="AG9" s="750"/>
      <c r="AH9" s="750"/>
      <c r="AI9" s="750"/>
      <c r="AJ9" s="750"/>
      <c r="AK9" s="750"/>
      <c r="AL9" s="750"/>
      <c r="AM9" s="750"/>
      <c r="AN9" s="750"/>
      <c r="AO9" s="751"/>
      <c r="AR9" s="766" t="s">
        <v>1606</v>
      </c>
      <c r="CK9" t="s">
        <v>1084</v>
      </c>
      <c r="CL9" t="s">
        <v>2538</v>
      </c>
    </row>
    <row r="10" spans="1:90" ht="16.350000000000001" customHeight="1">
      <c r="A10" s="744" t="str">
        <f>CONCATENATE(AC9,"   ",(IF(X4&gt;0,ROUND(X4,2)&amp;" "&amp;AF4,"")))</f>
        <v xml:space="preserve">0   </v>
      </c>
      <c r="B10" s="744"/>
      <c r="W10" s="748" t="str">
        <f>'Translate&amp;Prices&amp;Logo'!$O$544</f>
        <v>Połączenie 2 profili</v>
      </c>
      <c r="X10" s="748"/>
      <c r="Y10" s="748"/>
      <c r="Z10" s="748"/>
      <c r="AA10" s="748"/>
      <c r="AB10" s="481"/>
      <c r="AC10" s="765" t="str">
        <f>IF(kombinace_1!$H$1=TRUE,"Tak","Nie")</f>
        <v>Nie</v>
      </c>
      <c r="AD10" s="765"/>
      <c r="AE10" s="765"/>
      <c r="AF10" s="765"/>
      <c r="AG10" s="765"/>
      <c r="AH10" s="765"/>
      <c r="AI10" s="765"/>
      <c r="AJ10" s="765"/>
      <c r="AK10" s="765"/>
      <c r="AL10" s="765"/>
      <c r="AM10" s="765"/>
      <c r="AN10" s="765"/>
      <c r="AO10" s="765"/>
      <c r="AR10" s="766"/>
      <c r="CK10" t="s">
        <v>1090</v>
      </c>
      <c r="CL10" t="s">
        <v>1090</v>
      </c>
    </row>
    <row r="11" spans="1:90" ht="16.350000000000001" customHeight="1">
      <c r="A11" s="744"/>
      <c r="B11" s="744"/>
      <c r="W11" s="748" t="str">
        <f>'Translate&amp;Prices&amp;Logo'!$O$174</f>
        <v>Rodzaj profilu</v>
      </c>
      <c r="X11" s="748"/>
      <c r="Y11" s="748"/>
      <c r="Z11" s="748"/>
      <c r="AA11" s="748"/>
      <c r="AB11" s="481"/>
      <c r="AC11" s="747">
        <f>IFERROR(VLOOKUP(Ram_1!$H$8,'Translate&amp;Prices&amp;Logo'!$AA$1:$AB$456,2,0),Ram_1!$H$8)</f>
        <v>0</v>
      </c>
      <c r="AD11" s="747"/>
      <c r="AE11" s="747"/>
      <c r="AF11" s="747"/>
      <c r="AG11" s="747"/>
      <c r="AH11" s="747"/>
      <c r="AI11" s="747"/>
      <c r="AJ11" s="747"/>
      <c r="AK11" s="747"/>
      <c r="AL11" s="747"/>
      <c r="AM11" s="747"/>
      <c r="AN11" s="747"/>
      <c r="AO11" s="747"/>
      <c r="AR11" s="766"/>
      <c r="CK11" t="s">
        <v>1333</v>
      </c>
      <c r="CL11" t="s">
        <v>3073</v>
      </c>
    </row>
    <row r="12" spans="1:90" ht="16.350000000000001" customHeight="1">
      <c r="A12" s="744"/>
      <c r="B12" s="744"/>
      <c r="W12" s="748" t="str">
        <f>'Translate&amp;Prices&amp;Logo'!$O$545</f>
        <v>Szprosy</v>
      </c>
      <c r="X12" s="748"/>
      <c r="Y12" s="748"/>
      <c r="Z12" s="748"/>
      <c r="AA12" s="748"/>
      <c r="AB12" s="481"/>
      <c r="AC12" s="747" t="str" cm="1">
        <f t="array" ref="AC12">IFERROR(VLOOKUP(Ram_1!$AU$10,AU12:AV15,2,0),Nie)</f>
        <v>Nie</v>
      </c>
      <c r="AD12" s="747"/>
      <c r="AE12" s="747"/>
      <c r="AF12" s="747"/>
      <c r="AG12" s="747"/>
      <c r="AH12" s="747"/>
      <c r="AI12" s="747"/>
      <c r="AJ12" s="747"/>
      <c r="AK12" s="747"/>
      <c r="AL12" s="747"/>
      <c r="AM12" s="747"/>
      <c r="AN12" s="747"/>
      <c r="AO12" s="747"/>
      <c r="AR12" s="766"/>
      <c r="AU12">
        <v>0</v>
      </c>
      <c r="AV12" t="str">
        <f>'Translate&amp;Prices&amp;Logo'!$O$559</f>
        <v>Nie</v>
      </c>
      <c r="AZ12">
        <v>2</v>
      </c>
      <c r="BA12" t="str">
        <f>'Translate&amp;Prices&amp;Logo'!$O$553</f>
        <v>Zawiasy</v>
      </c>
      <c r="BD12" s="1" t="s">
        <v>68</v>
      </c>
      <c r="BE12" s="1" t="s">
        <v>220</v>
      </c>
      <c r="BI12" s="1" t="s">
        <v>52</v>
      </c>
      <c r="BJ12" s="1" t="s">
        <v>214</v>
      </c>
      <c r="BM12" s="1" t="s">
        <v>105</v>
      </c>
      <c r="BN12" s="1" t="s">
        <v>251</v>
      </c>
      <c r="BX12" s="1">
        <v>1</v>
      </c>
      <c r="BY12" s="1" t="str">
        <f>'Translate&amp;Prices&amp;Logo'!$O$102</f>
        <v>Bez modyfikacji</v>
      </c>
      <c r="CA12" t="s">
        <v>953</v>
      </c>
      <c r="CB12" t="s">
        <v>1320</v>
      </c>
      <c r="CK12" t="s">
        <v>1338</v>
      </c>
      <c r="CL12" t="s">
        <v>3074</v>
      </c>
    </row>
    <row r="13" spans="1:90" ht="16.350000000000001" customHeight="1">
      <c r="A13" s="744"/>
      <c r="B13" s="744"/>
      <c r="W13" s="126"/>
      <c r="X13" s="126"/>
      <c r="Y13" s="126"/>
      <c r="Z13" s="126"/>
      <c r="AA13" s="126"/>
      <c r="AB13" s="481"/>
      <c r="AC13" s="767" t="str">
        <f>IF(OR(Ram_1!$AU$10=1,Ram_1!$AU$10=3),'Translate&amp;Prices&amp;Logo'!O560,"")</f>
        <v/>
      </c>
      <c r="AD13" s="767"/>
      <c r="AE13" s="767"/>
      <c r="AF13" s="767"/>
      <c r="AG13" s="767"/>
      <c r="AH13" s="767"/>
      <c r="AI13" s="767"/>
      <c r="AJ13" s="767" t="str">
        <f>IF(OR(Ram_1!$AU$10=2,Ram_1!$AU$10=3),'Translate&amp;Prices&amp;Logo'!O561,"")</f>
        <v/>
      </c>
      <c r="AK13" s="767"/>
      <c r="AL13" s="767"/>
      <c r="AM13" s="767"/>
      <c r="AN13" s="767"/>
      <c r="AO13" s="767"/>
      <c r="AR13" s="766"/>
      <c r="AU13">
        <v>1</v>
      </c>
      <c r="AV13" t="str">
        <f>'Translate&amp;Prices&amp;Logo'!$O$560</f>
        <v>Poziomo (termin dostawy 4 tygodnie)</v>
      </c>
      <c r="AZ13">
        <v>3</v>
      </c>
      <c r="BA13" t="str">
        <f>'Translate&amp;Prices&amp;Logo'!$O$554</f>
        <v>Podnośniki</v>
      </c>
      <c r="BD13" s="1" t="s">
        <v>69</v>
      </c>
      <c r="BE13" s="1" t="s">
        <v>221</v>
      </c>
      <c r="BI13" s="1" t="s">
        <v>51</v>
      </c>
      <c r="BJ13" s="1" t="s">
        <v>215</v>
      </c>
      <c r="BM13" s="1" t="s">
        <v>106</v>
      </c>
      <c r="BN13" s="1" t="s">
        <v>252</v>
      </c>
      <c r="BX13" s="1">
        <v>2</v>
      </c>
      <c r="BY13" s="1" t="str">
        <f>'Translate&amp;Prices&amp;Logo'!$O$103</f>
        <v>Hartowane</v>
      </c>
      <c r="CA13" t="s">
        <v>956</v>
      </c>
      <c r="CB13" t="s">
        <v>1321</v>
      </c>
      <c r="CK13" t="s">
        <v>1077</v>
      </c>
      <c r="CL13" t="s">
        <v>2973</v>
      </c>
    </row>
    <row r="14" spans="1:90" ht="16.350000000000001" customHeight="1">
      <c r="A14" s="744"/>
      <c r="B14" s="744"/>
      <c r="W14" s="748" t="str">
        <f>('Translate&amp;Prices&amp;Logo'!$O$545)&amp;" "&amp;"("&amp;'Translate&amp;Prices&amp;Logo'!$O$176&amp;")"</f>
        <v>Szprosy (Ilość sztuk)</v>
      </c>
      <c r="X14" s="748"/>
      <c r="Y14" s="748"/>
      <c r="Z14" s="748"/>
      <c r="AA14" s="748"/>
      <c r="AB14" s="481"/>
      <c r="AC14" s="747">
        <f>Ram_1!$H$11</f>
        <v>0</v>
      </c>
      <c r="AD14" s="747"/>
      <c r="AE14" s="747"/>
      <c r="AF14" s="747"/>
      <c r="AG14" s="747"/>
      <c r="AH14" s="747"/>
      <c r="AI14" s="747"/>
      <c r="AJ14" s="747">
        <f>Ram_1!$M$11</f>
        <v>0</v>
      </c>
      <c r="AK14" s="747"/>
      <c r="AL14" s="747"/>
      <c r="AM14" s="747"/>
      <c r="AN14" s="747"/>
      <c r="AO14" s="747"/>
      <c r="AR14" s="766"/>
      <c r="AU14">
        <v>2</v>
      </c>
      <c r="AV14" t="str">
        <f>'Translate&amp;Prices&amp;Logo'!$O$561</f>
        <v>Pionowo (termin dostawy 4 tygodnie)</v>
      </c>
      <c r="BD14" s="1" t="s">
        <v>70</v>
      </c>
      <c r="BE14" s="1" t="s">
        <v>1145</v>
      </c>
      <c r="BI14" s="1" t="s">
        <v>158</v>
      </c>
      <c r="BJ14" s="1" t="s">
        <v>214</v>
      </c>
      <c r="BM14" s="1" t="s">
        <v>108</v>
      </c>
      <c r="BN14" s="1" t="s">
        <v>253</v>
      </c>
      <c r="BX14" s="1">
        <v>3</v>
      </c>
      <c r="BY14" s="1" t="str">
        <f>'Translate&amp;Prices&amp;Logo'!$O$104</f>
        <v>Folia</v>
      </c>
      <c r="CA14" t="s">
        <v>959</v>
      </c>
      <c r="CB14" t="s">
        <v>1322</v>
      </c>
      <c r="CK14" t="s">
        <v>1085</v>
      </c>
      <c r="CL14" t="s">
        <v>2974</v>
      </c>
    </row>
    <row r="15" spans="1:90" ht="16.350000000000001" customHeight="1">
      <c r="A15" s="744"/>
      <c r="B15" s="744"/>
      <c r="W15" s="748" t="str">
        <f>'Translate&amp;Prices&amp;Logo'!$O$260</f>
        <v>Typ okucia</v>
      </c>
      <c r="X15" s="748"/>
      <c r="Y15" s="748"/>
      <c r="Z15" s="748"/>
      <c r="AA15" s="748"/>
      <c r="AB15" s="481"/>
      <c r="AC15" s="747" t="str">
        <f>IFERROR(VLOOKUP(Ram_1!$AU$9,AZ12:BA13,2,0),Ram_1!$AU$9)</f>
        <v/>
      </c>
      <c r="AD15" s="747"/>
      <c r="AE15" s="747"/>
      <c r="AF15" s="747"/>
      <c r="AG15" s="747"/>
      <c r="AH15" s="747"/>
      <c r="AI15" s="747"/>
      <c r="AJ15" s="747"/>
      <c r="AK15" s="747"/>
      <c r="AL15" s="747"/>
      <c r="AM15" s="747"/>
      <c r="AN15" s="747"/>
      <c r="AO15" s="747"/>
      <c r="AR15" s="766"/>
      <c r="AU15">
        <v>3</v>
      </c>
      <c r="AV15" t="str">
        <f>'Translate&amp;Prices&amp;Logo'!$O$562</f>
        <v>Poziomo i pionowo (termin dostawy 4 tygodnie)</v>
      </c>
      <c r="BD15" s="1" t="s">
        <v>68</v>
      </c>
      <c r="BE15" s="1" t="s">
        <v>220</v>
      </c>
      <c r="BI15" s="1" t="s">
        <v>159</v>
      </c>
      <c r="BJ15" s="1" t="s">
        <v>215</v>
      </c>
      <c r="BM15" s="1" t="s">
        <v>107</v>
      </c>
      <c r="BN15" s="1" t="s">
        <v>254</v>
      </c>
      <c r="CA15" t="s">
        <v>1210</v>
      </c>
      <c r="CB15" t="s">
        <v>1320</v>
      </c>
      <c r="CK15" t="s">
        <v>1078</v>
      </c>
      <c r="CL15" t="s">
        <v>3213</v>
      </c>
    </row>
    <row r="16" spans="1:90" ht="16.350000000000001" customHeight="1">
      <c r="A16" s="744"/>
      <c r="B16" s="744"/>
      <c r="W16" s="748" t="str">
        <f>'Translate&amp;Prices&amp;Logo'!$O$546</f>
        <v>Marka okucia</v>
      </c>
      <c r="X16" s="748"/>
      <c r="Y16" s="748"/>
      <c r="Z16" s="748"/>
      <c r="AA16" s="748"/>
      <c r="AB16" s="481"/>
      <c r="AC16" s="747">
        <f>Ram_1!$H$13</f>
        <v>0</v>
      </c>
      <c r="AD16" s="747"/>
      <c r="AE16" s="747"/>
      <c r="AF16" s="747"/>
      <c r="AG16" s="747"/>
      <c r="AH16" s="747"/>
      <c r="AI16" s="747"/>
      <c r="AJ16" s="747"/>
      <c r="AK16" s="747"/>
      <c r="AL16" s="747"/>
      <c r="AM16" s="747"/>
      <c r="AN16" s="747"/>
      <c r="AO16" s="747"/>
      <c r="AR16" s="766"/>
      <c r="BD16" s="1" t="s">
        <v>69</v>
      </c>
      <c r="BE16" s="1" t="s">
        <v>221</v>
      </c>
      <c r="BI16" s="1" t="s">
        <v>408</v>
      </c>
      <c r="BJ16" s="1" t="s">
        <v>214</v>
      </c>
      <c r="BM16" s="1" t="s">
        <v>109</v>
      </c>
      <c r="BN16" s="1" t="s">
        <v>1306</v>
      </c>
      <c r="CA16" t="s">
        <v>1211</v>
      </c>
      <c r="CB16" t="s">
        <v>1321</v>
      </c>
      <c r="CK16" t="s">
        <v>1058</v>
      </c>
      <c r="CL16" t="s">
        <v>3214</v>
      </c>
    </row>
    <row r="17" spans="1:90" ht="16.350000000000001" customHeight="1" thickBot="1">
      <c r="A17" s="744"/>
      <c r="B17" s="744"/>
      <c r="W17" s="748" t="str">
        <f>'Translate&amp;Prices&amp;Logo'!$O$548</f>
        <v>Nałożenie</v>
      </c>
      <c r="X17" s="748"/>
      <c r="Y17" s="748"/>
      <c r="Z17" s="748"/>
      <c r="AA17" s="748"/>
      <c r="AB17" s="481"/>
      <c r="AC17" s="747">
        <f>IFERROR(VLOOKUP(Ram_1!$H$14,$BD$12:$BE$29,2,0),0)</f>
        <v>0</v>
      </c>
      <c r="AD17" s="747"/>
      <c r="AE17" s="747"/>
      <c r="AF17" s="747"/>
      <c r="AG17" s="747"/>
      <c r="AH17" s="747"/>
      <c r="AI17" s="747"/>
      <c r="AJ17" s="747"/>
      <c r="AK17" s="747"/>
      <c r="AL17" s="747"/>
      <c r="AM17" s="747"/>
      <c r="AN17" s="747"/>
      <c r="AO17" s="747"/>
      <c r="AR17" s="766"/>
      <c r="BD17" s="1" t="s">
        <v>70</v>
      </c>
      <c r="BE17" s="1" t="s">
        <v>1145</v>
      </c>
      <c r="BI17" s="1" t="s">
        <v>281</v>
      </c>
      <c r="BJ17" s="1" t="s">
        <v>215</v>
      </c>
      <c r="BM17" s="1" t="s">
        <v>191</v>
      </c>
      <c r="BN17" s="1" t="s">
        <v>251</v>
      </c>
      <c r="CA17" t="s">
        <v>1212</v>
      </c>
      <c r="CB17" t="s">
        <v>1322</v>
      </c>
      <c r="CK17" t="s">
        <v>1067</v>
      </c>
      <c r="CL17" t="s">
        <v>1067</v>
      </c>
    </row>
    <row r="18" spans="1:90" ht="16.350000000000001" customHeight="1">
      <c r="A18" s="744"/>
      <c r="B18" s="744"/>
      <c r="S18" s="761">
        <f>Ram_1!AR14</f>
        <v>0</v>
      </c>
      <c r="W18" s="748" t="str">
        <f>'Translate&amp;Prices&amp;Logo'!$O$547</f>
        <v>Wariant okucia</v>
      </c>
      <c r="X18" s="748"/>
      <c r="Y18" s="748"/>
      <c r="Z18" s="748"/>
      <c r="AA18" s="748"/>
      <c r="AB18" s="481"/>
      <c r="AC18" s="777">
        <f>IFERROR(VLOOKUP(Ram_1!$H$15,kombinace_1!$ED$2:$EE$758,2,0),Ram_1!$H$15)</f>
        <v>0</v>
      </c>
      <c r="AD18" s="777"/>
      <c r="AE18" s="777"/>
      <c r="AF18" s="777"/>
      <c r="AG18" s="777"/>
      <c r="AH18" s="777"/>
      <c r="AI18" s="777"/>
      <c r="AJ18" s="747" t="str">
        <f>IF(AC18='Translate&amp;Prices&amp;Logo'!C700,VLOOKUP(Ram_1!H17,'Translate&amp;Prices&amp;Logo'!C701:D748,2,0),"")</f>
        <v/>
      </c>
      <c r="AK18" s="747"/>
      <c r="AL18" s="747"/>
      <c r="AM18" s="747"/>
      <c r="AN18" s="747"/>
      <c r="AO18" s="747"/>
      <c r="AR18" s="766"/>
      <c r="BD18" s="1" t="s">
        <v>220</v>
      </c>
      <c r="BE18" s="1" t="s">
        <v>220</v>
      </c>
      <c r="BI18" s="1" t="s">
        <v>1348</v>
      </c>
      <c r="BJ18" s="1" t="s">
        <v>214</v>
      </c>
      <c r="BM18" s="1" t="s">
        <v>192</v>
      </c>
      <c r="BN18" s="1" t="s">
        <v>252</v>
      </c>
      <c r="CA18" t="s">
        <v>1320</v>
      </c>
      <c r="CB18" t="s">
        <v>1320</v>
      </c>
      <c r="CK18" t="s">
        <v>1086</v>
      </c>
      <c r="CL18" t="s">
        <v>3212</v>
      </c>
    </row>
    <row r="19" spans="1:90" ht="16.350000000000001" customHeight="1">
      <c r="A19" s="744"/>
      <c r="B19" s="744"/>
      <c r="S19" s="762">
        <f>Ram_1!AR15</f>
        <v>0</v>
      </c>
      <c r="W19" s="748" t="str">
        <f>'Translate&amp;Prices&amp;Logo'!$O$220</f>
        <v>Wybierz pozycję ramki</v>
      </c>
      <c r="X19" s="748"/>
      <c r="Y19" s="748"/>
      <c r="Z19" s="748"/>
      <c r="AA19" s="748"/>
      <c r="AB19" s="747">
        <f>IFERROR(VLOOKUP(Ram_1!$F$16,BI12:BJ23,2,0),0)</f>
        <v>0</v>
      </c>
      <c r="AC19" s="747"/>
      <c r="AD19" s="747"/>
      <c r="AE19" s="747"/>
      <c r="AF19" s="747"/>
      <c r="AG19" s="778" t="str">
        <f>'Translate&amp;Prices&amp;Logo'!$O$234</f>
        <v>Rodzaj drugiej ramki</v>
      </c>
      <c r="AH19" s="778"/>
      <c r="AI19" s="778"/>
      <c r="AJ19" s="747">
        <f>IFERROR(VLOOKUP(Ram_1!$N$16,BM12:BN41,2,0),0)</f>
        <v>0</v>
      </c>
      <c r="AK19" s="747"/>
      <c r="AL19" s="747"/>
      <c r="AM19" s="747"/>
      <c r="AN19" s="747"/>
      <c r="AO19" s="747"/>
      <c r="AR19" s="766"/>
      <c r="BD19" s="1" t="s">
        <v>221</v>
      </c>
      <c r="BE19" s="1" t="s">
        <v>221</v>
      </c>
      <c r="BI19" s="1" t="s">
        <v>1349</v>
      </c>
      <c r="BJ19" s="1" t="s">
        <v>215</v>
      </c>
      <c r="BM19" s="1" t="s">
        <v>193</v>
      </c>
      <c r="BN19" s="1" t="s">
        <v>253</v>
      </c>
      <c r="CA19" t="s">
        <v>1321</v>
      </c>
      <c r="CB19" t="s">
        <v>1321</v>
      </c>
      <c r="CK19" t="s">
        <v>1081</v>
      </c>
      <c r="CL19" t="s">
        <v>2537</v>
      </c>
    </row>
    <row r="20" spans="1:90" ht="16.350000000000001" customHeight="1">
      <c r="A20" s="744"/>
      <c r="B20" s="744"/>
      <c r="S20" s="762">
        <f>Ram_1!AR16</f>
        <v>0</v>
      </c>
      <c r="W20" s="748" t="str">
        <f>IF(AC15='Translate&amp;Prices&amp;Logo'!O553,'Translate&amp;Prices&amp;Logo'!O240,'Translate&amp;Prices&amp;Logo'!$O$228)</f>
        <v>Umieszczenie</v>
      </c>
      <c r="X20" s="748"/>
      <c r="Y20" s="748"/>
      <c r="Z20" s="748"/>
      <c r="AA20" s="748"/>
      <c r="AB20" s="481"/>
      <c r="AC20" s="779" t="str">
        <f>IFERROR((IF(Ram_1!H12='Translate&amp;Prices&amp;Logo'!B554,VLOOKUP(Ram_1!$N$16,BM42:BN71,2,0),VLOOKUP(Ram_1!$H$17,BM42:BN65,2,0))),"")</f>
        <v>W lewo</v>
      </c>
      <c r="AD20" s="779"/>
      <c r="AE20" s="779"/>
      <c r="AF20" s="779"/>
      <c r="AG20" s="779"/>
      <c r="AH20" s="779"/>
      <c r="AI20" s="779"/>
      <c r="AJ20" s="779"/>
      <c r="AK20" s="779"/>
      <c r="AL20" s="779"/>
      <c r="AM20" s="779"/>
      <c r="AN20" s="779"/>
      <c r="AO20" s="779"/>
      <c r="AR20" s="766"/>
      <c r="BD20" s="1" t="s">
        <v>1145</v>
      </c>
      <c r="BE20" s="1" t="s">
        <v>1145</v>
      </c>
      <c r="BI20" s="1" t="s">
        <v>214</v>
      </c>
      <c r="BJ20" s="1" t="s">
        <v>214</v>
      </c>
      <c r="BM20" s="1" t="s">
        <v>194</v>
      </c>
      <c r="BN20" s="1" t="s">
        <v>254</v>
      </c>
      <c r="CA20" t="s">
        <v>1322</v>
      </c>
      <c r="CB20" t="s">
        <v>1322</v>
      </c>
      <c r="CK20" t="s">
        <v>1061</v>
      </c>
      <c r="CL20" t="s">
        <v>1061</v>
      </c>
    </row>
    <row r="21" spans="1:90" ht="16.350000000000001" customHeight="1">
      <c r="A21" s="744"/>
      <c r="B21" s="744"/>
      <c r="S21" s="762">
        <f>Ram_1!AR17</f>
        <v>0</v>
      </c>
      <c r="W21" s="753" t="str">
        <f>IF(Ram_1!AU9=3,'Translate&amp;Prices&amp;Logo'!$O$549,"")</f>
        <v/>
      </c>
      <c r="X21" s="753"/>
      <c r="Y21" s="753"/>
      <c r="Z21" s="753"/>
      <c r="AA21" s="753"/>
      <c r="AB21" s="481"/>
      <c r="AC21" s="747">
        <f>IFERROR((VLOOKUP(Ram_1!$H$18,$CK$2:$CL$90,2,0)),Ram_1!$H$18)</f>
        <v>0</v>
      </c>
      <c r="AD21" s="747"/>
      <c r="AE21" s="747"/>
      <c r="AF21" s="747"/>
      <c r="AG21" s="747"/>
      <c r="AH21" s="747"/>
      <c r="AI21" s="747"/>
      <c r="AJ21" s="747"/>
      <c r="AK21" s="747"/>
      <c r="AL21" s="747"/>
      <c r="AM21" s="747"/>
      <c r="AN21" s="747"/>
      <c r="AO21" s="747"/>
      <c r="AR21" s="766"/>
      <c r="AV21" s="1">
        <f>Ram_1!$H$18</f>
        <v>0</v>
      </c>
      <c r="BD21" s="1" t="s">
        <v>284</v>
      </c>
      <c r="BE21" s="1" t="s">
        <v>220</v>
      </c>
      <c r="BI21" s="1" t="s">
        <v>215</v>
      </c>
      <c r="BJ21" s="1" t="s">
        <v>215</v>
      </c>
      <c r="BM21" s="1" t="s">
        <v>195</v>
      </c>
      <c r="BN21" s="1" t="s">
        <v>1306</v>
      </c>
      <c r="CA21" t="s">
        <v>1213</v>
      </c>
      <c r="CB21" t="s">
        <v>1320</v>
      </c>
      <c r="CK21" t="s">
        <v>1087</v>
      </c>
      <c r="CL21" t="s">
        <v>3215</v>
      </c>
    </row>
    <row r="22" spans="1:90" ht="16.350000000000001" customHeight="1">
      <c r="A22" s="744"/>
      <c r="B22" s="744"/>
      <c r="S22" s="762">
        <f>Ram_1!AR18</f>
        <v>0</v>
      </c>
      <c r="W22" s="748" t="str">
        <f>'Translate&amp;Prices&amp;Logo'!$O$225</f>
        <v>Ilość zawiasów na 1 ramkę</v>
      </c>
      <c r="X22" s="748"/>
      <c r="Y22" s="748"/>
      <c r="Z22" s="748"/>
      <c r="AA22" s="748"/>
      <c r="AB22" s="481"/>
      <c r="AC22" s="747">
        <f>Ram_1!$H$19</f>
        <v>0</v>
      </c>
      <c r="AD22" s="747"/>
      <c r="AE22" s="747"/>
      <c r="AF22" s="747"/>
      <c r="AG22" s="747"/>
      <c r="AH22" s="747"/>
      <c r="AI22" s="747"/>
      <c r="AJ22" s="747"/>
      <c r="AK22" s="747"/>
      <c r="AL22" s="747"/>
      <c r="AM22" s="747"/>
      <c r="AN22" s="747"/>
      <c r="AO22" s="747"/>
      <c r="AR22" s="766"/>
      <c r="BD22" s="1" t="s">
        <v>285</v>
      </c>
      <c r="BE22" s="1" t="s">
        <v>221</v>
      </c>
      <c r="BI22" s="318" t="s">
        <v>3768</v>
      </c>
      <c r="BJ22" s="1" t="s">
        <v>214</v>
      </c>
      <c r="BM22" s="1" t="s">
        <v>251</v>
      </c>
      <c r="BN22" s="1" t="s">
        <v>251</v>
      </c>
      <c r="CA22" t="s">
        <v>1295</v>
      </c>
      <c r="CB22" t="s">
        <v>1321</v>
      </c>
      <c r="CK22" t="s">
        <v>1088</v>
      </c>
      <c r="CL22" t="s">
        <v>2540</v>
      </c>
    </row>
    <row r="23" spans="1:90" ht="16.350000000000001" customHeight="1">
      <c r="A23" s="744"/>
      <c r="B23" s="744"/>
      <c r="S23" s="763" t="str">
        <f>'Translate&amp;Prices&amp;Logo'!$O$178</f>
        <v>Wysokość</v>
      </c>
      <c r="W23" s="748" t="str">
        <f>IFERROR(VLOOKUP(Ram_1!H17,kombinace_1!BY32:CD35,5,0),"")</f>
        <v>Odległość od lewej krawędzi (gornej)</v>
      </c>
      <c r="X23" s="748"/>
      <c r="Y23" s="748"/>
      <c r="Z23" s="748"/>
      <c r="AA23" s="748"/>
      <c r="AB23" s="747">
        <f>Ram_1!$F$20</f>
        <v>100</v>
      </c>
      <c r="AC23" s="747"/>
      <c r="AD23" s="747"/>
      <c r="AE23" s="747"/>
      <c r="AF23" s="747"/>
      <c r="AG23" s="748" t="str">
        <f>IFERROR(VLOOKUP(Ram_1!H17,kombinace_1!$BY$32:$CD$35,6,0),"")</f>
        <v>Odległość od lewej krawędzi (dolnej)</v>
      </c>
      <c r="AH23" s="748"/>
      <c r="AI23" s="748"/>
      <c r="AJ23" s="748"/>
      <c r="AK23" s="748"/>
      <c r="AL23" s="747">
        <f>Ram_1!$N$20</f>
        <v>100</v>
      </c>
      <c r="AM23" s="747"/>
      <c r="AN23" s="747"/>
      <c r="AO23" s="747"/>
      <c r="AR23" s="766"/>
      <c r="BD23" s="1" t="s">
        <v>286</v>
      </c>
      <c r="BE23" s="1" t="s">
        <v>1145</v>
      </c>
      <c r="BI23" s="318" t="s">
        <v>3769</v>
      </c>
      <c r="BJ23" s="1" t="s">
        <v>215</v>
      </c>
      <c r="BM23" s="1" t="s">
        <v>252</v>
      </c>
      <c r="BN23" s="1" t="s">
        <v>252</v>
      </c>
      <c r="CA23" t="s">
        <v>1214</v>
      </c>
      <c r="CB23" t="s">
        <v>1322</v>
      </c>
      <c r="CK23" t="s">
        <v>1336</v>
      </c>
      <c r="CL23" t="s">
        <v>3075</v>
      </c>
    </row>
    <row r="24" spans="1:90" ht="16.350000000000001" customHeight="1">
      <c r="A24" s="744"/>
      <c r="B24" s="744"/>
      <c r="S24" s="763">
        <f>Ram_1!AR20</f>
        <v>0</v>
      </c>
      <c r="W24" s="748" t="str">
        <f>'Translate&amp;Prices&amp;Logo'!$O$655</f>
        <v>Wypełnienie z siatki</v>
      </c>
      <c r="X24" s="748"/>
      <c r="Y24" s="748"/>
      <c r="Z24" s="748"/>
      <c r="AA24" s="748"/>
      <c r="AB24" s="481"/>
      <c r="AC24" s="746" t="str">
        <f>IF(kombinace_1!FC2=TRUE,"Tak","Nie")</f>
        <v>Nie</v>
      </c>
      <c r="AD24" s="746"/>
      <c r="AE24" s="746"/>
      <c r="AF24" s="746"/>
      <c r="AG24" s="746"/>
      <c r="AH24" s="746"/>
      <c r="AI24" s="746"/>
      <c r="AJ24" s="746"/>
      <c r="AK24" s="746"/>
      <c r="AL24" s="746"/>
      <c r="AM24" s="746"/>
      <c r="AN24" s="746"/>
      <c r="AO24" s="746"/>
      <c r="AR24" s="766"/>
      <c r="BD24" s="1" t="s">
        <v>1595</v>
      </c>
      <c r="BE24" s="1" t="s">
        <v>220</v>
      </c>
      <c r="BM24" s="1" t="s">
        <v>253</v>
      </c>
      <c r="BN24" s="1" t="s">
        <v>253</v>
      </c>
      <c r="CA24" t="s">
        <v>1399</v>
      </c>
      <c r="CB24" t="s">
        <v>1320</v>
      </c>
      <c r="CK24" t="s">
        <v>1069</v>
      </c>
      <c r="CL24" t="s">
        <v>1069</v>
      </c>
    </row>
    <row r="25" spans="1:90" ht="16.350000000000001" customHeight="1">
      <c r="A25" s="744"/>
      <c r="B25" s="744"/>
      <c r="S25" s="763">
        <f>Ram_1!AR21</f>
        <v>0</v>
      </c>
      <c r="W25" s="748" t="str">
        <f>'Translate&amp;Prices&amp;Logo'!$O$175</f>
        <v>Rodzaj szkła</v>
      </c>
      <c r="X25" s="748"/>
      <c r="Y25" s="748"/>
      <c r="Z25" s="748"/>
      <c r="AA25" s="748"/>
      <c r="AB25" s="481"/>
      <c r="AC25" s="747" t="str">
        <f>IFERROR(VLOOKUP(kombinace_1!$V$1,BX12:BY14,2,0),0)</f>
        <v>Bez modyfikacji</v>
      </c>
      <c r="AD25" s="747"/>
      <c r="AE25" s="747"/>
      <c r="AF25" s="747"/>
      <c r="AG25" s="747"/>
      <c r="AH25" s="747"/>
      <c r="AI25" s="747"/>
      <c r="AJ25" s="747"/>
      <c r="AK25" s="747"/>
      <c r="AL25" s="747"/>
      <c r="AM25" s="747"/>
      <c r="AN25" s="747"/>
      <c r="AO25" s="747"/>
      <c r="AR25" s="766"/>
      <c r="BD25" s="1" t="s">
        <v>1452</v>
      </c>
      <c r="BE25" s="1" t="s">
        <v>221</v>
      </c>
      <c r="BM25" s="1" t="s">
        <v>254</v>
      </c>
      <c r="BN25" s="1" t="s">
        <v>254</v>
      </c>
      <c r="CA25" t="s">
        <v>1400</v>
      </c>
      <c r="CB25" t="s">
        <v>1321</v>
      </c>
      <c r="CK25" t="s">
        <v>1082</v>
      </c>
      <c r="CL25" t="s">
        <v>2976</v>
      </c>
    </row>
    <row r="26" spans="1:90" ht="16.350000000000001" customHeight="1">
      <c r="A26" s="744"/>
      <c r="B26" s="744"/>
      <c r="S26" s="763">
        <f>Ram_1!AR22</f>
        <v>0</v>
      </c>
      <c r="W26" s="748" t="str">
        <f>'Translate&amp;Prices&amp;Logo'!$O$564</f>
        <v>Rodzaj folii</v>
      </c>
      <c r="X26" s="748"/>
      <c r="Y26" s="748"/>
      <c r="Z26" s="748"/>
      <c r="AA26" s="748"/>
      <c r="AB26" s="481"/>
      <c r="AC26" s="747">
        <f>IFERROR(VLOOKUP(Ram_1!$H$24,CA12:CB29,2,0),0)</f>
        <v>0</v>
      </c>
      <c r="AD26" s="747"/>
      <c r="AE26" s="747"/>
      <c r="AF26" s="747"/>
      <c r="AG26" s="747"/>
      <c r="AH26" s="747"/>
      <c r="AI26" s="747"/>
      <c r="AJ26" s="747"/>
      <c r="AK26" s="747"/>
      <c r="AL26" s="747"/>
      <c r="AM26" s="747"/>
      <c r="AN26" s="747"/>
      <c r="AO26" s="747"/>
      <c r="AR26" s="766"/>
      <c r="BD26" s="1" t="s">
        <v>905</v>
      </c>
      <c r="BE26" s="1" t="s">
        <v>1145</v>
      </c>
      <c r="BM26" s="1" t="s">
        <v>1306</v>
      </c>
      <c r="BN26" s="1" t="s">
        <v>1306</v>
      </c>
      <c r="CA26" t="s">
        <v>1401</v>
      </c>
      <c r="CB26" t="s">
        <v>1322</v>
      </c>
      <c r="CK26" t="s">
        <v>1337</v>
      </c>
      <c r="CL26" t="s">
        <v>3076</v>
      </c>
    </row>
    <row r="27" spans="1:90" ht="16.350000000000001" customHeight="1" thickBot="1">
      <c r="A27" s="744"/>
      <c r="B27" s="744"/>
      <c r="S27" s="764">
        <f>Ram_1!AR23</f>
        <v>0</v>
      </c>
      <c r="W27" s="748" t="str">
        <f>'Translate&amp;Prices&amp;Logo'!$O$175</f>
        <v>Rodzaj szkła</v>
      </c>
      <c r="X27" s="748"/>
      <c r="Y27" s="748"/>
      <c r="Z27" s="748"/>
      <c r="AA27" s="748"/>
      <c r="AB27" s="481"/>
      <c r="AC27" s="747">
        <f>IFERROR(VLOOKUP(Ram_1!$H$25,'Translate&amp;Prices&amp;Logo'!$AH$1:$AI$167,2,0),Ram_1!$H$25)</f>
        <v>0</v>
      </c>
      <c r="AD27" s="747"/>
      <c r="AE27" s="747"/>
      <c r="AF27" s="747"/>
      <c r="AG27" s="747"/>
      <c r="AH27" s="747"/>
      <c r="AI27" s="747"/>
      <c r="AJ27" s="747"/>
      <c r="AK27" s="747"/>
      <c r="AL27" s="747"/>
      <c r="AM27" s="747"/>
      <c r="AN27" s="747"/>
      <c r="AO27" s="747"/>
      <c r="AR27" s="766"/>
      <c r="BD27" s="318" t="s">
        <v>3774</v>
      </c>
      <c r="BE27" s="1" t="s">
        <v>220</v>
      </c>
      <c r="BM27" s="1" t="s">
        <v>313</v>
      </c>
      <c r="BN27" s="1" t="s">
        <v>251</v>
      </c>
      <c r="CA27" s="318" t="s">
        <v>1399</v>
      </c>
      <c r="CB27" t="s">
        <v>1320</v>
      </c>
      <c r="CK27" t="s">
        <v>1340</v>
      </c>
      <c r="CL27" t="s">
        <v>3077</v>
      </c>
    </row>
    <row r="28" spans="1:90" ht="16.350000000000001" customHeight="1">
      <c r="A28" s="744"/>
      <c r="B28" s="744"/>
      <c r="W28" s="748" t="str">
        <f>'Translate&amp;Prices&amp;Logo'!$O$551</f>
        <v>Rozstaw uchwytu (mm)</v>
      </c>
      <c r="X28" s="748"/>
      <c r="Y28" s="748"/>
      <c r="Z28" s="748"/>
      <c r="AA28" s="748"/>
      <c r="AB28" s="481"/>
      <c r="AC28" s="747">
        <f>Ram_1!$H$26</f>
        <v>0</v>
      </c>
      <c r="AD28" s="747"/>
      <c r="AE28" s="747"/>
      <c r="AF28" s="747"/>
      <c r="AG28" s="747"/>
      <c r="AH28" s="747"/>
      <c r="AI28" s="747"/>
      <c r="AJ28" s="747"/>
      <c r="AK28" s="747"/>
      <c r="AL28" s="747"/>
      <c r="AM28" s="747"/>
      <c r="AN28" s="747"/>
      <c r="AO28" s="747"/>
      <c r="AR28" s="766"/>
      <c r="BD28" s="318" t="s">
        <v>3775</v>
      </c>
      <c r="BE28" s="1" t="s">
        <v>221</v>
      </c>
      <c r="BM28" s="1" t="s">
        <v>314</v>
      </c>
      <c r="BN28" s="1" t="s">
        <v>252</v>
      </c>
      <c r="CA28" s="318" t="s">
        <v>3976</v>
      </c>
      <c r="CB28" t="s">
        <v>1321</v>
      </c>
      <c r="CK28" t="s">
        <v>1083</v>
      </c>
      <c r="CL28" t="s">
        <v>2977</v>
      </c>
    </row>
    <row r="29" spans="1:90" ht="16.350000000000001" customHeight="1">
      <c r="A29" s="744"/>
      <c r="B29" s="744"/>
      <c r="W29" s="748" t="str">
        <f>'Translate&amp;Prices&amp;Logo'!$O$552</f>
        <v>Umieszczenie uchwytu</v>
      </c>
      <c r="X29" s="748"/>
      <c r="Y29" s="748"/>
      <c r="Z29" s="748"/>
      <c r="AA29" s="748"/>
      <c r="AB29" s="481"/>
      <c r="AC29" s="747">
        <f>IFERROR(VLOOKUP(Ram_1!$H$27,BM42:BN65,2,0),0)</f>
        <v>0</v>
      </c>
      <c r="AD29" s="747"/>
      <c r="AE29" s="747"/>
      <c r="AF29" s="747"/>
      <c r="AG29" s="747"/>
      <c r="AH29" s="747"/>
      <c r="AI29" s="747"/>
      <c r="AJ29" s="747"/>
      <c r="AK29" s="747"/>
      <c r="AL29" s="747"/>
      <c r="AM29" s="747"/>
      <c r="AN29" s="747"/>
      <c r="AO29" s="747"/>
      <c r="AR29" s="766"/>
      <c r="BD29" s="318" t="s">
        <v>3776</v>
      </c>
      <c r="BE29" s="1" t="s">
        <v>1145</v>
      </c>
      <c r="BM29" s="1" t="s">
        <v>315</v>
      </c>
      <c r="BN29" s="1" t="s">
        <v>253</v>
      </c>
      <c r="CA29" s="318" t="s">
        <v>3977</v>
      </c>
      <c r="CB29" t="s">
        <v>1322</v>
      </c>
      <c r="CK29" t="s">
        <v>1089</v>
      </c>
      <c r="CL29" t="s">
        <v>2978</v>
      </c>
    </row>
    <row r="30" spans="1:90" ht="16.350000000000001" customHeight="1">
      <c r="A30" s="744"/>
      <c r="B30" s="744"/>
      <c r="W30" s="748" t="str">
        <f>('Translate&amp;Prices&amp;Logo'!$O$176)&amp;" "&amp;"-"&amp;" "&amp;('Translate&amp;Prices&amp;Logo'!$O$171)&amp;" "&amp;" "&amp;1</f>
        <v>Ilość sztuk - Ramka  1</v>
      </c>
      <c r="X30" s="748"/>
      <c r="Y30" s="748"/>
      <c r="Z30" s="748"/>
      <c r="AA30" s="748"/>
      <c r="AB30" s="481"/>
      <c r="AC30" s="747">
        <f>Ram_1!$H$28</f>
        <v>0</v>
      </c>
      <c r="AD30" s="747"/>
      <c r="AE30" s="747"/>
      <c r="AF30" s="747"/>
      <c r="AG30" s="747"/>
      <c r="AH30" s="747"/>
      <c r="AI30" s="747"/>
      <c r="AJ30" s="747"/>
      <c r="AK30" s="747"/>
      <c r="AL30" s="747"/>
      <c r="AM30" s="747"/>
      <c r="AN30" s="747"/>
      <c r="AO30" s="747"/>
      <c r="AR30" s="766"/>
      <c r="BM30" s="1" t="s">
        <v>316</v>
      </c>
      <c r="BN30" s="1" t="s">
        <v>254</v>
      </c>
      <c r="CK30" s="240" t="s">
        <v>2979</v>
      </c>
      <c r="CL30" t="s">
        <v>4274</v>
      </c>
    </row>
    <row r="31" spans="1:90" ht="16.350000000000001" customHeight="1">
      <c r="A31" s="744"/>
      <c r="B31" s="744"/>
      <c r="AE31" s="1"/>
      <c r="AF31" s="1"/>
      <c r="AR31" s="766"/>
      <c r="BM31" s="1" t="s">
        <v>1254</v>
      </c>
      <c r="BN31" s="1" t="s">
        <v>1306</v>
      </c>
      <c r="CK31" s="240" t="s">
        <v>2980</v>
      </c>
      <c r="CL31" t="s">
        <v>4275</v>
      </c>
    </row>
    <row r="32" spans="1:90" ht="14.85" customHeight="1">
      <c r="A32" s="744"/>
      <c r="B32" s="744"/>
      <c r="AR32" s="766"/>
      <c r="BM32" s="1" t="s">
        <v>1356</v>
      </c>
      <c r="BN32" s="1" t="s">
        <v>251</v>
      </c>
      <c r="BS32" s="318"/>
      <c r="CK32" s="240" t="s">
        <v>2981</v>
      </c>
      <c r="CL32" t="s">
        <v>3073</v>
      </c>
    </row>
    <row r="33" spans="1:90" ht="14.85" customHeight="1">
      <c r="W33" s="754" t="s">
        <v>1604</v>
      </c>
      <c r="X33" s="754"/>
      <c r="Y33" s="754"/>
      <c r="Z33" s="754"/>
      <c r="AE33" s="754" t="s">
        <v>1605</v>
      </c>
      <c r="AF33" s="754"/>
      <c r="AG33" s="754"/>
      <c r="AH33" s="754"/>
      <c r="AR33" s="766"/>
      <c r="BM33" s="1" t="s">
        <v>1357</v>
      </c>
      <c r="BN33" s="1" t="s">
        <v>252</v>
      </c>
      <c r="BS33" s="318"/>
      <c r="CK33" s="240" t="s">
        <v>2982</v>
      </c>
      <c r="CL33" t="s">
        <v>3074</v>
      </c>
    </row>
    <row r="34" spans="1:90" ht="14.85" customHeight="1">
      <c r="AE34" s="768"/>
      <c r="AF34" s="769"/>
      <c r="AG34" s="769"/>
      <c r="AH34" s="769"/>
      <c r="AI34" s="769"/>
      <c r="AJ34" s="769"/>
      <c r="AK34" s="769"/>
      <c r="AL34" s="769"/>
      <c r="AM34" s="769"/>
      <c r="AN34" s="770"/>
      <c r="AR34" s="766"/>
      <c r="BM34" s="1" t="s">
        <v>1480</v>
      </c>
      <c r="BN34" s="1" t="s">
        <v>253</v>
      </c>
      <c r="BS34" s="318"/>
      <c r="CK34" s="240" t="s">
        <v>2983</v>
      </c>
      <c r="CL34" t="s">
        <v>3075</v>
      </c>
    </row>
    <row r="35" spans="1:90" ht="14.85" customHeight="1">
      <c r="AE35" s="771"/>
      <c r="AF35" s="772"/>
      <c r="AG35" s="772"/>
      <c r="AH35" s="772"/>
      <c r="AI35" s="772"/>
      <c r="AJ35" s="772"/>
      <c r="AK35" s="772"/>
      <c r="AL35" s="772"/>
      <c r="AM35" s="772"/>
      <c r="AN35" s="773"/>
      <c r="AR35" s="766"/>
      <c r="BM35" s="1" t="s">
        <v>1481</v>
      </c>
      <c r="BN35" s="1" t="s">
        <v>254</v>
      </c>
      <c r="BS35" s="318"/>
      <c r="CK35" s="240" t="s">
        <v>2984</v>
      </c>
      <c r="CL35" t="s">
        <v>3076</v>
      </c>
    </row>
    <row r="36" spans="1:90" ht="14.85" customHeight="1">
      <c r="AE36" s="771"/>
      <c r="AF36" s="772"/>
      <c r="AG36" s="772"/>
      <c r="AH36" s="772"/>
      <c r="AI36" s="772"/>
      <c r="AJ36" s="772"/>
      <c r="AK36" s="772"/>
      <c r="AL36" s="772"/>
      <c r="AM36" s="772"/>
      <c r="AN36" s="773"/>
      <c r="AR36" s="766"/>
      <c r="BM36" s="1" t="s">
        <v>965</v>
      </c>
      <c r="BN36" s="1" t="s">
        <v>1306</v>
      </c>
      <c r="BS36" s="175"/>
      <c r="BT36" s="133"/>
      <c r="CK36" s="240" t="s">
        <v>2985</v>
      </c>
      <c r="CL36" t="s">
        <v>3077</v>
      </c>
    </row>
    <row r="37" spans="1:90" ht="14.85" customHeight="1">
      <c r="D37" s="780">
        <f>IF(OR(Ram_1!$AC$25="x",Ram_1!$AJ$26="x",Ram_1!$AC$9="x",Ram_1!$AJ$7="x",Ram_1!$AB$16="x",Ram_1!$AM$23="x",Ram_1!$AN$19="x",Ram_1!$AD$10="x"),'Translate&amp;Prices&amp;Logo'!$B$590,0)</f>
        <v>0</v>
      </c>
      <c r="E37" s="780"/>
      <c r="F37" s="780"/>
      <c r="G37" s="780"/>
      <c r="H37" s="780"/>
      <c r="I37" s="780"/>
      <c r="J37" s="780"/>
      <c r="K37" s="780"/>
      <c r="L37" s="780"/>
      <c r="M37" s="780"/>
      <c r="N37" s="780"/>
      <c r="O37" s="780"/>
      <c r="P37" s="780"/>
      <c r="AE37" s="771"/>
      <c r="AF37" s="772"/>
      <c r="AG37" s="772"/>
      <c r="AH37" s="772"/>
      <c r="AI37" s="772"/>
      <c r="AJ37" s="772"/>
      <c r="AK37" s="772"/>
      <c r="AL37" s="772"/>
      <c r="AM37" s="772"/>
      <c r="AN37" s="773"/>
      <c r="AR37" s="766"/>
      <c r="BM37" s="318" t="s">
        <v>3814</v>
      </c>
      <c r="BN37" s="1" t="s">
        <v>251</v>
      </c>
      <c r="BS37" s="133"/>
      <c r="BT37" s="133"/>
      <c r="CK37" s="241" t="s">
        <v>2986</v>
      </c>
      <c r="CL37" t="s">
        <v>4274</v>
      </c>
    </row>
    <row r="38" spans="1:90" ht="14.85" customHeight="1">
      <c r="AE38" s="771"/>
      <c r="AF38" s="772"/>
      <c r="AG38" s="772"/>
      <c r="AH38" s="772"/>
      <c r="AI38" s="772"/>
      <c r="AJ38" s="772"/>
      <c r="AK38" s="772"/>
      <c r="AL38" s="772"/>
      <c r="AM38" s="772"/>
      <c r="AN38" s="773"/>
      <c r="AR38" s="766"/>
      <c r="BM38" s="318" t="s">
        <v>3815</v>
      </c>
      <c r="BN38" s="1" t="s">
        <v>252</v>
      </c>
      <c r="BS38" s="133"/>
      <c r="BT38" s="133"/>
      <c r="CK38" s="241" t="s">
        <v>2545</v>
      </c>
      <c r="CL38" t="s">
        <v>4275</v>
      </c>
    </row>
    <row r="39" spans="1:90" ht="14.85" customHeight="1" thickBot="1">
      <c r="AE39" s="771"/>
      <c r="AF39" s="772"/>
      <c r="AG39" s="772"/>
      <c r="AH39" s="772"/>
      <c r="AI39" s="772"/>
      <c r="AJ39" s="772"/>
      <c r="AK39" s="772"/>
      <c r="AL39" s="772"/>
      <c r="AM39" s="772"/>
      <c r="AN39" s="773"/>
      <c r="AR39" s="766"/>
      <c r="BM39" s="318" t="s">
        <v>3816</v>
      </c>
      <c r="BN39" s="1" t="s">
        <v>253</v>
      </c>
      <c r="BS39" s="133"/>
      <c r="BT39" s="133"/>
      <c r="CK39" s="241" t="s">
        <v>2541</v>
      </c>
      <c r="CL39" t="s">
        <v>3073</v>
      </c>
    </row>
    <row r="40" spans="1:90" ht="14.85" customHeight="1" thickBot="1">
      <c r="G40" s="757" t="str">
        <f>'Translate&amp;Prices&amp;Logo'!$O$177</f>
        <v>Szerokość</v>
      </c>
      <c r="H40" s="758">
        <f>Ram_1!AG30</f>
        <v>0</v>
      </c>
      <c r="I40" s="758">
        <f>Ram_1!AH30</f>
        <v>0</v>
      </c>
      <c r="J40" s="759">
        <f>Ram_1!AI30</f>
        <v>0</v>
      </c>
      <c r="K40" s="759">
        <f>Ram_1!AJ30</f>
        <v>0</v>
      </c>
      <c r="L40" s="760">
        <f>Ram_1!AK30</f>
        <v>0</v>
      </c>
      <c r="AE40" s="771"/>
      <c r="AF40" s="772"/>
      <c r="AG40" s="772"/>
      <c r="AH40" s="772"/>
      <c r="AI40" s="772"/>
      <c r="AJ40" s="772"/>
      <c r="AK40" s="772"/>
      <c r="AL40" s="772"/>
      <c r="AM40" s="772"/>
      <c r="AN40" s="773"/>
      <c r="AR40" s="766"/>
      <c r="BM40" s="318" t="s">
        <v>3817</v>
      </c>
      <c r="BN40" s="1" t="s">
        <v>254</v>
      </c>
      <c r="CK40" s="241" t="s">
        <v>2544</v>
      </c>
      <c r="CL40" t="s">
        <v>3074</v>
      </c>
    </row>
    <row r="41" spans="1:90" ht="21" customHeight="1">
      <c r="AE41" s="774"/>
      <c r="AF41" s="775"/>
      <c r="AG41" s="775"/>
      <c r="AH41" s="775"/>
      <c r="AI41" s="775"/>
      <c r="AJ41" s="775"/>
      <c r="AK41" s="775"/>
      <c r="AL41" s="775"/>
      <c r="AM41" s="775"/>
      <c r="AN41" s="776"/>
      <c r="AR41" s="766"/>
      <c r="BM41" s="318" t="s">
        <v>3818</v>
      </c>
      <c r="BN41" s="1" t="s">
        <v>1306</v>
      </c>
      <c r="CK41" s="241" t="s">
        <v>2542</v>
      </c>
      <c r="CL41" t="s">
        <v>3075</v>
      </c>
    </row>
    <row r="42" spans="1:90" ht="14.85" customHeight="1">
      <c r="AR42" s="766"/>
      <c r="BM42" s="1" t="s">
        <v>111</v>
      </c>
      <c r="BN42" s="1" t="s">
        <v>1132</v>
      </c>
      <c r="CK42" s="241" t="s">
        <v>2543</v>
      </c>
      <c r="CL42" t="s">
        <v>3076</v>
      </c>
    </row>
    <row r="43" spans="1:90" ht="14.85" customHeight="1">
      <c r="AR43" s="766"/>
      <c r="BM43" s="1" t="s">
        <v>112</v>
      </c>
      <c r="BN43" s="1" t="s">
        <v>1305</v>
      </c>
      <c r="CK43" s="241" t="s">
        <v>2546</v>
      </c>
      <c r="CL43" t="s">
        <v>3077</v>
      </c>
    </row>
    <row r="44" spans="1:90" ht="14.85" customHeight="1" thickBo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24"/>
      <c r="AF44" s="125"/>
      <c r="AG44" s="18"/>
      <c r="AH44" s="18"/>
      <c r="AI44" s="18"/>
      <c r="AJ44" s="18"/>
      <c r="AK44" s="18"/>
      <c r="AL44" s="18"/>
      <c r="AM44" s="18"/>
      <c r="AN44" s="18"/>
      <c r="AO44" s="18"/>
      <c r="AP44" s="18"/>
      <c r="AQ44" s="18"/>
      <c r="AR44" s="18"/>
      <c r="BM44" s="1" t="s">
        <v>102</v>
      </c>
      <c r="BN44" s="1" t="s">
        <v>248</v>
      </c>
      <c r="CK44" s="242" t="s">
        <v>2987</v>
      </c>
      <c r="CL44" t="s">
        <v>4274</v>
      </c>
    </row>
    <row r="45" spans="1:90" ht="35.1" customHeight="1" thickBot="1">
      <c r="J45" s="121"/>
      <c r="K45" s="121"/>
      <c r="L45" s="121"/>
      <c r="M45" s="121"/>
      <c r="N45" s="121"/>
      <c r="O45" s="121"/>
      <c r="P45" s="121"/>
      <c r="Q45" s="121"/>
      <c r="R45" s="121"/>
      <c r="S45" s="121"/>
      <c r="T45" s="121"/>
      <c r="U45" s="121"/>
      <c r="V45" s="121"/>
      <c r="W45" s="752" t="str">
        <f>'Translate&amp;Prices&amp;Logo'!$O$258</f>
        <v>Numer zamówienia</v>
      </c>
      <c r="X45" s="752"/>
      <c r="Y45" s="752"/>
      <c r="Z45" s="752"/>
      <c r="AA45" s="752"/>
      <c r="AB45" s="56"/>
      <c r="AC45" s="749">
        <f>Ram_2!AS5</f>
        <v>0</v>
      </c>
      <c r="AD45" s="750"/>
      <c r="AE45" s="750"/>
      <c r="AF45" s="750"/>
      <c r="AG45" s="750"/>
      <c r="AH45" s="750"/>
      <c r="AI45" s="750"/>
      <c r="AJ45" s="750"/>
      <c r="AK45" s="750"/>
      <c r="AL45" s="750"/>
      <c r="AM45" s="750"/>
      <c r="AN45" s="750"/>
      <c r="AO45" s="751"/>
      <c r="AR45" s="766" t="s">
        <v>1607</v>
      </c>
      <c r="BM45" s="1" t="s">
        <v>101</v>
      </c>
      <c r="BN45" s="1" t="s">
        <v>249</v>
      </c>
      <c r="CK45" s="242" t="s">
        <v>2988</v>
      </c>
      <c r="CL45" t="s">
        <v>4275</v>
      </c>
    </row>
    <row r="46" spans="1:90" ht="16.350000000000001" customHeight="1">
      <c r="W46" s="748" t="str">
        <f>'Translate&amp;Prices&amp;Logo'!$O$544</f>
        <v>Połączenie 2 profili</v>
      </c>
      <c r="X46" s="748"/>
      <c r="Y46" s="748"/>
      <c r="Z46" s="748"/>
      <c r="AA46" s="748"/>
      <c r="AB46" s="481"/>
      <c r="AC46" s="765" t="str">
        <f>IF(kombinace_2!$H$1=TRUE,"Tak","Nie")</f>
        <v>Nie</v>
      </c>
      <c r="AD46" s="765"/>
      <c r="AE46" s="765"/>
      <c r="AF46" s="765"/>
      <c r="AG46" s="765"/>
      <c r="AH46" s="765"/>
      <c r="AI46" s="765"/>
      <c r="AJ46" s="765"/>
      <c r="AK46" s="765"/>
      <c r="AL46" s="765"/>
      <c r="AM46" s="765"/>
      <c r="AN46" s="765"/>
      <c r="AO46" s="765"/>
      <c r="AR46" s="766"/>
      <c r="BM46" s="1" t="s">
        <v>1134</v>
      </c>
      <c r="BN46" s="1" t="s">
        <v>1132</v>
      </c>
      <c r="CK46" s="242" t="s">
        <v>2989</v>
      </c>
      <c r="CL46" t="s">
        <v>2535</v>
      </c>
    </row>
    <row r="47" spans="1:90" ht="16.350000000000001" customHeight="1">
      <c r="W47" s="748" t="str">
        <f>'Translate&amp;Prices&amp;Logo'!$O$174</f>
        <v>Rodzaj profilu</v>
      </c>
      <c r="X47" s="748"/>
      <c r="Y47" s="748"/>
      <c r="Z47" s="748"/>
      <c r="AA47" s="748"/>
      <c r="AB47" s="481"/>
      <c r="AC47" s="747">
        <f>IFERROR(VLOOKUP(Ram_2!$H$8,'Translate&amp;Prices&amp;Logo'!$AA$1:$AB$456,2,0),Ram_2!$H$8)</f>
        <v>0</v>
      </c>
      <c r="AD47" s="747"/>
      <c r="AE47" s="747"/>
      <c r="AF47" s="747"/>
      <c r="AG47" s="747"/>
      <c r="AH47" s="747"/>
      <c r="AI47" s="747"/>
      <c r="AJ47" s="747"/>
      <c r="AK47" s="747"/>
      <c r="AL47" s="747"/>
      <c r="AM47" s="747"/>
      <c r="AN47" s="747"/>
      <c r="AO47" s="747"/>
      <c r="AR47" s="766"/>
      <c r="BM47" s="1" t="s">
        <v>112</v>
      </c>
      <c r="BN47" s="1" t="s">
        <v>1305</v>
      </c>
      <c r="CK47" s="242" t="s">
        <v>2990</v>
      </c>
      <c r="CL47" t="s">
        <v>2538</v>
      </c>
    </row>
    <row r="48" spans="1:90" ht="16.350000000000001" customHeight="1">
      <c r="W48" s="748" t="str">
        <f>'Translate&amp;Prices&amp;Logo'!$O$545</f>
        <v>Szprosy</v>
      </c>
      <c r="X48" s="748"/>
      <c r="Y48" s="748"/>
      <c r="Z48" s="748"/>
      <c r="AA48" s="748"/>
      <c r="AB48" s="481"/>
      <c r="AC48" s="747" t="str">
        <f>IFERROR(VLOOKUP(Ram_2!$AU$10,AU48:AV51,2,0),0)</f>
        <v>Nie</v>
      </c>
      <c r="AD48" s="747"/>
      <c r="AE48" s="747"/>
      <c r="AF48" s="747"/>
      <c r="AG48" s="747"/>
      <c r="AH48" s="747"/>
      <c r="AI48" s="747"/>
      <c r="AJ48" s="747"/>
      <c r="AK48" s="747"/>
      <c r="AL48" s="747"/>
      <c r="AM48" s="747"/>
      <c r="AN48" s="747"/>
      <c r="AO48" s="747"/>
      <c r="AR48" s="766"/>
      <c r="AU48">
        <v>0</v>
      </c>
      <c r="AV48" t="str">
        <f>'Translate&amp;Prices&amp;Logo'!$O$559</f>
        <v>Nie</v>
      </c>
      <c r="AZ48">
        <v>2</v>
      </c>
      <c r="BA48" t="str">
        <f>'Translate&amp;Prices&amp;Logo'!$O$553</f>
        <v>Zawiasy</v>
      </c>
      <c r="BM48" s="1" t="s">
        <v>187</v>
      </c>
      <c r="BN48" s="1" t="s">
        <v>248</v>
      </c>
      <c r="BX48" s="1">
        <v>1</v>
      </c>
      <c r="BY48" s="1" t="str">
        <f>'Translate&amp;Prices&amp;Logo'!$O$102</f>
        <v>Bez modyfikacji</v>
      </c>
      <c r="CA48"/>
      <c r="CB48"/>
      <c r="CK48" s="242" t="s">
        <v>2991</v>
      </c>
      <c r="CL48" t="s">
        <v>3073</v>
      </c>
    </row>
    <row r="49" spans="19:90" ht="16.350000000000001" customHeight="1">
      <c r="W49" s="126"/>
      <c r="X49" s="126"/>
      <c r="Y49" s="126"/>
      <c r="Z49" s="126"/>
      <c r="AA49" s="126"/>
      <c r="AB49" s="481"/>
      <c r="AC49" s="767" t="str">
        <f>'Translate&amp;Prices&amp;Logo'!$O$560</f>
        <v>Poziomo (termin dostawy 4 tygodnie)</v>
      </c>
      <c r="AD49" s="767"/>
      <c r="AE49" s="767"/>
      <c r="AF49" s="767"/>
      <c r="AG49" s="767"/>
      <c r="AH49" s="767"/>
      <c r="AI49" s="767"/>
      <c r="AJ49" s="767" t="str">
        <f>'Translate&amp;Prices&amp;Logo'!$O$561</f>
        <v>Pionowo (termin dostawy 4 tygodnie)</v>
      </c>
      <c r="AK49" s="767"/>
      <c r="AL49" s="767"/>
      <c r="AM49" s="767"/>
      <c r="AN49" s="767"/>
      <c r="AO49" s="767"/>
      <c r="AR49" s="766"/>
      <c r="AU49">
        <v>1</v>
      </c>
      <c r="AV49" t="str">
        <f>'Translate&amp;Prices&amp;Logo'!$O$560</f>
        <v>Poziomo (termin dostawy 4 tygodnie)</v>
      </c>
      <c r="AZ49">
        <v>3</v>
      </c>
      <c r="BA49" t="str">
        <f>'Translate&amp;Prices&amp;Logo'!$O$554</f>
        <v>Podnośniki</v>
      </c>
      <c r="BM49" s="1" t="s">
        <v>188</v>
      </c>
      <c r="BN49" s="1" t="s">
        <v>249</v>
      </c>
      <c r="BX49" s="1">
        <v>2</v>
      </c>
      <c r="BY49" s="1" t="str">
        <f>'Translate&amp;Prices&amp;Logo'!$O$103</f>
        <v>Hartowane</v>
      </c>
      <c r="CA49"/>
      <c r="CB49"/>
      <c r="CK49" s="242" t="s">
        <v>2992</v>
      </c>
      <c r="CL49" t="s">
        <v>3074</v>
      </c>
    </row>
    <row r="50" spans="19:90" ht="16.350000000000001" customHeight="1">
      <c r="W50" s="748" t="str">
        <f>('Translate&amp;Prices&amp;Logo'!$O$545)&amp;" "&amp;"("&amp;'Translate&amp;Prices&amp;Logo'!$O$176&amp;")"</f>
        <v>Szprosy (Ilość sztuk)</v>
      </c>
      <c r="X50" s="748"/>
      <c r="Y50" s="748"/>
      <c r="Z50" s="748"/>
      <c r="AA50" s="748"/>
      <c r="AB50" s="481"/>
      <c r="AC50" s="747">
        <f>Ram_2!$H$11</f>
        <v>0</v>
      </c>
      <c r="AD50" s="747"/>
      <c r="AE50" s="747"/>
      <c r="AF50" s="747"/>
      <c r="AG50" s="747"/>
      <c r="AH50" s="747"/>
      <c r="AI50" s="747"/>
      <c r="AJ50" s="747">
        <f>Ram_2!$M$11</f>
        <v>0</v>
      </c>
      <c r="AK50" s="747"/>
      <c r="AL50" s="747"/>
      <c r="AM50" s="747"/>
      <c r="AN50" s="747"/>
      <c r="AO50" s="747"/>
      <c r="AR50" s="766"/>
      <c r="AU50">
        <v>2</v>
      </c>
      <c r="AV50" t="str">
        <f>'Translate&amp;Prices&amp;Logo'!$O$561</f>
        <v>Pionowo (termin dostawy 4 tygodnie)</v>
      </c>
      <c r="BM50" s="1" t="s">
        <v>1132</v>
      </c>
      <c r="BN50" s="1" t="s">
        <v>1132</v>
      </c>
      <c r="BX50" s="1">
        <v>3</v>
      </c>
      <c r="BY50" s="1" t="str">
        <f>'Translate&amp;Prices&amp;Logo'!$O$104</f>
        <v>Folia</v>
      </c>
      <c r="CA50"/>
      <c r="CB50"/>
      <c r="CK50" s="242" t="s">
        <v>2993</v>
      </c>
      <c r="CL50" t="s">
        <v>2973</v>
      </c>
    </row>
    <row r="51" spans="19:90" ht="16.350000000000001" customHeight="1">
      <c r="W51" s="748" t="str">
        <f>'Translate&amp;Prices&amp;Logo'!$O$260</f>
        <v>Typ okucia</v>
      </c>
      <c r="X51" s="748"/>
      <c r="Y51" s="748"/>
      <c r="Z51" s="748"/>
      <c r="AA51" s="748"/>
      <c r="AB51" s="481"/>
      <c r="AC51" s="747">
        <f>IFERROR(VLOOKUP(Ram_2!$AU$9,AZ48:BA49,2,0),0)</f>
        <v>0</v>
      </c>
      <c r="AD51" s="747"/>
      <c r="AE51" s="747"/>
      <c r="AF51" s="747"/>
      <c r="AG51" s="747"/>
      <c r="AH51" s="747"/>
      <c r="AI51" s="747"/>
      <c r="AJ51" s="747"/>
      <c r="AK51" s="747"/>
      <c r="AL51" s="747"/>
      <c r="AM51" s="747"/>
      <c r="AN51" s="747"/>
      <c r="AO51" s="747"/>
      <c r="AR51" s="766"/>
      <c r="AU51">
        <v>3</v>
      </c>
      <c r="AV51" t="str">
        <f>'Translate&amp;Prices&amp;Logo'!$O$562</f>
        <v>Poziomo i pionowo (termin dostawy 4 tygodnie)</v>
      </c>
      <c r="BM51" s="1" t="s">
        <v>1305</v>
      </c>
      <c r="BN51" s="1" t="s">
        <v>1305</v>
      </c>
      <c r="CA51"/>
      <c r="CB51"/>
      <c r="CK51" s="242" t="s">
        <v>2994</v>
      </c>
      <c r="CL51" t="s">
        <v>2974</v>
      </c>
    </row>
    <row r="52" spans="19:90" ht="16.350000000000001" customHeight="1">
      <c r="W52" s="748" t="str">
        <f>'Translate&amp;Prices&amp;Logo'!$O$546</f>
        <v>Marka okucia</v>
      </c>
      <c r="X52" s="748"/>
      <c r="Y52" s="748"/>
      <c r="Z52" s="748"/>
      <c r="AA52" s="748"/>
      <c r="AB52" s="481"/>
      <c r="AC52" s="747">
        <f>Ram_2!$H$13</f>
        <v>0</v>
      </c>
      <c r="AD52" s="747"/>
      <c r="AE52" s="747"/>
      <c r="AF52" s="747"/>
      <c r="AG52" s="747"/>
      <c r="AH52" s="747"/>
      <c r="AI52" s="747"/>
      <c r="AJ52" s="747"/>
      <c r="AK52" s="747"/>
      <c r="AL52" s="747"/>
      <c r="AM52" s="747"/>
      <c r="AN52" s="747"/>
      <c r="AO52" s="747"/>
      <c r="AR52" s="766"/>
      <c r="BM52" s="1" t="s">
        <v>248</v>
      </c>
      <c r="BN52" s="1" t="s">
        <v>248</v>
      </c>
      <c r="CA52"/>
      <c r="CB52"/>
      <c r="CK52" s="242" t="s">
        <v>2995</v>
      </c>
      <c r="CL52" t="s">
        <v>3213</v>
      </c>
    </row>
    <row r="53" spans="19:90" ht="16.350000000000001" customHeight="1" thickBot="1">
      <c r="W53" s="748" t="str">
        <f>'Translate&amp;Prices&amp;Logo'!$O$548</f>
        <v>Nałożenie</v>
      </c>
      <c r="X53" s="748"/>
      <c r="Y53" s="748"/>
      <c r="Z53" s="748"/>
      <c r="AA53" s="748"/>
      <c r="AB53" s="481"/>
      <c r="AC53" s="747">
        <f>IFERROR(VLOOKUP(Ram_2!$H$14,$BD$12:$BE$29,2,0),0)</f>
        <v>0</v>
      </c>
      <c r="AD53" s="747"/>
      <c r="AE53" s="747"/>
      <c r="AF53" s="747"/>
      <c r="AG53" s="747"/>
      <c r="AH53" s="747"/>
      <c r="AI53" s="747"/>
      <c r="AJ53" s="747"/>
      <c r="AK53" s="747"/>
      <c r="AL53" s="747"/>
      <c r="AM53" s="747"/>
      <c r="AN53" s="747"/>
      <c r="AO53" s="747"/>
      <c r="AR53" s="766"/>
      <c r="BM53" s="1" t="s">
        <v>249</v>
      </c>
      <c r="BN53" s="1" t="s">
        <v>249</v>
      </c>
      <c r="CA53"/>
      <c r="CB53"/>
      <c r="CK53" s="242" t="s">
        <v>2996</v>
      </c>
      <c r="CL53" t="s">
        <v>3212</v>
      </c>
    </row>
    <row r="54" spans="19:90" ht="16.350000000000001" customHeight="1">
      <c r="S54" s="761">
        <f>Ram_2!AR14</f>
        <v>0</v>
      </c>
      <c r="W54" s="748" t="str">
        <f>'Translate&amp;Prices&amp;Logo'!$O$547</f>
        <v>Wariant okucia</v>
      </c>
      <c r="X54" s="748"/>
      <c r="Y54" s="748"/>
      <c r="Z54" s="748"/>
      <c r="AA54" s="748"/>
      <c r="AB54" s="481"/>
      <c r="AC54" s="239">
        <f>IFERROR(VLOOKUP(Ram_2!$H$15,kombinace_1!$ED$2:$EE$758,2,0),Ram_2!$H$15)</f>
        <v>0</v>
      </c>
      <c r="AD54" s="239"/>
      <c r="AE54" s="239"/>
      <c r="AF54" s="239"/>
      <c r="AG54" s="239"/>
      <c r="AH54" s="239"/>
      <c r="AI54" s="239"/>
      <c r="AJ54" s="777" t="str">
        <f>IF(AC54='Translate&amp;Prices&amp;Logo'!C700,VLOOKUP(Ram_2!H17,'Translate&amp;Prices&amp;Logo'!C701:D748,2,0),"")</f>
        <v/>
      </c>
      <c r="AK54" s="777"/>
      <c r="AL54" s="777"/>
      <c r="AM54" s="777"/>
      <c r="AN54" s="777"/>
      <c r="AO54" s="777"/>
      <c r="AR54" s="766"/>
      <c r="BM54" s="1" t="s">
        <v>1133</v>
      </c>
      <c r="BN54" s="1" t="s">
        <v>1132</v>
      </c>
      <c r="CA54"/>
      <c r="CB54"/>
      <c r="CK54" s="242" t="s">
        <v>2997</v>
      </c>
      <c r="CL54" t="s">
        <v>2537</v>
      </c>
    </row>
    <row r="55" spans="19:90" ht="16.350000000000001" customHeight="1">
      <c r="S55" s="762">
        <f>Ram_1!AR51</f>
        <v>0</v>
      </c>
      <c r="W55" s="748" t="str">
        <f>'Translate&amp;Prices&amp;Logo'!$O$220</f>
        <v>Wybierz pozycję ramki</v>
      </c>
      <c r="X55" s="748"/>
      <c r="Y55" s="748"/>
      <c r="Z55" s="748"/>
      <c r="AA55" s="748"/>
      <c r="AB55" s="747">
        <f>IFERROR(VLOOKUP(Ram_2!$F$16,BI12:BJ23,2,0),0)</f>
        <v>0</v>
      </c>
      <c r="AC55" s="747"/>
      <c r="AD55" s="747"/>
      <c r="AE55" s="747"/>
      <c r="AF55" s="747"/>
      <c r="AG55" s="778" t="str">
        <f>'Translate&amp;Prices&amp;Logo'!$O$234</f>
        <v>Rodzaj drugiej ramki</v>
      </c>
      <c r="AH55" s="778"/>
      <c r="AI55" s="778"/>
      <c r="AJ55" s="747">
        <f>IFERROR(VLOOKUP(Ram_2!$N$16,BM12:BN41,2,0),0)</f>
        <v>0</v>
      </c>
      <c r="AK55" s="747"/>
      <c r="AL55" s="747"/>
      <c r="AM55" s="747"/>
      <c r="AN55" s="747"/>
      <c r="AO55" s="747"/>
      <c r="AR55" s="766"/>
      <c r="BM55" s="1" t="s">
        <v>1135</v>
      </c>
      <c r="BN55" s="1" t="s">
        <v>1305</v>
      </c>
      <c r="CA55"/>
      <c r="CB55"/>
      <c r="CK55" s="242" t="s">
        <v>2998</v>
      </c>
      <c r="CL55" t="s">
        <v>3215</v>
      </c>
    </row>
    <row r="56" spans="19:90" ht="16.350000000000001" customHeight="1">
      <c r="S56" s="762">
        <f>Ram_1!AR52</f>
        <v>0</v>
      </c>
      <c r="W56" s="748" t="str">
        <f>IF(AC51='Translate&amp;Prices&amp;Logo'!O553,'Translate&amp;Prices&amp;Logo'!O240,'Translate&amp;Prices&amp;Logo'!$O$228)</f>
        <v>Umieszczenie</v>
      </c>
      <c r="X56" s="748"/>
      <c r="Y56" s="748"/>
      <c r="Z56" s="748"/>
      <c r="AA56" s="748"/>
      <c r="AB56" s="481"/>
      <c r="AC56" s="239" t="str">
        <f>IFERROR((IF(Ram_2!H12='Translate&amp;Prices&amp;Logo'!B554,VLOOKUP(Ram_2!$N$16,BM42:BN71,2,0),VLOOKUP(Ram_2!$H$17,BM42:BN65,2,0))),"")</f>
        <v/>
      </c>
      <c r="AD56" s="239"/>
      <c r="AE56" s="239"/>
      <c r="AF56" s="239"/>
      <c r="AG56" s="239"/>
      <c r="AH56" s="239"/>
      <c r="AI56" s="239"/>
      <c r="AJ56" s="239"/>
      <c r="AK56" s="239"/>
      <c r="AL56" s="239"/>
      <c r="AM56" s="239"/>
      <c r="AN56" s="239"/>
      <c r="AO56" s="239"/>
      <c r="AR56" s="766"/>
      <c r="BM56" s="1" t="s">
        <v>310</v>
      </c>
      <c r="BN56" s="1" t="s">
        <v>248</v>
      </c>
      <c r="CA56"/>
      <c r="CB56"/>
      <c r="CK56" s="242" t="s">
        <v>2999</v>
      </c>
      <c r="CL56" t="s">
        <v>2540</v>
      </c>
    </row>
    <row r="57" spans="19:90" ht="16.350000000000001" customHeight="1">
      <c r="S57" s="762">
        <f>Ram_1!AR53</f>
        <v>0</v>
      </c>
      <c r="W57" s="753" t="str">
        <f>IF(Ram_2!AU9=3,'Translate&amp;Prices&amp;Logo'!$O$549,"")</f>
        <v/>
      </c>
      <c r="X57" s="753"/>
      <c r="Y57" s="753"/>
      <c r="Z57" s="753"/>
      <c r="AA57" s="753"/>
      <c r="AB57" s="481"/>
      <c r="AC57" s="747">
        <f>IFERROR((VLOOKUP(Ram_2!$H$18,$CK$2:$CL$90,2,0)),Ram_2!$H$18)</f>
        <v>0</v>
      </c>
      <c r="AD57" s="747"/>
      <c r="AE57" s="747"/>
      <c r="AF57" s="747"/>
      <c r="AG57" s="747"/>
      <c r="AH57" s="747"/>
      <c r="AI57" s="747"/>
      <c r="AJ57" s="747"/>
      <c r="AK57" s="747"/>
      <c r="AL57" s="747"/>
      <c r="AM57" s="747"/>
      <c r="AN57" s="747"/>
      <c r="AO57" s="747"/>
      <c r="AR57" s="766"/>
      <c r="BM57" s="1" t="s">
        <v>311</v>
      </c>
      <c r="BN57" s="1" t="s">
        <v>249</v>
      </c>
      <c r="CA57"/>
      <c r="CB57"/>
      <c r="CK57" s="242" t="s">
        <v>3000</v>
      </c>
      <c r="CL57" t="s">
        <v>3075</v>
      </c>
    </row>
    <row r="58" spans="19:90" ht="16.350000000000001" customHeight="1">
      <c r="S58" s="762">
        <f>Ram_1!AR54</f>
        <v>0</v>
      </c>
      <c r="W58" s="748" t="str">
        <f>'Translate&amp;Prices&amp;Logo'!$O$225</f>
        <v>Ilość zawiasów na 1 ramkę</v>
      </c>
      <c r="X58" s="748"/>
      <c r="Y58" s="748"/>
      <c r="Z58" s="748"/>
      <c r="AA58" s="748"/>
      <c r="AB58" s="481"/>
      <c r="AC58" s="747">
        <f>Ram_2!$H$19</f>
        <v>0</v>
      </c>
      <c r="AD58" s="747"/>
      <c r="AE58" s="747"/>
      <c r="AF58" s="747"/>
      <c r="AG58" s="747"/>
      <c r="AH58" s="747"/>
      <c r="AI58" s="747"/>
      <c r="AJ58" s="747"/>
      <c r="AK58" s="747"/>
      <c r="AL58" s="747"/>
      <c r="AM58" s="747"/>
      <c r="AN58" s="747"/>
      <c r="AO58" s="747"/>
      <c r="AR58" s="766"/>
      <c r="BM58" s="1" t="s">
        <v>1355</v>
      </c>
      <c r="BN58" s="1" t="s">
        <v>1132</v>
      </c>
      <c r="CA58"/>
      <c r="CB58"/>
      <c r="CK58" s="242" t="s">
        <v>3001</v>
      </c>
      <c r="CL58" t="s">
        <v>2976</v>
      </c>
    </row>
    <row r="59" spans="19:90" ht="16.350000000000001" customHeight="1">
      <c r="S59" s="763" t="str">
        <f>'Translate&amp;Prices&amp;Logo'!$O$178</f>
        <v>Wysokość</v>
      </c>
      <c r="W59" s="748" t="str">
        <f>IFERROR(VLOOKUP(Ram_2!H17,kombinace_2!BY32:CD35,5,0),"")</f>
        <v/>
      </c>
      <c r="X59" s="748"/>
      <c r="Y59" s="748"/>
      <c r="Z59" s="748"/>
      <c r="AA59" s="748"/>
      <c r="AB59" s="239"/>
      <c r="AC59" s="747">
        <f>Ram_2!$F$20</f>
        <v>100</v>
      </c>
      <c r="AD59" s="747"/>
      <c r="AE59" s="747"/>
      <c r="AF59" s="747"/>
      <c r="AG59" s="748" t="str">
        <f>IFERROR(VLOOKUP(Ram_2!H17,kombinace_2!$BY$32:$CD$35,6,0),"")</f>
        <v/>
      </c>
      <c r="AH59" s="748"/>
      <c r="AI59" s="748"/>
      <c r="AJ59" s="748"/>
      <c r="AK59" s="748"/>
      <c r="AL59" s="747">
        <f>Ram_2!$N$20</f>
        <v>100</v>
      </c>
      <c r="AM59" s="747"/>
      <c r="AN59" s="747"/>
      <c r="AO59" s="747"/>
      <c r="AR59" s="766"/>
      <c r="BM59" s="1" t="s">
        <v>916</v>
      </c>
      <c r="BN59" s="1" t="s">
        <v>1305</v>
      </c>
      <c r="CA59"/>
      <c r="CB59"/>
      <c r="CK59" s="242" t="s">
        <v>3002</v>
      </c>
      <c r="CL59" t="s">
        <v>3076</v>
      </c>
    </row>
    <row r="60" spans="19:90" ht="16.350000000000001" customHeight="1">
      <c r="S60" s="763">
        <f>Ram_1!AR56</f>
        <v>0</v>
      </c>
      <c r="W60" s="243" t="str">
        <f>'Translate&amp;Prices&amp;Logo'!$O$655</f>
        <v>Wypełnienie z siatki</v>
      </c>
      <c r="X60" s="126"/>
      <c r="Y60" s="126"/>
      <c r="Z60" s="126"/>
      <c r="AA60" s="126"/>
      <c r="AB60" s="481"/>
      <c r="AC60" s="746" t="str">
        <f>IF(kombinace_2!FC2=TRUE,"Tak","Nie")</f>
        <v>Nie</v>
      </c>
      <c r="AD60" s="746"/>
      <c r="AE60" s="746"/>
      <c r="AF60" s="746"/>
      <c r="AG60" s="746"/>
      <c r="AH60" s="746"/>
      <c r="AI60" s="746"/>
      <c r="AJ60" s="746"/>
      <c r="AK60" s="746"/>
      <c r="AL60" s="746"/>
      <c r="AM60" s="746"/>
      <c r="AN60" s="746"/>
      <c r="AO60" s="746"/>
      <c r="AR60" s="766"/>
      <c r="BM60" s="1" t="s">
        <v>907</v>
      </c>
      <c r="BN60" s="1" t="s">
        <v>248</v>
      </c>
      <c r="CA60"/>
      <c r="CB60"/>
      <c r="CK60" s="242" t="s">
        <v>3003</v>
      </c>
      <c r="CL60" t="s">
        <v>3077</v>
      </c>
    </row>
    <row r="61" spans="19:90" ht="16.350000000000001" customHeight="1">
      <c r="S61" s="763">
        <f>Ram_1!AR57</f>
        <v>0</v>
      </c>
      <c r="W61" s="748" t="str">
        <f>'Translate&amp;Prices&amp;Logo'!$O$175</f>
        <v>Rodzaj szkła</v>
      </c>
      <c r="X61" s="748"/>
      <c r="Y61" s="748"/>
      <c r="Z61" s="748"/>
      <c r="AA61" s="748"/>
      <c r="AB61" s="481"/>
      <c r="AC61" s="747" t="str">
        <f>IFERROR(VLOOKUP(kombinace_2!$V$1,BX48:BY50,2,0),0)</f>
        <v>Bez modyfikacji</v>
      </c>
      <c r="AD61" s="747"/>
      <c r="AE61" s="747"/>
      <c r="AF61" s="747"/>
      <c r="AG61" s="747"/>
      <c r="AH61" s="747"/>
      <c r="AI61" s="747"/>
      <c r="AJ61" s="747"/>
      <c r="AK61" s="747"/>
      <c r="AL61" s="747"/>
      <c r="AM61" s="747"/>
      <c r="AN61" s="747"/>
      <c r="AO61" s="747"/>
      <c r="AR61" s="766"/>
      <c r="BM61" s="1" t="s">
        <v>908</v>
      </c>
      <c r="BN61" s="1" t="s">
        <v>249</v>
      </c>
      <c r="CA61"/>
      <c r="CB61"/>
      <c r="CK61" s="242" t="s">
        <v>3004</v>
      </c>
      <c r="CL61" t="s">
        <v>2977</v>
      </c>
    </row>
    <row r="62" spans="19:90" ht="16.350000000000001" customHeight="1">
      <c r="S62" s="763">
        <f>Ram_1!AR58</f>
        <v>0</v>
      </c>
      <c r="W62" s="748" t="str">
        <f>'Translate&amp;Prices&amp;Logo'!$O$564</f>
        <v>Rodzaj folii</v>
      </c>
      <c r="X62" s="748"/>
      <c r="Y62" s="748"/>
      <c r="Z62" s="748"/>
      <c r="AA62" s="748"/>
      <c r="AB62" s="481"/>
      <c r="AC62" s="747">
        <f>IFERROR(VLOOKUP(Ram_2!$H$24,CA12:CB29,2,0),0)</f>
        <v>0</v>
      </c>
      <c r="AD62" s="747"/>
      <c r="AE62" s="747"/>
      <c r="AF62" s="747"/>
      <c r="AG62" s="747"/>
      <c r="AH62" s="747"/>
      <c r="AI62" s="747"/>
      <c r="AJ62" s="747"/>
      <c r="AK62" s="747"/>
      <c r="AL62" s="747"/>
      <c r="AM62" s="747"/>
      <c r="AN62" s="747"/>
      <c r="AO62" s="747"/>
      <c r="AR62" s="766"/>
      <c r="BM62" s="318" t="s">
        <v>3808</v>
      </c>
      <c r="BN62" s="1" t="s">
        <v>1132</v>
      </c>
      <c r="CA62"/>
      <c r="CB62"/>
      <c r="CK62" s="242" t="s">
        <v>3005</v>
      </c>
      <c r="CL62" t="s">
        <v>2978</v>
      </c>
    </row>
    <row r="63" spans="19:90" ht="16.350000000000001" customHeight="1" thickBot="1">
      <c r="S63" s="764">
        <f>Ram_1!AR59</f>
        <v>0</v>
      </c>
      <c r="W63" s="748" t="str">
        <f>'Translate&amp;Prices&amp;Logo'!$O$175</f>
        <v>Rodzaj szkła</v>
      </c>
      <c r="X63" s="748"/>
      <c r="Y63" s="748"/>
      <c r="Z63" s="748"/>
      <c r="AA63" s="748"/>
      <c r="AB63" s="481"/>
      <c r="AC63" s="747">
        <f>IFERROR(VLOOKUP(Ram_2!$H$25,'Translate&amp;Prices&amp;Logo'!$AH$1:$AI$167,2,0),Ram_2!$H$25)</f>
        <v>0</v>
      </c>
      <c r="AD63" s="747"/>
      <c r="AE63" s="747"/>
      <c r="AF63" s="747"/>
      <c r="AG63" s="747"/>
      <c r="AH63" s="747"/>
      <c r="AI63" s="747"/>
      <c r="AJ63" s="747"/>
      <c r="AK63" s="747"/>
      <c r="AL63" s="747"/>
      <c r="AM63" s="747"/>
      <c r="AN63" s="747"/>
      <c r="AO63" s="747"/>
      <c r="AR63" s="766"/>
      <c r="BM63" s="318" t="s">
        <v>3809</v>
      </c>
      <c r="BN63" s="1" t="s">
        <v>1305</v>
      </c>
      <c r="CK63" s="31" t="s">
        <v>4276</v>
      </c>
      <c r="CL63" t="s">
        <v>4274</v>
      </c>
    </row>
    <row r="64" spans="19:90" ht="16.350000000000001" customHeight="1">
      <c r="W64" s="748" t="str">
        <f>'Translate&amp;Prices&amp;Logo'!$O$551</f>
        <v>Rozstaw uchwytu (mm)</v>
      </c>
      <c r="X64" s="748"/>
      <c r="Y64" s="748"/>
      <c r="Z64" s="748"/>
      <c r="AA64" s="748"/>
      <c r="AB64" s="481"/>
      <c r="AC64" s="747">
        <f>Ram_2!$H$26</f>
        <v>0</v>
      </c>
      <c r="AD64" s="747"/>
      <c r="AE64" s="747"/>
      <c r="AF64" s="747"/>
      <c r="AG64" s="747"/>
      <c r="AH64" s="747"/>
      <c r="AI64" s="747"/>
      <c r="AJ64" s="747"/>
      <c r="AK64" s="747"/>
      <c r="AL64" s="747"/>
      <c r="AM64" s="747"/>
      <c r="AN64" s="747"/>
      <c r="AO64" s="747"/>
      <c r="AR64" s="766"/>
      <c r="BM64" s="318" t="s">
        <v>3810</v>
      </c>
      <c r="BN64" s="1" t="s">
        <v>248</v>
      </c>
      <c r="CK64" s="1" t="s">
        <v>2536</v>
      </c>
      <c r="CL64" t="s">
        <v>3213</v>
      </c>
    </row>
    <row r="65" spans="1:94" ht="16.350000000000001" customHeight="1">
      <c r="W65" s="748" t="str">
        <f>'Translate&amp;Prices&amp;Logo'!$O$552</f>
        <v>Umieszczenie uchwytu</v>
      </c>
      <c r="X65" s="748"/>
      <c r="Y65" s="748"/>
      <c r="Z65" s="748"/>
      <c r="AA65" s="748"/>
      <c r="AB65" s="481"/>
      <c r="AC65" s="747">
        <f>IFERROR(VLOOKUP(Ram_2!$H$27,BM42:BN65,2,0),0)</f>
        <v>0</v>
      </c>
      <c r="AD65" s="747"/>
      <c r="AE65" s="747"/>
      <c r="AF65" s="747"/>
      <c r="AG65" s="747"/>
      <c r="AH65" s="747"/>
      <c r="AI65" s="747"/>
      <c r="AJ65" s="747"/>
      <c r="AK65" s="747"/>
      <c r="AL65" s="747"/>
      <c r="AM65" s="747"/>
      <c r="AN65" s="747"/>
      <c r="AO65" s="747"/>
      <c r="AR65" s="766"/>
      <c r="BM65" s="318" t="s">
        <v>3811</v>
      </c>
      <c r="BN65" s="1" t="s">
        <v>249</v>
      </c>
      <c r="CK65" t="s">
        <v>2539</v>
      </c>
      <c r="CL65" t="s">
        <v>3212</v>
      </c>
    </row>
    <row r="66" spans="1:94" ht="16.350000000000001" customHeight="1">
      <c r="W66" s="748" t="str">
        <f>('Translate&amp;Prices&amp;Logo'!$O$176)&amp;" "&amp;"-"&amp;" "&amp;('Translate&amp;Prices&amp;Logo'!$O$171)&amp;" "&amp;" "&amp;2</f>
        <v>Ilość sztuk - Ramka  2</v>
      </c>
      <c r="X66" s="748"/>
      <c r="Y66" s="748"/>
      <c r="Z66" s="748"/>
      <c r="AA66" s="748"/>
      <c r="AB66" s="481"/>
      <c r="AC66" s="747">
        <f>Ram_2!$H$28</f>
        <v>0</v>
      </c>
      <c r="AD66" s="747"/>
      <c r="AE66" s="747"/>
      <c r="AF66" s="747"/>
      <c r="AG66" s="747"/>
      <c r="AH66" s="747"/>
      <c r="AI66" s="747"/>
      <c r="AJ66" s="747"/>
      <c r="AK66" s="747"/>
      <c r="AL66" s="747"/>
      <c r="AM66" s="747"/>
      <c r="AN66" s="747"/>
      <c r="AO66" s="747"/>
      <c r="AR66" s="766"/>
      <c r="BM66" s="175" t="s">
        <v>103</v>
      </c>
      <c r="BN66" s="133" t="s">
        <v>250</v>
      </c>
      <c r="CK66" t="s">
        <v>4256</v>
      </c>
      <c r="CL66" t="s">
        <v>4274</v>
      </c>
    </row>
    <row r="67" spans="1:94" ht="16.350000000000001" customHeight="1">
      <c r="AE67" s="1"/>
      <c r="AF67" s="1"/>
      <c r="AR67" s="766"/>
      <c r="BM67" s="133" t="s">
        <v>189</v>
      </c>
      <c r="BN67" s="133" t="s">
        <v>250</v>
      </c>
      <c r="CK67" t="s">
        <v>4257</v>
      </c>
      <c r="CL67" t="s">
        <v>4275</v>
      </c>
    </row>
    <row r="68" spans="1:94" ht="14.85" customHeight="1">
      <c r="AR68" s="766"/>
      <c r="BM68" s="133" t="s">
        <v>312</v>
      </c>
      <c r="BN68" s="133" t="s">
        <v>250</v>
      </c>
      <c r="BS68" s="133" t="s">
        <v>2297</v>
      </c>
      <c r="BT68" s="133" t="s">
        <v>2301</v>
      </c>
      <c r="CK68" t="s">
        <v>4258</v>
      </c>
      <c r="CL68" t="s">
        <v>4278</v>
      </c>
    </row>
    <row r="69" spans="1:94" ht="14.85" customHeight="1">
      <c r="W69" s="754" t="s">
        <v>1604</v>
      </c>
      <c r="X69" s="754"/>
      <c r="Y69" s="754"/>
      <c r="Z69" s="754"/>
      <c r="AE69" s="754" t="s">
        <v>1605</v>
      </c>
      <c r="AF69" s="754"/>
      <c r="AG69" s="754"/>
      <c r="AH69" s="754"/>
      <c r="AR69" s="766"/>
      <c r="BM69" s="133" t="s">
        <v>909</v>
      </c>
      <c r="BN69" s="133" t="s">
        <v>250</v>
      </c>
      <c r="BS69" s="133" t="s">
        <v>2298</v>
      </c>
      <c r="BT69" s="133" t="s">
        <v>2302</v>
      </c>
      <c r="CK69" t="s">
        <v>4259</v>
      </c>
      <c r="CL69" t="s">
        <v>4279</v>
      </c>
    </row>
    <row r="70" spans="1:94" ht="14.85" customHeight="1">
      <c r="AE70" s="768"/>
      <c r="AF70" s="769"/>
      <c r="AG70" s="769"/>
      <c r="AH70" s="769"/>
      <c r="AI70" s="769"/>
      <c r="AJ70" s="769"/>
      <c r="AK70" s="769"/>
      <c r="AL70" s="769"/>
      <c r="AM70" s="769"/>
      <c r="AN70" s="770"/>
      <c r="AR70" s="766"/>
      <c r="BM70" s="1" t="s">
        <v>3812</v>
      </c>
      <c r="BN70" s="133" t="s">
        <v>250</v>
      </c>
      <c r="BS70" s="133" t="s">
        <v>2299</v>
      </c>
      <c r="BT70" s="133" t="s">
        <v>2303</v>
      </c>
      <c r="CK70" t="s">
        <v>4260</v>
      </c>
      <c r="CL70" t="s">
        <v>4280</v>
      </c>
    </row>
    <row r="71" spans="1:94" ht="14.85" customHeight="1">
      <c r="AE71" s="771"/>
      <c r="AF71" s="772"/>
      <c r="AG71" s="772"/>
      <c r="AH71" s="772"/>
      <c r="AI71" s="772"/>
      <c r="AJ71" s="772"/>
      <c r="AK71" s="772"/>
      <c r="AL71" s="772"/>
      <c r="AM71" s="772"/>
      <c r="AN71" s="773"/>
      <c r="AR71" s="766"/>
      <c r="BM71" s="1" t="s">
        <v>250</v>
      </c>
      <c r="BN71" s="1" t="s">
        <v>250</v>
      </c>
      <c r="BS71" s="133" t="s">
        <v>2300</v>
      </c>
      <c r="BT71" s="133" t="s">
        <v>2304</v>
      </c>
      <c r="CK71" t="s">
        <v>4261</v>
      </c>
      <c r="CL71" t="s">
        <v>4281</v>
      </c>
    </row>
    <row r="72" spans="1:94" ht="14.85" customHeight="1">
      <c r="AE72" s="771"/>
      <c r="AF72" s="772"/>
      <c r="AG72" s="772"/>
      <c r="AH72" s="772"/>
      <c r="AI72" s="772"/>
      <c r="AJ72" s="772"/>
      <c r="AK72" s="772"/>
      <c r="AL72" s="772"/>
      <c r="AM72" s="772"/>
      <c r="AN72" s="773"/>
      <c r="AR72" s="766"/>
      <c r="BS72" s="175" t="s">
        <v>103</v>
      </c>
      <c r="BT72" s="133" t="s">
        <v>250</v>
      </c>
      <c r="CK72" t="s">
        <v>4262</v>
      </c>
      <c r="CL72" t="s">
        <v>4282</v>
      </c>
    </row>
    <row r="73" spans="1:94" ht="14.85" customHeight="1">
      <c r="D73" s="780">
        <f>IF(OR(Ram_2!$AC$25="x",Ram_2!$AJ$26="x",Ram_2!$AC$9="x",Ram_2!$AJ$7="x",Ram_2!$AB$16="x",Ram_2!$AM$23="x",Ram_2!$AN$19="x",Ram_2!$AD$21="x"),'Translate&amp;Prices&amp;Logo'!$B$590,0)</f>
        <v>0</v>
      </c>
      <c r="E73" s="780"/>
      <c r="F73" s="780"/>
      <c r="G73" s="780"/>
      <c r="H73" s="780"/>
      <c r="I73" s="780"/>
      <c r="J73" s="780"/>
      <c r="K73" s="780"/>
      <c r="L73" s="780"/>
      <c r="M73" s="780"/>
      <c r="N73" s="780"/>
      <c r="O73" s="780"/>
      <c r="P73" s="780"/>
      <c r="AE73" s="771"/>
      <c r="AF73" s="772"/>
      <c r="AG73" s="772"/>
      <c r="AH73" s="772"/>
      <c r="AI73" s="772"/>
      <c r="AJ73" s="772"/>
      <c r="AK73" s="772"/>
      <c r="AL73" s="772"/>
      <c r="AM73" s="772"/>
      <c r="AN73" s="773"/>
      <c r="AR73" s="766"/>
      <c r="BS73" s="133" t="s">
        <v>189</v>
      </c>
      <c r="BT73" s="133" t="s">
        <v>250</v>
      </c>
      <c r="CK73" t="s">
        <v>4095</v>
      </c>
      <c r="CL73" t="s">
        <v>2535</v>
      </c>
      <c r="CP73"/>
    </row>
    <row r="74" spans="1:94" ht="14.85" customHeight="1">
      <c r="AE74" s="771"/>
      <c r="AF74" s="772"/>
      <c r="AG74" s="772"/>
      <c r="AH74" s="772"/>
      <c r="AI74" s="772"/>
      <c r="AJ74" s="772"/>
      <c r="AK74" s="772"/>
      <c r="AL74" s="772"/>
      <c r="AM74" s="772"/>
      <c r="AN74" s="773"/>
      <c r="AR74" s="766"/>
      <c r="BS74" s="133" t="s">
        <v>312</v>
      </c>
      <c r="BT74" s="133" t="s">
        <v>250</v>
      </c>
      <c r="CK74" t="s">
        <v>4263</v>
      </c>
      <c r="CL74" t="s">
        <v>2973</v>
      </c>
    </row>
    <row r="75" spans="1:94" ht="14.85" customHeight="1" thickBot="1">
      <c r="AE75" s="771"/>
      <c r="AF75" s="772"/>
      <c r="AG75" s="772"/>
      <c r="AH75" s="772"/>
      <c r="AI75" s="772"/>
      <c r="AJ75" s="772"/>
      <c r="AK75" s="772"/>
      <c r="AL75" s="772"/>
      <c r="AM75" s="772"/>
      <c r="AN75" s="773"/>
      <c r="AR75" s="766"/>
      <c r="BS75" s="133" t="s">
        <v>909</v>
      </c>
      <c r="BT75" s="133" t="s">
        <v>250</v>
      </c>
      <c r="CK75" t="s">
        <v>4098</v>
      </c>
      <c r="CL75" t="s">
        <v>2536</v>
      </c>
    </row>
    <row r="76" spans="1:94" ht="14.85" customHeight="1" thickBot="1">
      <c r="G76" s="757" t="str">
        <f>'Translate&amp;Prices&amp;Logo'!$O$177</f>
        <v>Szerokość</v>
      </c>
      <c r="H76" s="758">
        <f>Ram_1!AG66</f>
        <v>0</v>
      </c>
      <c r="I76" s="758">
        <f>Ram_1!AH66</f>
        <v>0</v>
      </c>
      <c r="J76" s="759">
        <f>Ram_2!AI30</f>
        <v>0</v>
      </c>
      <c r="K76" s="759">
        <f>Ram_1!AJ66</f>
        <v>0</v>
      </c>
      <c r="L76" s="760">
        <f>Ram_1!AK66</f>
        <v>0</v>
      </c>
      <c r="AE76" s="771"/>
      <c r="AF76" s="772"/>
      <c r="AG76" s="772"/>
      <c r="AH76" s="772"/>
      <c r="AI76" s="772"/>
      <c r="AJ76" s="772"/>
      <c r="AK76" s="772"/>
      <c r="AL76" s="772"/>
      <c r="AM76" s="772"/>
      <c r="AN76" s="773"/>
      <c r="AR76" s="766"/>
      <c r="CK76" t="s">
        <v>4100</v>
      </c>
      <c r="CL76" t="s">
        <v>2537</v>
      </c>
    </row>
    <row r="77" spans="1:94" ht="21" customHeight="1">
      <c r="AE77" s="774"/>
      <c r="AF77" s="775"/>
      <c r="AG77" s="775"/>
      <c r="AH77" s="775"/>
      <c r="AI77" s="775"/>
      <c r="AJ77" s="775"/>
      <c r="AK77" s="775"/>
      <c r="AL77" s="775"/>
      <c r="AM77" s="775"/>
      <c r="AN77" s="776"/>
      <c r="AR77" s="766"/>
      <c r="CK77" t="s">
        <v>4264</v>
      </c>
      <c r="CL77" t="s">
        <v>2976</v>
      </c>
    </row>
    <row r="78" spans="1:94" ht="14.85" customHeight="1">
      <c r="AR78" s="766"/>
      <c r="CK78" t="s">
        <v>4265</v>
      </c>
      <c r="CL78" t="s">
        <v>2977</v>
      </c>
    </row>
    <row r="79" spans="1:94" ht="14.85" customHeight="1">
      <c r="AR79" s="766"/>
      <c r="CK79" t="s">
        <v>4099</v>
      </c>
      <c r="CL79" t="s">
        <v>2538</v>
      </c>
    </row>
    <row r="80" spans="1:94" ht="14.85" customHeight="1" thickBo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24"/>
      <c r="AF80" s="125"/>
      <c r="AG80" s="18"/>
      <c r="AH80" s="18"/>
      <c r="AI80" s="18"/>
      <c r="AJ80" s="18"/>
      <c r="AK80" s="18"/>
      <c r="AL80" s="18"/>
      <c r="AM80" s="18"/>
      <c r="AN80" s="18"/>
      <c r="AO80" s="18"/>
      <c r="AP80" s="18"/>
      <c r="AQ80" s="18"/>
      <c r="AR80" s="18"/>
      <c r="CK80" t="s">
        <v>4266</v>
      </c>
      <c r="CL80" t="s">
        <v>2974</v>
      </c>
    </row>
    <row r="81" spans="10:90" ht="35.1" customHeight="1" thickBot="1">
      <c r="J81" s="121"/>
      <c r="K81" s="121"/>
      <c r="L81" s="121"/>
      <c r="M81" s="121"/>
      <c r="N81" s="121"/>
      <c r="O81" s="121"/>
      <c r="P81" s="121"/>
      <c r="Q81" s="121"/>
      <c r="R81" s="121"/>
      <c r="S81" s="121"/>
      <c r="T81" s="121"/>
      <c r="U81" s="121"/>
      <c r="V81" s="121"/>
      <c r="W81" s="752" t="str">
        <f>'Translate&amp;Prices&amp;Logo'!$O$258</f>
        <v>Numer zamówienia</v>
      </c>
      <c r="X81" s="752"/>
      <c r="Y81" s="752"/>
      <c r="Z81" s="752"/>
      <c r="AA81" s="752"/>
      <c r="AB81" s="56"/>
      <c r="AC81" s="749">
        <f>Ram_3!AS5</f>
        <v>0</v>
      </c>
      <c r="AD81" s="750"/>
      <c r="AE81" s="750"/>
      <c r="AF81" s="750"/>
      <c r="AG81" s="750"/>
      <c r="AH81" s="750"/>
      <c r="AI81" s="750"/>
      <c r="AJ81" s="750"/>
      <c r="AK81" s="750"/>
      <c r="AL81" s="750"/>
      <c r="AM81" s="750"/>
      <c r="AN81" s="750"/>
      <c r="AO81" s="751"/>
      <c r="AR81" s="766" t="s">
        <v>1608</v>
      </c>
      <c r="CK81" t="s">
        <v>4101</v>
      </c>
      <c r="CL81" t="s">
        <v>2539</v>
      </c>
    </row>
    <row r="82" spans="10:90" ht="16.350000000000001" customHeight="1">
      <c r="W82" s="748" t="str">
        <f>'Translate&amp;Prices&amp;Logo'!$O$544</f>
        <v>Połączenie 2 profili</v>
      </c>
      <c r="X82" s="748"/>
      <c r="Y82" s="748"/>
      <c r="Z82" s="748"/>
      <c r="AA82" s="748"/>
      <c r="AB82" s="481"/>
      <c r="AC82" s="765" t="str">
        <f>IF(kombinace_3!$H$1=TRUE,"Tak","Nie")</f>
        <v>Nie</v>
      </c>
      <c r="AD82" s="765"/>
      <c r="AE82" s="765"/>
      <c r="AF82" s="765"/>
      <c r="AG82" s="765"/>
      <c r="AH82" s="765"/>
      <c r="AI82" s="765"/>
      <c r="AJ82" s="765"/>
      <c r="AK82" s="765"/>
      <c r="AL82" s="765"/>
      <c r="AM82" s="765"/>
      <c r="AN82" s="765"/>
      <c r="AO82" s="765"/>
      <c r="AR82" s="766"/>
      <c r="CK82" t="s">
        <v>4267</v>
      </c>
      <c r="CL82" t="s">
        <v>2975</v>
      </c>
    </row>
    <row r="83" spans="10:90" ht="16.350000000000001" customHeight="1">
      <c r="W83" s="748" t="str">
        <f>'Translate&amp;Prices&amp;Logo'!$O$174</f>
        <v>Rodzaj profilu</v>
      </c>
      <c r="X83" s="748"/>
      <c r="Y83" s="748"/>
      <c r="Z83" s="748"/>
      <c r="AA83" s="748"/>
      <c r="AB83" s="481"/>
      <c r="AC83" s="747">
        <f>IFERROR(VLOOKUP(Ram_3!$H$8,'Translate&amp;Prices&amp;Logo'!$AA$1:$AB$456,2,0),Ram_3!$H$8)</f>
        <v>0</v>
      </c>
      <c r="AD83" s="747"/>
      <c r="AE83" s="747"/>
      <c r="AF83" s="747"/>
      <c r="AG83" s="747"/>
      <c r="AH83" s="747"/>
      <c r="AI83" s="747"/>
      <c r="AJ83" s="747"/>
      <c r="AK83" s="747"/>
      <c r="AL83" s="747"/>
      <c r="AM83" s="747"/>
      <c r="AN83" s="747"/>
      <c r="AO83" s="747"/>
      <c r="AR83" s="766"/>
      <c r="CK83" t="s">
        <v>4103</v>
      </c>
      <c r="CL83" t="s">
        <v>2540</v>
      </c>
    </row>
    <row r="84" spans="10:90" ht="16.350000000000001" customHeight="1">
      <c r="W84" s="748" t="str">
        <f>'Translate&amp;Prices&amp;Logo'!$O$545</f>
        <v>Szprosy</v>
      </c>
      <c r="X84" s="748"/>
      <c r="Y84" s="748"/>
      <c r="Z84" s="748"/>
      <c r="AA84" s="748"/>
      <c r="AB84" s="481"/>
      <c r="AC84" s="747" t="str">
        <f>IFERROR(VLOOKUP(Ram_3!$AU$10,AU84:AV87,2,0),0)</f>
        <v>Nie</v>
      </c>
      <c r="AD84" s="747"/>
      <c r="AE84" s="747"/>
      <c r="AF84" s="747"/>
      <c r="AG84" s="747"/>
      <c r="AH84" s="747"/>
      <c r="AI84" s="747"/>
      <c r="AJ84" s="747"/>
      <c r="AK84" s="747"/>
      <c r="AL84" s="747"/>
      <c r="AM84" s="747"/>
      <c r="AN84" s="747"/>
      <c r="AO84" s="747"/>
      <c r="AR84" s="766"/>
      <c r="AU84">
        <v>0</v>
      </c>
      <c r="AV84" t="str">
        <f>'Translate&amp;Prices&amp;Logo'!$O$559</f>
        <v>Nie</v>
      </c>
      <c r="AZ84">
        <v>2</v>
      </c>
      <c r="BA84" t="str">
        <f>'Translate&amp;Prices&amp;Logo'!$O$553</f>
        <v>Zawiasy</v>
      </c>
      <c r="BX84" s="1">
        <v>1</v>
      </c>
      <c r="BY84" s="1" t="str">
        <f>'Translate&amp;Prices&amp;Logo'!$O$102</f>
        <v>Bez modyfikacji</v>
      </c>
      <c r="CA84"/>
      <c r="CB84"/>
      <c r="CK84" t="s">
        <v>4268</v>
      </c>
      <c r="CL84" t="s">
        <v>2978</v>
      </c>
    </row>
    <row r="85" spans="10:90" ht="16.350000000000001" customHeight="1">
      <c r="W85" s="126"/>
      <c r="X85" s="126"/>
      <c r="Y85" s="126"/>
      <c r="Z85" s="126"/>
      <c r="AA85" s="126"/>
      <c r="AB85" s="481"/>
      <c r="AC85" s="767" t="str">
        <f>'Translate&amp;Prices&amp;Logo'!$O$560</f>
        <v>Poziomo (termin dostawy 4 tygodnie)</v>
      </c>
      <c r="AD85" s="767"/>
      <c r="AE85" s="767"/>
      <c r="AF85" s="767"/>
      <c r="AG85" s="767"/>
      <c r="AH85" s="767"/>
      <c r="AI85" s="767"/>
      <c r="AJ85" s="767" t="str">
        <f>'Translate&amp;Prices&amp;Logo'!$O$561</f>
        <v>Pionowo (termin dostawy 4 tygodnie)</v>
      </c>
      <c r="AK85" s="767"/>
      <c r="AL85" s="767"/>
      <c r="AM85" s="767"/>
      <c r="AN85" s="767"/>
      <c r="AO85" s="767"/>
      <c r="AR85" s="766"/>
      <c r="AU85">
        <v>1</v>
      </c>
      <c r="AV85" t="str">
        <f>'Translate&amp;Prices&amp;Logo'!$O$560</f>
        <v>Poziomo (termin dostawy 4 tygodnie)</v>
      </c>
      <c r="AZ85">
        <v>3</v>
      </c>
      <c r="BA85" t="str">
        <f>'Translate&amp;Prices&amp;Logo'!$O$554</f>
        <v>Podnośniki</v>
      </c>
      <c r="BX85" s="1">
        <v>2</v>
      </c>
      <c r="BY85" s="1" t="str">
        <f>'Translate&amp;Prices&amp;Logo'!$O$103</f>
        <v>Hartowane</v>
      </c>
      <c r="CA85"/>
      <c r="CB85"/>
      <c r="CK85" t="s">
        <v>4096</v>
      </c>
      <c r="CL85" t="s">
        <v>4277</v>
      </c>
    </row>
    <row r="86" spans="10:90" ht="16.350000000000001" customHeight="1">
      <c r="W86" s="748" t="str">
        <f>('Translate&amp;Prices&amp;Logo'!$O$545)&amp;" "&amp;"("&amp;'Translate&amp;Prices&amp;Logo'!$O$176&amp;")"</f>
        <v>Szprosy (Ilość sztuk)</v>
      </c>
      <c r="X86" s="748"/>
      <c r="Y86" s="748"/>
      <c r="Z86" s="748"/>
      <c r="AA86" s="748"/>
      <c r="AB86" s="481"/>
      <c r="AC86" s="747">
        <f>Ram_3!$H$11</f>
        <v>0</v>
      </c>
      <c r="AD86" s="747"/>
      <c r="AE86" s="747"/>
      <c r="AF86" s="747"/>
      <c r="AG86" s="747"/>
      <c r="AH86" s="747"/>
      <c r="AI86" s="747"/>
      <c r="AJ86" s="747">
        <f>Ram_3!$M$11</f>
        <v>0</v>
      </c>
      <c r="AK86" s="747"/>
      <c r="AL86" s="747"/>
      <c r="AM86" s="747"/>
      <c r="AN86" s="747"/>
      <c r="AO86" s="747"/>
      <c r="AR86" s="766"/>
      <c r="AU86">
        <v>2</v>
      </c>
      <c r="AV86" t="str">
        <f>'Translate&amp;Prices&amp;Logo'!$O$561</f>
        <v>Pionowo (termin dostawy 4 tygodnie)</v>
      </c>
      <c r="BX86" s="1">
        <v>3</v>
      </c>
      <c r="BY86" s="1" t="str">
        <f>'Translate&amp;Prices&amp;Logo'!$O$104</f>
        <v>Folia</v>
      </c>
      <c r="CA86"/>
      <c r="CB86"/>
      <c r="CK86" t="s">
        <v>4104</v>
      </c>
      <c r="CL86" t="s">
        <v>4283</v>
      </c>
    </row>
    <row r="87" spans="10:90" ht="16.350000000000001" customHeight="1">
      <c r="W87" s="748" t="str">
        <f>'Translate&amp;Prices&amp;Logo'!$O$260</f>
        <v>Typ okucia</v>
      </c>
      <c r="X87" s="748"/>
      <c r="Y87" s="748"/>
      <c r="Z87" s="748"/>
      <c r="AA87" s="748"/>
      <c r="AB87" s="481"/>
      <c r="AC87" s="747">
        <f>IFERROR(VLOOKUP(Ram_3!$AU$9,AZ84:BA85,2,0),0)</f>
        <v>0</v>
      </c>
      <c r="AD87" s="747"/>
      <c r="AE87" s="747"/>
      <c r="AF87" s="747"/>
      <c r="AG87" s="747"/>
      <c r="AH87" s="747"/>
      <c r="AI87" s="747"/>
      <c r="AJ87" s="747"/>
      <c r="AK87" s="747"/>
      <c r="AL87" s="747"/>
      <c r="AM87" s="747"/>
      <c r="AN87" s="747"/>
      <c r="AO87" s="747"/>
      <c r="AR87" s="766"/>
      <c r="AU87">
        <v>3</v>
      </c>
      <c r="AV87" t="str">
        <f>'Translate&amp;Prices&amp;Logo'!$O$562</f>
        <v>Poziomo i pionowo (termin dostawy 4 tygodnie)</v>
      </c>
      <c r="CA87"/>
      <c r="CB87"/>
      <c r="CK87" t="s">
        <v>4105</v>
      </c>
      <c r="CL87" t="s">
        <v>4284</v>
      </c>
    </row>
    <row r="88" spans="10:90" ht="16.350000000000001" customHeight="1">
      <c r="W88" s="748" t="str">
        <f>'Translate&amp;Prices&amp;Logo'!$O$546</f>
        <v>Marka okucia</v>
      </c>
      <c r="X88" s="748"/>
      <c r="Y88" s="748"/>
      <c r="Z88" s="748"/>
      <c r="AA88" s="748"/>
      <c r="AB88" s="481"/>
      <c r="AC88" s="747">
        <f>Ram_3!$H$13</f>
        <v>0</v>
      </c>
      <c r="AD88" s="747"/>
      <c r="AE88" s="747"/>
      <c r="AF88" s="747"/>
      <c r="AG88" s="747"/>
      <c r="AH88" s="747"/>
      <c r="AI88" s="747"/>
      <c r="AJ88" s="747"/>
      <c r="AK88" s="747"/>
      <c r="AL88" s="747"/>
      <c r="AM88" s="747"/>
      <c r="AN88" s="747"/>
      <c r="AO88" s="747"/>
      <c r="AR88" s="766"/>
      <c r="CA88"/>
      <c r="CB88"/>
      <c r="CK88" t="s">
        <v>4097</v>
      </c>
      <c r="CL88" t="s">
        <v>4277</v>
      </c>
    </row>
    <row r="89" spans="10:90" ht="16.350000000000001" customHeight="1" thickBot="1">
      <c r="W89" s="748" t="str">
        <f>'Translate&amp;Prices&amp;Logo'!$O$548</f>
        <v>Nałożenie</v>
      </c>
      <c r="X89" s="748"/>
      <c r="Y89" s="748"/>
      <c r="Z89" s="748"/>
      <c r="AA89" s="748"/>
      <c r="AB89" s="481"/>
      <c r="AC89" s="747">
        <f>IFERROR(VLOOKUP(Ram_3!$H$14,$BD$12:$BE$29,2,0),0)</f>
        <v>0</v>
      </c>
      <c r="AD89" s="747"/>
      <c r="AE89" s="747"/>
      <c r="AF89" s="747"/>
      <c r="AG89" s="747"/>
      <c r="AH89" s="747"/>
      <c r="AI89" s="747"/>
      <c r="AJ89" s="747"/>
      <c r="AK89" s="747"/>
      <c r="AL89" s="747"/>
      <c r="AM89" s="747"/>
      <c r="AN89" s="747"/>
      <c r="AO89" s="747"/>
      <c r="AR89" s="766"/>
      <c r="CA89"/>
      <c r="CB89"/>
      <c r="CK89" t="s">
        <v>4102</v>
      </c>
      <c r="CL89" t="s">
        <v>4285</v>
      </c>
    </row>
    <row r="90" spans="10:90" ht="16.350000000000001" customHeight="1">
      <c r="S90" s="761">
        <f>Ram_3!AR14</f>
        <v>0</v>
      </c>
      <c r="W90" s="748" t="str">
        <f>'Translate&amp;Prices&amp;Logo'!$O$547</f>
        <v>Wariant okucia</v>
      </c>
      <c r="X90" s="748"/>
      <c r="Y90" s="748"/>
      <c r="Z90" s="748"/>
      <c r="AA90" s="748"/>
      <c r="AB90" s="481"/>
      <c r="AC90" s="777">
        <f>IFERROR(VLOOKUP(Ram_3!$H$15,kombinace_1!$ED$2:$EE$758,2,0),Ram_3!$H$15)</f>
        <v>0</v>
      </c>
      <c r="AD90" s="777"/>
      <c r="AE90" s="777"/>
      <c r="AF90" s="777"/>
      <c r="AG90" s="777"/>
      <c r="AH90" s="777"/>
      <c r="AI90" s="777"/>
      <c r="AJ90" s="777" t="str">
        <f>IF(AC90='Translate&amp;Prices&amp;Logo'!C700,VLOOKUP(Ram_3!H17,'Translate&amp;Prices&amp;Logo'!C701:D748,2,0),"")</f>
        <v/>
      </c>
      <c r="AK90" s="777"/>
      <c r="AL90" s="777"/>
      <c r="AM90" s="777"/>
      <c r="AN90" s="777"/>
      <c r="AO90" s="777"/>
      <c r="AR90" s="766"/>
      <c r="CA90"/>
      <c r="CB90"/>
      <c r="CK90" t="s">
        <v>4106</v>
      </c>
      <c r="CL90" t="s">
        <v>4286</v>
      </c>
    </row>
    <row r="91" spans="10:90" ht="16.350000000000001" customHeight="1">
      <c r="S91" s="762">
        <f>Ram_1!AR87</f>
        <v>0</v>
      </c>
      <c r="W91" s="748" t="str">
        <f>'Translate&amp;Prices&amp;Logo'!$O$220</f>
        <v>Wybierz pozycję ramki</v>
      </c>
      <c r="X91" s="748"/>
      <c r="Y91" s="748"/>
      <c r="Z91" s="748"/>
      <c r="AA91" s="748"/>
      <c r="AB91" s="747">
        <f>IFERROR(VLOOKUP(Ram_3!$F$16,BI12:BJ23,2,0),0)</f>
        <v>0</v>
      </c>
      <c r="AC91" s="747"/>
      <c r="AD91" s="747"/>
      <c r="AE91" s="747"/>
      <c r="AF91" s="747"/>
      <c r="AG91" s="778" t="str">
        <f>'Translate&amp;Prices&amp;Logo'!$O$234</f>
        <v>Rodzaj drugiej ramki</v>
      </c>
      <c r="AH91" s="778"/>
      <c r="AI91" s="778"/>
      <c r="AJ91" s="243"/>
      <c r="AK91" s="747">
        <f>IFERROR(VLOOKUP(Ram_3!$N$16,BM12:BN41,2,0),0)</f>
        <v>0</v>
      </c>
      <c r="AL91" s="747"/>
      <c r="AM91" s="747"/>
      <c r="AN91" s="747"/>
      <c r="AO91" s="747"/>
      <c r="AR91" s="766"/>
      <c r="CA91"/>
      <c r="CB91"/>
      <c r="CL91"/>
    </row>
    <row r="92" spans="10:90" ht="16.350000000000001" customHeight="1">
      <c r="S92" s="762">
        <f>Ram_1!AR88</f>
        <v>0</v>
      </c>
      <c r="W92" s="748" t="str">
        <f>IF(AC87='Translate&amp;Prices&amp;Logo'!O553,'Translate&amp;Prices&amp;Logo'!O240,'Translate&amp;Prices&amp;Logo'!$O$228)</f>
        <v>Umieszczenie</v>
      </c>
      <c r="X92" s="748"/>
      <c r="Y92" s="748"/>
      <c r="Z92" s="748"/>
      <c r="AA92" s="748"/>
      <c r="AB92" s="481"/>
      <c r="AC92" s="747" t="str">
        <f>IFERROR((IF(Ram_3!H12='Translate&amp;Prices&amp;Logo'!B554,VLOOKUP(Ram_3!$N$16,BM42:BN71,2,0),VLOOKUP(Ram_3!$H$17,BM42:BN65,2,0))),"")</f>
        <v/>
      </c>
      <c r="AD92" s="747"/>
      <c r="AE92" s="747"/>
      <c r="AF92" s="747"/>
      <c r="AG92" s="747"/>
      <c r="AH92" s="747"/>
      <c r="AI92" s="747"/>
      <c r="AJ92" s="747"/>
      <c r="AK92" s="747"/>
      <c r="AL92" s="747"/>
      <c r="AM92" s="747"/>
      <c r="AN92" s="747"/>
      <c r="AO92" s="747"/>
      <c r="AR92" s="766"/>
      <c r="CA92"/>
      <c r="CB92"/>
      <c r="CL92"/>
    </row>
    <row r="93" spans="10:90" ht="16.350000000000001" customHeight="1">
      <c r="S93" s="762">
        <f>Ram_1!AR89</f>
        <v>0</v>
      </c>
      <c r="W93" s="753" t="str">
        <f>IF(Ram_3!AU9=3,'Translate&amp;Prices&amp;Logo'!$O$549,"")</f>
        <v/>
      </c>
      <c r="X93" s="753"/>
      <c r="Y93" s="753"/>
      <c r="Z93" s="753"/>
      <c r="AA93" s="753"/>
      <c r="AB93" s="481"/>
      <c r="AC93" s="747">
        <f>IFERROR((VLOOKUP(Ram_3!$H$18,$CK$2:$CL$90,2,0)),Ram_3!$H$18)</f>
        <v>0</v>
      </c>
      <c r="AD93" s="747"/>
      <c r="AE93" s="747"/>
      <c r="AF93" s="747"/>
      <c r="AG93" s="747"/>
      <c r="AH93" s="747"/>
      <c r="AI93" s="747"/>
      <c r="AJ93" s="747"/>
      <c r="AK93" s="747"/>
      <c r="AL93" s="747"/>
      <c r="AM93" s="747"/>
      <c r="AN93" s="747"/>
      <c r="AO93" s="747"/>
      <c r="AR93" s="766"/>
      <c r="CA93"/>
      <c r="CB93"/>
      <c r="CL93"/>
    </row>
    <row r="94" spans="10:90" ht="16.350000000000001" customHeight="1">
      <c r="S94" s="762">
        <f>Ram_1!AR90</f>
        <v>0</v>
      </c>
      <c r="W94" s="748" t="str">
        <f>'Translate&amp;Prices&amp;Logo'!$O$225</f>
        <v>Ilość zawiasów na 1 ramkę</v>
      </c>
      <c r="X94" s="748"/>
      <c r="Y94" s="748"/>
      <c r="Z94" s="748"/>
      <c r="AA94" s="748"/>
      <c r="AB94" s="481"/>
      <c r="AC94" s="747">
        <f>Ram_3!$H$19</f>
        <v>0</v>
      </c>
      <c r="AD94" s="747"/>
      <c r="AE94" s="747"/>
      <c r="AF94" s="747"/>
      <c r="AG94" s="747"/>
      <c r="AH94" s="747"/>
      <c r="AI94" s="747"/>
      <c r="AJ94" s="747"/>
      <c r="AK94" s="747"/>
      <c r="AL94" s="747"/>
      <c r="AM94" s="747"/>
      <c r="AN94" s="747"/>
      <c r="AO94" s="747"/>
      <c r="AR94" s="766"/>
      <c r="CA94"/>
      <c r="CB94"/>
      <c r="CL94"/>
    </row>
    <row r="95" spans="10:90" ht="16.350000000000001" customHeight="1">
      <c r="S95" s="763" t="str">
        <f>'Translate&amp;Prices&amp;Logo'!$O$178</f>
        <v>Wysokość</v>
      </c>
      <c r="W95" s="748" t="str">
        <f>IFERROR(VLOOKUP(Ram_3!H17,kombinace_3!BY32:CD35,5,0),"")</f>
        <v/>
      </c>
      <c r="X95" s="748"/>
      <c r="Y95" s="748"/>
      <c r="Z95" s="748"/>
      <c r="AA95" s="748"/>
      <c r="AB95" s="481"/>
      <c r="AC95" s="747">
        <f>Ram_3!$F$20</f>
        <v>100</v>
      </c>
      <c r="AD95" s="747"/>
      <c r="AE95" s="747"/>
      <c r="AF95" s="747"/>
      <c r="AG95" s="748" t="str">
        <f>IFERROR(VLOOKUP(Ram_3!H17,kombinace_3!$BY$32:$CD$35,6,0),"")</f>
        <v/>
      </c>
      <c r="AH95" s="748"/>
      <c r="AI95" s="748"/>
      <c r="AJ95" s="748"/>
      <c r="AK95" s="748"/>
      <c r="AL95" s="747">
        <f>Ram_3!$N$20</f>
        <v>100</v>
      </c>
      <c r="AM95" s="747"/>
      <c r="AN95" s="747"/>
      <c r="AO95" s="747"/>
      <c r="AR95" s="766"/>
      <c r="CA95"/>
      <c r="CB95"/>
      <c r="CL95"/>
    </row>
    <row r="96" spans="10:90" ht="16.350000000000001" customHeight="1">
      <c r="S96" s="763">
        <f>Ram_1!AR92</f>
        <v>0</v>
      </c>
      <c r="W96" s="243" t="str">
        <f>'Translate&amp;Prices&amp;Logo'!$O$655</f>
        <v>Wypełnienie z siatki</v>
      </c>
      <c r="X96" s="126"/>
      <c r="Y96" s="126"/>
      <c r="Z96" s="126"/>
      <c r="AA96" s="126"/>
      <c r="AB96" s="481"/>
      <c r="AC96" s="746" t="str">
        <f>IF(kombinace_3!FC2=TRUE,"Tak","Nie")</f>
        <v>Nie</v>
      </c>
      <c r="AD96" s="746"/>
      <c r="AE96" s="746"/>
      <c r="AF96" s="746"/>
      <c r="AG96" s="746"/>
      <c r="AH96" s="746"/>
      <c r="AI96" s="746"/>
      <c r="AJ96" s="746"/>
      <c r="AK96" s="746"/>
      <c r="AL96" s="746"/>
      <c r="AM96" s="746"/>
      <c r="AN96" s="746"/>
      <c r="AO96" s="746"/>
      <c r="AR96" s="766"/>
      <c r="CA96"/>
      <c r="CB96"/>
      <c r="CL96"/>
    </row>
    <row r="97" spans="4:90" ht="16.350000000000001" customHeight="1">
      <c r="S97" s="763">
        <f>Ram_1!AR93</f>
        <v>0</v>
      </c>
      <c r="W97" s="748" t="str">
        <f>'Translate&amp;Prices&amp;Logo'!$O$175</f>
        <v>Rodzaj szkła</v>
      </c>
      <c r="X97" s="748"/>
      <c r="Y97" s="748"/>
      <c r="Z97" s="748"/>
      <c r="AA97" s="748"/>
      <c r="AB97" s="481"/>
      <c r="AC97" s="747" t="str">
        <f>IFERROR(VLOOKUP(kombinace_3!$V$1,BX84:BY86,2,0),0)</f>
        <v>Bez modyfikacji</v>
      </c>
      <c r="AD97" s="747"/>
      <c r="AE97" s="747"/>
      <c r="AF97" s="747"/>
      <c r="AG97" s="747"/>
      <c r="AH97" s="747"/>
      <c r="AI97" s="747"/>
      <c r="AJ97" s="747"/>
      <c r="AK97" s="747"/>
      <c r="AL97" s="747"/>
      <c r="AM97" s="747"/>
      <c r="AN97" s="747"/>
      <c r="AO97" s="747"/>
      <c r="AR97" s="766"/>
      <c r="CA97"/>
      <c r="CB97"/>
      <c r="CL97"/>
    </row>
    <row r="98" spans="4:90" ht="16.350000000000001" customHeight="1">
      <c r="S98" s="763">
        <f>Ram_1!AR94</f>
        <v>0</v>
      </c>
      <c r="W98" s="748" t="str">
        <f>'Translate&amp;Prices&amp;Logo'!$O$564</f>
        <v>Rodzaj folii</v>
      </c>
      <c r="X98" s="748"/>
      <c r="Y98" s="748"/>
      <c r="Z98" s="748"/>
      <c r="AA98" s="748"/>
      <c r="AB98" s="481"/>
      <c r="AC98" s="747">
        <f>IFERROR(VLOOKUP(Ram_3!$H$24,CA12:CB29,2,0),0)</f>
        <v>0</v>
      </c>
      <c r="AD98" s="747"/>
      <c r="AE98" s="747"/>
      <c r="AF98" s="747"/>
      <c r="AG98" s="747"/>
      <c r="AH98" s="747"/>
      <c r="AI98" s="747"/>
      <c r="AJ98" s="747"/>
      <c r="AK98" s="747"/>
      <c r="AL98" s="747"/>
      <c r="AM98" s="747"/>
      <c r="AN98" s="747"/>
      <c r="AO98" s="747"/>
      <c r="AR98" s="766"/>
      <c r="CA98"/>
      <c r="CB98"/>
      <c r="CL98"/>
    </row>
    <row r="99" spans="4:90" ht="16.350000000000001" customHeight="1" thickBot="1">
      <c r="S99" s="764">
        <f>Ram_1!AR95</f>
        <v>0</v>
      </c>
      <c r="W99" s="748" t="str">
        <f>'Translate&amp;Prices&amp;Logo'!$O$175</f>
        <v>Rodzaj szkła</v>
      </c>
      <c r="X99" s="748"/>
      <c r="Y99" s="748"/>
      <c r="Z99" s="748"/>
      <c r="AA99" s="748"/>
      <c r="AB99" s="481"/>
      <c r="AC99" s="747">
        <f>IFERROR(VLOOKUP(Ram_3!$H$25,'Translate&amp;Prices&amp;Logo'!$AH$1:$AI$167,2,0),Ram_3!$H$25)</f>
        <v>0</v>
      </c>
      <c r="AD99" s="747"/>
      <c r="AE99" s="747"/>
      <c r="AF99" s="747"/>
      <c r="AG99" s="747"/>
      <c r="AH99" s="747"/>
      <c r="AI99" s="747"/>
      <c r="AJ99" s="747"/>
      <c r="AK99" s="747"/>
      <c r="AL99" s="747"/>
      <c r="AM99" s="747"/>
      <c r="AN99" s="747"/>
      <c r="AO99" s="747"/>
      <c r="AR99" s="766"/>
      <c r="CL99"/>
    </row>
    <row r="100" spans="4:90" ht="16.350000000000001" customHeight="1">
      <c r="W100" s="748" t="str">
        <f>'Translate&amp;Prices&amp;Logo'!$O$551</f>
        <v>Rozstaw uchwytu (mm)</v>
      </c>
      <c r="X100" s="748"/>
      <c r="Y100" s="748"/>
      <c r="Z100" s="748"/>
      <c r="AA100" s="748"/>
      <c r="AB100" s="481"/>
      <c r="AC100" s="747">
        <f>Ram_3!$H$26</f>
        <v>0</v>
      </c>
      <c r="AD100" s="747"/>
      <c r="AE100" s="747"/>
      <c r="AF100" s="747"/>
      <c r="AG100" s="747"/>
      <c r="AH100" s="747"/>
      <c r="AI100" s="747"/>
      <c r="AJ100" s="747"/>
      <c r="AK100" s="747"/>
      <c r="AL100" s="747"/>
      <c r="AM100" s="747"/>
      <c r="AN100" s="747"/>
      <c r="AO100" s="747"/>
      <c r="AR100" s="766"/>
      <c r="CK100"/>
      <c r="CL100"/>
    </row>
    <row r="101" spans="4:90" ht="16.350000000000001" customHeight="1">
      <c r="W101" s="748" t="str">
        <f>'Translate&amp;Prices&amp;Logo'!$O$552</f>
        <v>Umieszczenie uchwytu</v>
      </c>
      <c r="X101" s="748"/>
      <c r="Y101" s="748"/>
      <c r="Z101" s="748"/>
      <c r="AA101" s="748"/>
      <c r="AB101" s="481"/>
      <c r="AC101" s="747">
        <f>IFERROR(VLOOKUP(Ram_3!$H$27,BM42:BN65,2,0),0)</f>
        <v>0</v>
      </c>
      <c r="AD101" s="747"/>
      <c r="AE101" s="747"/>
      <c r="AF101" s="747"/>
      <c r="AG101" s="747"/>
      <c r="AH101" s="747"/>
      <c r="AI101" s="747"/>
      <c r="AJ101" s="747"/>
      <c r="AK101" s="747"/>
      <c r="AL101" s="747"/>
      <c r="AM101" s="747"/>
      <c r="AN101" s="747"/>
      <c r="AO101" s="747"/>
      <c r="AR101" s="766"/>
      <c r="CK101"/>
      <c r="CL101"/>
    </row>
    <row r="102" spans="4:90" ht="16.350000000000001" customHeight="1">
      <c r="W102" s="748" t="str">
        <f>('Translate&amp;Prices&amp;Logo'!$O$176)&amp;" "&amp;"-"&amp;" "&amp;('Translate&amp;Prices&amp;Logo'!$O$171)&amp;" "&amp;" "&amp;3</f>
        <v>Ilość sztuk - Ramka  3</v>
      </c>
      <c r="X102" s="748"/>
      <c r="Y102" s="748"/>
      <c r="Z102" s="748"/>
      <c r="AA102" s="748"/>
      <c r="AB102" s="481"/>
      <c r="AC102" s="747">
        <f>Ram_3!$H$28</f>
        <v>0</v>
      </c>
      <c r="AD102" s="747"/>
      <c r="AE102" s="747"/>
      <c r="AF102" s="747"/>
      <c r="AG102" s="747"/>
      <c r="AH102" s="747"/>
      <c r="AI102" s="747"/>
      <c r="AJ102" s="747"/>
      <c r="AK102" s="747"/>
      <c r="AL102" s="747"/>
      <c r="AM102" s="747"/>
      <c r="AN102" s="747"/>
      <c r="AO102" s="747"/>
      <c r="AR102" s="766"/>
      <c r="CK102"/>
      <c r="CL102"/>
    </row>
    <row r="103" spans="4:90" ht="16.350000000000001" customHeight="1">
      <c r="AE103" s="1"/>
      <c r="AF103" s="1"/>
      <c r="AR103" s="766"/>
      <c r="CK103"/>
      <c r="CL103"/>
    </row>
    <row r="104" spans="4:90" ht="14.85" customHeight="1">
      <c r="AR104" s="766"/>
      <c r="BS104" s="133" t="s">
        <v>2305</v>
      </c>
      <c r="BT104" s="133" t="s">
        <v>2301</v>
      </c>
      <c r="CK104"/>
      <c r="CL104"/>
    </row>
    <row r="105" spans="4:90" ht="14.85" customHeight="1">
      <c r="W105" s="754" t="s">
        <v>1604</v>
      </c>
      <c r="X105" s="754"/>
      <c r="Y105" s="754"/>
      <c r="Z105" s="754"/>
      <c r="AE105" s="754" t="s">
        <v>1605</v>
      </c>
      <c r="AF105" s="754"/>
      <c r="AG105" s="754"/>
      <c r="AH105" s="754"/>
      <c r="AR105" s="766"/>
      <c r="BS105" s="133" t="s">
        <v>2306</v>
      </c>
      <c r="BT105" s="133" t="s">
        <v>2302</v>
      </c>
      <c r="CK105"/>
      <c r="CL105"/>
    </row>
    <row r="106" spans="4:90" ht="14.85" customHeight="1">
      <c r="AE106" s="768"/>
      <c r="AF106" s="769"/>
      <c r="AG106" s="769"/>
      <c r="AH106" s="769"/>
      <c r="AI106" s="769"/>
      <c r="AJ106" s="769"/>
      <c r="AK106" s="769"/>
      <c r="AL106" s="769"/>
      <c r="AM106" s="769"/>
      <c r="AN106" s="770"/>
      <c r="AR106" s="766"/>
      <c r="BS106" s="133" t="s">
        <v>2307</v>
      </c>
      <c r="BT106" s="133" t="s">
        <v>2303</v>
      </c>
      <c r="CK106"/>
      <c r="CL106"/>
    </row>
    <row r="107" spans="4:90" ht="14.85" customHeight="1">
      <c r="AE107" s="771"/>
      <c r="AF107" s="772"/>
      <c r="AG107" s="772"/>
      <c r="AH107" s="772"/>
      <c r="AI107" s="772"/>
      <c r="AJ107" s="772"/>
      <c r="AK107" s="772"/>
      <c r="AL107" s="772"/>
      <c r="AM107" s="772"/>
      <c r="AN107" s="773"/>
      <c r="AR107" s="766"/>
      <c r="BS107" s="133" t="s">
        <v>2308</v>
      </c>
      <c r="BT107" s="133" t="s">
        <v>2304</v>
      </c>
      <c r="CK107"/>
      <c r="CL107"/>
    </row>
    <row r="108" spans="4:90" ht="14.85" customHeight="1">
      <c r="AE108" s="771"/>
      <c r="AF108" s="772"/>
      <c r="AG108" s="772"/>
      <c r="AH108" s="772"/>
      <c r="AI108" s="772"/>
      <c r="AJ108" s="772"/>
      <c r="AK108" s="772"/>
      <c r="AL108" s="772"/>
      <c r="AM108" s="772"/>
      <c r="AN108" s="773"/>
      <c r="AR108" s="766"/>
      <c r="CK108"/>
      <c r="CL108"/>
    </row>
    <row r="109" spans="4:90" ht="14.85" customHeight="1">
      <c r="D109" s="780">
        <f>IF(OR(Ram_3!$AC$25="x",Ram_3!$AJ$26="x",Ram_3!$AC$9="x",Ram_3!$AJ$7="x",Ram_3!$AB$16="x",Ram_3!$AM$23="x",Ram_3!$AN$19="x",Ram_3!$AD$21="x"),'Translate&amp;Prices&amp;Logo'!$B$590,0)</f>
        <v>0</v>
      </c>
      <c r="E109" s="780"/>
      <c r="F109" s="780"/>
      <c r="G109" s="780"/>
      <c r="H109" s="780"/>
      <c r="I109" s="780"/>
      <c r="J109" s="780"/>
      <c r="K109" s="780"/>
      <c r="L109" s="780"/>
      <c r="M109" s="780"/>
      <c r="N109" s="780"/>
      <c r="O109" s="780"/>
      <c r="P109" s="780"/>
      <c r="AE109" s="771"/>
      <c r="AF109" s="772"/>
      <c r="AG109" s="772"/>
      <c r="AH109" s="772"/>
      <c r="AI109" s="772"/>
      <c r="AJ109" s="772"/>
      <c r="AK109" s="772"/>
      <c r="AL109" s="772"/>
      <c r="AM109" s="772"/>
      <c r="AN109" s="773"/>
      <c r="AR109" s="766"/>
      <c r="CK109"/>
      <c r="CL109"/>
    </row>
    <row r="110" spans="4:90" ht="14.85" customHeight="1">
      <c r="AE110" s="771"/>
      <c r="AF110" s="772"/>
      <c r="AG110" s="772"/>
      <c r="AH110" s="772"/>
      <c r="AI110" s="772"/>
      <c r="AJ110" s="772"/>
      <c r="AK110" s="772"/>
      <c r="AL110" s="772"/>
      <c r="AM110" s="772"/>
      <c r="AN110" s="773"/>
      <c r="AR110" s="766"/>
      <c r="CK110"/>
      <c r="CL110"/>
    </row>
    <row r="111" spans="4:90" ht="14.85" customHeight="1" thickBot="1">
      <c r="AE111" s="771"/>
      <c r="AF111" s="772"/>
      <c r="AG111" s="772"/>
      <c r="AH111" s="772"/>
      <c r="AI111" s="772"/>
      <c r="AJ111" s="772"/>
      <c r="AK111" s="772"/>
      <c r="AL111" s="772"/>
      <c r="AM111" s="772"/>
      <c r="AN111" s="773"/>
      <c r="AR111" s="766"/>
      <c r="CK111"/>
      <c r="CL111"/>
    </row>
    <row r="112" spans="4:90" ht="14.85" customHeight="1" thickBot="1">
      <c r="G112" s="757" t="str">
        <f>'Translate&amp;Prices&amp;Logo'!$O$177</f>
        <v>Szerokość</v>
      </c>
      <c r="H112" s="758">
        <f>Ram_1!AG102</f>
        <v>0</v>
      </c>
      <c r="I112" s="758">
        <f>Ram_1!AH102</f>
        <v>0</v>
      </c>
      <c r="J112" s="759">
        <f>Ram_3!AI30</f>
        <v>0</v>
      </c>
      <c r="K112" s="759">
        <f>Ram_1!AJ102</f>
        <v>0</v>
      </c>
      <c r="L112" s="760">
        <f>Ram_1!AK102</f>
        <v>0</v>
      </c>
      <c r="AE112" s="771"/>
      <c r="AF112" s="772"/>
      <c r="AG112" s="772"/>
      <c r="AH112" s="772"/>
      <c r="AI112" s="772"/>
      <c r="AJ112" s="772"/>
      <c r="AK112" s="772"/>
      <c r="AL112" s="772"/>
      <c r="AM112" s="772"/>
      <c r="AN112" s="773"/>
      <c r="AR112" s="766"/>
      <c r="CK112"/>
      <c r="CL112"/>
    </row>
    <row r="113" spans="1:101" ht="21" customHeight="1">
      <c r="AE113" s="774"/>
      <c r="AF113" s="775"/>
      <c r="AG113" s="775"/>
      <c r="AH113" s="775"/>
      <c r="AI113" s="775"/>
      <c r="AJ113" s="775"/>
      <c r="AK113" s="775"/>
      <c r="AL113" s="775"/>
      <c r="AM113" s="775"/>
      <c r="AN113" s="776"/>
      <c r="AR113" s="766"/>
      <c r="CK113"/>
      <c r="CL113"/>
    </row>
    <row r="114" spans="1:101" ht="14.85" customHeight="1">
      <c r="AR114" s="766"/>
      <c r="CK114"/>
      <c r="CL114"/>
      <c r="CM114" s="31"/>
      <c r="CN114" s="31"/>
      <c r="CO114" s="31"/>
      <c r="CP114" s="31"/>
      <c r="CQ114" s="31"/>
      <c r="CR114" s="31"/>
      <c r="CS114" s="31"/>
      <c r="CT114" s="31"/>
      <c r="CU114" s="31"/>
      <c r="CV114" s="31"/>
      <c r="CW114" s="31"/>
    </row>
    <row r="115" spans="1:101" ht="14.85" customHeight="1">
      <c r="AR115" s="766"/>
      <c r="CK115"/>
      <c r="CL115"/>
    </row>
    <row r="116" spans="1:101" ht="14.85" customHeight="1" thickBo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24"/>
      <c r="AF116" s="125"/>
      <c r="AG116" s="18"/>
      <c r="AH116" s="18"/>
      <c r="AI116" s="18"/>
      <c r="AJ116" s="18"/>
      <c r="AK116" s="18"/>
      <c r="AL116" s="18"/>
      <c r="AM116" s="18"/>
      <c r="AN116" s="18"/>
      <c r="AO116" s="18"/>
      <c r="AP116" s="18"/>
      <c r="AQ116" s="18"/>
      <c r="AR116" s="18"/>
      <c r="CK116"/>
      <c r="CL116"/>
    </row>
    <row r="117" spans="1:101" ht="35.1" customHeight="1" thickBot="1">
      <c r="J117" s="121"/>
      <c r="K117" s="121"/>
      <c r="L117" s="121"/>
      <c r="M117" s="121"/>
      <c r="N117" s="121"/>
      <c r="O117" s="121"/>
      <c r="P117" s="121"/>
      <c r="Q117" s="121"/>
      <c r="R117" s="121"/>
      <c r="S117" s="121"/>
      <c r="T117" s="121"/>
      <c r="U117" s="121"/>
      <c r="V117" s="121"/>
      <c r="W117" s="752" t="str">
        <f>'Translate&amp;Prices&amp;Logo'!$O$258</f>
        <v>Numer zamówienia</v>
      </c>
      <c r="X117" s="752"/>
      <c r="Y117" s="752"/>
      <c r="Z117" s="752"/>
      <c r="AA117" s="752"/>
      <c r="AB117" s="56"/>
      <c r="AC117" s="749">
        <f>Ram_4!AS5</f>
        <v>0</v>
      </c>
      <c r="AD117" s="750"/>
      <c r="AE117" s="750"/>
      <c r="AF117" s="750"/>
      <c r="AG117" s="750"/>
      <c r="AH117" s="750"/>
      <c r="AI117" s="750"/>
      <c r="AJ117" s="750"/>
      <c r="AK117" s="750"/>
      <c r="AL117" s="750"/>
      <c r="AM117" s="750"/>
      <c r="AN117" s="750"/>
      <c r="AO117" s="751"/>
      <c r="AR117" s="766" t="s">
        <v>1609</v>
      </c>
      <c r="CK117"/>
      <c r="CL117"/>
    </row>
    <row r="118" spans="1:101" ht="16.350000000000001" customHeight="1">
      <c r="W118" s="748" t="str">
        <f>'Translate&amp;Prices&amp;Logo'!$O$544</f>
        <v>Połączenie 2 profili</v>
      </c>
      <c r="X118" s="748"/>
      <c r="Y118" s="748"/>
      <c r="Z118" s="748"/>
      <c r="AA118" s="748"/>
      <c r="AB118" s="481"/>
      <c r="AC118" s="765" t="str">
        <f>IF(kombinace_4!$H$1=TRUE,"Tak","Nie")</f>
        <v>Nie</v>
      </c>
      <c r="AD118" s="765"/>
      <c r="AE118" s="765"/>
      <c r="AF118" s="765"/>
      <c r="AG118" s="765"/>
      <c r="AH118" s="765"/>
      <c r="AI118" s="765"/>
      <c r="AJ118" s="765"/>
      <c r="AK118" s="765"/>
      <c r="AL118" s="765"/>
      <c r="AM118" s="765"/>
      <c r="AN118" s="765"/>
      <c r="AO118" s="765"/>
      <c r="AR118" s="766"/>
      <c r="CK118"/>
      <c r="CL118"/>
    </row>
    <row r="119" spans="1:101" ht="16.350000000000001" customHeight="1">
      <c r="W119" s="748" t="str">
        <f>'Translate&amp;Prices&amp;Logo'!$O$174</f>
        <v>Rodzaj profilu</v>
      </c>
      <c r="X119" s="748"/>
      <c r="Y119" s="748"/>
      <c r="Z119" s="748"/>
      <c r="AA119" s="748"/>
      <c r="AB119" s="481"/>
      <c r="AC119" s="747">
        <f>IFERROR(VLOOKUP(Ram_4!$H$8,'Translate&amp;Prices&amp;Logo'!$AA$1:$AB$456,2,0),Ram_4!$H$8)</f>
        <v>0</v>
      </c>
      <c r="AD119" s="747"/>
      <c r="AE119" s="747"/>
      <c r="AF119" s="747"/>
      <c r="AG119" s="747"/>
      <c r="AH119" s="747"/>
      <c r="AI119" s="747"/>
      <c r="AJ119" s="747"/>
      <c r="AK119" s="747"/>
      <c r="AL119" s="747"/>
      <c r="AM119" s="747"/>
      <c r="AN119" s="747"/>
      <c r="AO119" s="747"/>
      <c r="AR119" s="766"/>
      <c r="CK119"/>
      <c r="CL119"/>
    </row>
    <row r="120" spans="1:101" ht="16.350000000000001" customHeight="1">
      <c r="W120" s="748" t="str">
        <f>'Translate&amp;Prices&amp;Logo'!$O$545</f>
        <v>Szprosy</v>
      </c>
      <c r="X120" s="748"/>
      <c r="Y120" s="748"/>
      <c r="Z120" s="748"/>
      <c r="AA120" s="748"/>
      <c r="AB120" s="481"/>
      <c r="AC120" s="747" t="str">
        <f>IFERROR(VLOOKUP(Ram_4!$AU$10,AU120:AV123,2,0),0)</f>
        <v>Nie</v>
      </c>
      <c r="AD120" s="747"/>
      <c r="AE120" s="747"/>
      <c r="AF120" s="747"/>
      <c r="AG120" s="747"/>
      <c r="AH120" s="747"/>
      <c r="AI120" s="747"/>
      <c r="AJ120" s="747"/>
      <c r="AK120" s="747"/>
      <c r="AL120" s="747"/>
      <c r="AM120" s="747"/>
      <c r="AN120" s="747"/>
      <c r="AO120" s="747"/>
      <c r="AR120" s="766"/>
      <c r="AU120">
        <v>0</v>
      </c>
      <c r="AV120" t="str">
        <f>'Translate&amp;Prices&amp;Logo'!$O$559</f>
        <v>Nie</v>
      </c>
      <c r="AZ120">
        <v>2</v>
      </c>
      <c r="BA120" t="str">
        <f>'Translate&amp;Prices&amp;Logo'!$O$553</f>
        <v>Zawiasy</v>
      </c>
      <c r="BX120" s="1">
        <v>1</v>
      </c>
      <c r="BY120" s="1" t="str">
        <f>'Translate&amp;Prices&amp;Logo'!$O$102</f>
        <v>Bez modyfikacji</v>
      </c>
      <c r="CA120"/>
      <c r="CB120"/>
    </row>
    <row r="121" spans="1:101" ht="16.350000000000001" customHeight="1">
      <c r="W121" s="126"/>
      <c r="X121" s="126"/>
      <c r="Y121" s="126"/>
      <c r="Z121" s="126"/>
      <c r="AA121" s="126"/>
      <c r="AB121" s="481"/>
      <c r="AC121" s="767" t="str">
        <f>'Translate&amp;Prices&amp;Logo'!$O$560</f>
        <v>Poziomo (termin dostawy 4 tygodnie)</v>
      </c>
      <c r="AD121" s="767"/>
      <c r="AE121" s="767"/>
      <c r="AF121" s="767"/>
      <c r="AG121" s="767"/>
      <c r="AH121" s="767"/>
      <c r="AI121" s="767"/>
      <c r="AJ121" s="767" t="str">
        <f>'Translate&amp;Prices&amp;Logo'!$O$561</f>
        <v>Pionowo (termin dostawy 4 tygodnie)</v>
      </c>
      <c r="AK121" s="767"/>
      <c r="AL121" s="767"/>
      <c r="AM121" s="767"/>
      <c r="AN121" s="767"/>
      <c r="AO121" s="767"/>
      <c r="AR121" s="766"/>
      <c r="AU121">
        <v>1</v>
      </c>
      <c r="AV121" t="str">
        <f>'Translate&amp;Prices&amp;Logo'!$O$560</f>
        <v>Poziomo (termin dostawy 4 tygodnie)</v>
      </c>
      <c r="AZ121">
        <v>3</v>
      </c>
      <c r="BA121" t="str">
        <f>'Translate&amp;Prices&amp;Logo'!$O$554</f>
        <v>Podnośniki</v>
      </c>
      <c r="BX121" s="1">
        <v>2</v>
      </c>
      <c r="BY121" s="1" t="str">
        <f>'Translate&amp;Prices&amp;Logo'!$O$103</f>
        <v>Hartowane</v>
      </c>
      <c r="CA121"/>
      <c r="CB121"/>
    </row>
    <row r="122" spans="1:101" ht="16.350000000000001" customHeight="1">
      <c r="W122" s="748" t="str">
        <f>('Translate&amp;Prices&amp;Logo'!$O$545)&amp;" "&amp;"("&amp;'Translate&amp;Prices&amp;Logo'!$O$176&amp;")"</f>
        <v>Szprosy (Ilość sztuk)</v>
      </c>
      <c r="X122" s="748"/>
      <c r="Y122" s="748"/>
      <c r="Z122" s="748"/>
      <c r="AA122" s="748"/>
      <c r="AB122" s="481"/>
      <c r="AC122" s="747">
        <f>Ram_4!$H$11</f>
        <v>0</v>
      </c>
      <c r="AD122" s="747"/>
      <c r="AE122" s="747"/>
      <c r="AF122" s="747"/>
      <c r="AG122" s="747"/>
      <c r="AH122" s="747"/>
      <c r="AI122" s="747"/>
      <c r="AJ122" s="747">
        <f>Ram_4!$M$11</f>
        <v>0</v>
      </c>
      <c r="AK122" s="747"/>
      <c r="AL122" s="747"/>
      <c r="AM122" s="747"/>
      <c r="AN122" s="747"/>
      <c r="AO122" s="747"/>
      <c r="AR122" s="766"/>
      <c r="AU122">
        <v>2</v>
      </c>
      <c r="AV122" t="str">
        <f>'Translate&amp;Prices&amp;Logo'!$O$561</f>
        <v>Pionowo (termin dostawy 4 tygodnie)</v>
      </c>
      <c r="BX122" s="1">
        <v>3</v>
      </c>
      <c r="BY122" s="1" t="str">
        <f>'Translate&amp;Prices&amp;Logo'!$O$104</f>
        <v>Folia</v>
      </c>
      <c r="CA122"/>
      <c r="CB122"/>
    </row>
    <row r="123" spans="1:101" ht="16.350000000000001" customHeight="1">
      <c r="W123" s="748" t="str">
        <f>'Translate&amp;Prices&amp;Logo'!$O$260</f>
        <v>Typ okucia</v>
      </c>
      <c r="X123" s="748"/>
      <c r="Y123" s="748"/>
      <c r="Z123" s="748"/>
      <c r="AA123" s="748"/>
      <c r="AB123" s="481"/>
      <c r="AC123" s="747">
        <f>IFERROR(VLOOKUP(Ram_4!$AU$9,AZ120:BA121,2,0),0)</f>
        <v>0</v>
      </c>
      <c r="AD123" s="747"/>
      <c r="AE123" s="747"/>
      <c r="AF123" s="747"/>
      <c r="AG123" s="747"/>
      <c r="AH123" s="747"/>
      <c r="AI123" s="747"/>
      <c r="AJ123" s="747"/>
      <c r="AK123" s="747"/>
      <c r="AL123" s="747"/>
      <c r="AM123" s="747"/>
      <c r="AN123" s="747"/>
      <c r="AO123" s="747"/>
      <c r="AR123" s="766"/>
      <c r="AU123">
        <v>3</v>
      </c>
      <c r="AV123" t="str">
        <f>'Translate&amp;Prices&amp;Logo'!$O$562</f>
        <v>Poziomo i pionowo (termin dostawy 4 tygodnie)</v>
      </c>
      <c r="CA123"/>
      <c r="CB123"/>
    </row>
    <row r="124" spans="1:101" ht="16.350000000000001" customHeight="1">
      <c r="W124" s="748" t="str">
        <f>'Translate&amp;Prices&amp;Logo'!$O$546</f>
        <v>Marka okucia</v>
      </c>
      <c r="X124" s="748"/>
      <c r="Y124" s="748"/>
      <c r="Z124" s="748"/>
      <c r="AA124" s="748"/>
      <c r="AB124" s="481"/>
      <c r="AC124" s="747">
        <f>Ram_4!$H$13</f>
        <v>0</v>
      </c>
      <c r="AD124" s="747"/>
      <c r="AE124" s="747"/>
      <c r="AF124" s="747"/>
      <c r="AG124" s="747"/>
      <c r="AH124" s="747"/>
      <c r="AI124" s="747"/>
      <c r="AJ124" s="747"/>
      <c r="AK124" s="747"/>
      <c r="AL124" s="747"/>
      <c r="AM124" s="747"/>
      <c r="AN124" s="747"/>
      <c r="AO124" s="747"/>
      <c r="AR124" s="766"/>
      <c r="CA124"/>
      <c r="CB124"/>
    </row>
    <row r="125" spans="1:101" ht="16.350000000000001" customHeight="1" thickBot="1">
      <c r="W125" s="748" t="str">
        <f>'Translate&amp;Prices&amp;Logo'!$O$548</f>
        <v>Nałożenie</v>
      </c>
      <c r="X125" s="748"/>
      <c r="Y125" s="748"/>
      <c r="Z125" s="748"/>
      <c r="AA125" s="748"/>
      <c r="AB125" s="481"/>
      <c r="AC125" s="747">
        <f>IFERROR(VLOOKUP(Ram_4!$H$14,$BD$12:$BE$29,2,0),0)</f>
        <v>0</v>
      </c>
      <c r="AD125" s="747"/>
      <c r="AE125" s="747"/>
      <c r="AF125" s="747"/>
      <c r="AG125" s="747"/>
      <c r="AH125" s="747"/>
      <c r="AI125" s="747"/>
      <c r="AJ125" s="747"/>
      <c r="AK125" s="747"/>
      <c r="AL125" s="747"/>
      <c r="AM125" s="747"/>
      <c r="AN125" s="747"/>
      <c r="AO125" s="747"/>
      <c r="AR125" s="766"/>
      <c r="CA125"/>
      <c r="CB125"/>
    </row>
    <row r="126" spans="1:101" ht="16.350000000000001" customHeight="1">
      <c r="S126" s="761">
        <f>Ram_4!AR14</f>
        <v>0</v>
      </c>
      <c r="W126" s="748" t="str">
        <f>'Translate&amp;Prices&amp;Logo'!$O$547</f>
        <v>Wariant okucia</v>
      </c>
      <c r="X126" s="748"/>
      <c r="Y126" s="748"/>
      <c r="Z126" s="748"/>
      <c r="AA126" s="748"/>
      <c r="AB126" s="481"/>
      <c r="AC126" s="777">
        <f>IFERROR(VLOOKUP(Ram_4!$H$15,kombinace_1!$ED$2:$EE$758,2,0),Ram_4!$H$15)</f>
        <v>0</v>
      </c>
      <c r="AD126" s="777"/>
      <c r="AE126" s="777"/>
      <c r="AF126" s="777"/>
      <c r="AG126" s="777"/>
      <c r="AH126" s="777"/>
      <c r="AI126" s="777"/>
      <c r="AJ126" s="747" t="str">
        <f>IF(AC126='Translate&amp;Prices&amp;Logo'!C700,VLOOKUP(Ram_4!H17,'Translate&amp;Prices&amp;Logo'!C701:D748,2,0),"")</f>
        <v/>
      </c>
      <c r="AK126" s="747"/>
      <c r="AL126" s="747"/>
      <c r="AM126" s="747"/>
      <c r="AN126" s="747"/>
      <c r="AO126" s="747"/>
      <c r="AR126" s="766"/>
      <c r="CA126"/>
      <c r="CB126"/>
    </row>
    <row r="127" spans="1:101" ht="16.350000000000001" customHeight="1">
      <c r="S127" s="762">
        <f>Ram_1!AR123</f>
        <v>0</v>
      </c>
      <c r="W127" s="748" t="str">
        <f>'Translate&amp;Prices&amp;Logo'!$O$220</f>
        <v>Wybierz pozycję ramki</v>
      </c>
      <c r="X127" s="748"/>
      <c r="Y127" s="748"/>
      <c r="Z127" s="748"/>
      <c r="AA127" s="748"/>
      <c r="AB127" s="747">
        <f>IFERROR(VLOOKUP(Ram_4!$F$16,BI12:BJ23,2,0),0)</f>
        <v>0</v>
      </c>
      <c r="AC127" s="747"/>
      <c r="AD127" s="747"/>
      <c r="AE127" s="747"/>
      <c r="AF127" s="747"/>
      <c r="AG127" s="778" t="str">
        <f>'Translate&amp;Prices&amp;Logo'!$O$234</f>
        <v>Rodzaj drugiej ramki</v>
      </c>
      <c r="AH127" s="778"/>
      <c r="AI127" s="778"/>
      <c r="AJ127" s="747">
        <f>IFERROR(VLOOKUP(Ram_4!$N$16,BM12:BN41,2,0),0)</f>
        <v>0</v>
      </c>
      <c r="AK127" s="747"/>
      <c r="AL127" s="747"/>
      <c r="AM127" s="747"/>
      <c r="AN127" s="747"/>
      <c r="AO127" s="747"/>
      <c r="AR127" s="766"/>
      <c r="CA127"/>
      <c r="CB127"/>
    </row>
    <row r="128" spans="1:101" ht="16.350000000000001" customHeight="1">
      <c r="S128" s="762">
        <f>Ram_1!AR124</f>
        <v>0</v>
      </c>
      <c r="W128" s="748" t="str">
        <f>IF(AC123='Translate&amp;Prices&amp;Logo'!O553,'Translate&amp;Prices&amp;Logo'!O240,'Translate&amp;Prices&amp;Logo'!$O$228)</f>
        <v>Umieszczenie</v>
      </c>
      <c r="X128" s="748"/>
      <c r="Y128" s="748"/>
      <c r="Z128" s="748"/>
      <c r="AA128" s="748"/>
      <c r="AB128" s="481"/>
      <c r="AC128" s="747" t="str">
        <f>IFERROR((IF(Ram_4!H12='Translate&amp;Prices&amp;Logo'!B554,VLOOKUP(Ram_4!$N$16,BM42:BN71,2,0),VLOOKUP(Ram_4!$H$17,BM42:BN65,2,0))),"")</f>
        <v/>
      </c>
      <c r="AD128" s="747"/>
      <c r="AE128" s="747"/>
      <c r="AF128" s="747"/>
      <c r="AG128" s="747"/>
      <c r="AH128" s="747"/>
      <c r="AI128" s="747"/>
      <c r="AJ128" s="747"/>
      <c r="AK128" s="747"/>
      <c r="AL128" s="747"/>
      <c r="AM128" s="747"/>
      <c r="AN128" s="747"/>
      <c r="AO128" s="747"/>
      <c r="AR128" s="766"/>
      <c r="CA128"/>
      <c r="CB128"/>
    </row>
    <row r="129" spans="19:80" ht="16.350000000000001" customHeight="1">
      <c r="S129" s="762">
        <f>Ram_1!AR125</f>
        <v>0</v>
      </c>
      <c r="W129" s="753" t="str">
        <f>IF(Ram_4!AU9=3,'Translate&amp;Prices&amp;Logo'!$O$549,"")</f>
        <v/>
      </c>
      <c r="X129" s="753"/>
      <c r="Y129" s="753"/>
      <c r="Z129" s="753"/>
      <c r="AA129" s="753"/>
      <c r="AB129" s="481"/>
      <c r="AC129" s="747">
        <f>IFERROR((VLOOKUP(Ram_4!$H$18,$CK$2:$CL$90,2,0)),Ram_4!$H$18)</f>
        <v>0</v>
      </c>
      <c r="AD129" s="747"/>
      <c r="AE129" s="747"/>
      <c r="AF129" s="747"/>
      <c r="AG129" s="747"/>
      <c r="AH129" s="747"/>
      <c r="AI129" s="747"/>
      <c r="AJ129" s="747"/>
      <c r="AK129" s="747"/>
      <c r="AL129" s="747"/>
      <c r="AM129" s="747"/>
      <c r="AN129" s="747"/>
      <c r="AO129" s="747"/>
      <c r="AR129" s="766"/>
      <c r="CA129"/>
      <c r="CB129"/>
    </row>
    <row r="130" spans="19:80" ht="16.350000000000001" customHeight="1">
      <c r="S130" s="762">
        <f>Ram_1!AR126</f>
        <v>0</v>
      </c>
      <c r="W130" s="748" t="str">
        <f>'Translate&amp;Prices&amp;Logo'!$O$225</f>
        <v>Ilość zawiasów na 1 ramkę</v>
      </c>
      <c r="X130" s="748"/>
      <c r="Y130" s="748"/>
      <c r="Z130" s="748"/>
      <c r="AA130" s="748"/>
      <c r="AB130" s="481"/>
      <c r="AC130" s="747">
        <f>Ram_4!$H$19</f>
        <v>0</v>
      </c>
      <c r="AD130" s="747"/>
      <c r="AE130" s="747"/>
      <c r="AF130" s="747"/>
      <c r="AG130" s="747"/>
      <c r="AH130" s="747"/>
      <c r="AI130" s="747"/>
      <c r="AJ130" s="747"/>
      <c r="AK130" s="747"/>
      <c r="AL130" s="747"/>
      <c r="AM130" s="747"/>
      <c r="AN130" s="747"/>
      <c r="AO130" s="747"/>
      <c r="AR130" s="766"/>
      <c r="CA130"/>
      <c r="CB130"/>
    </row>
    <row r="131" spans="19:80" ht="16.350000000000001" customHeight="1">
      <c r="S131" s="763" t="str">
        <f>'Translate&amp;Prices&amp;Logo'!$O$178</f>
        <v>Wysokość</v>
      </c>
      <c r="W131" s="748" t="str">
        <f>IFERROR(VLOOKUP(Ram_4!H17,kombinace_4!BY32:CD35,5,0),"")</f>
        <v/>
      </c>
      <c r="X131" s="748"/>
      <c r="Y131" s="748"/>
      <c r="Z131" s="748"/>
      <c r="AA131" s="748"/>
      <c r="AB131" s="747">
        <f>Ram_4!$F$20</f>
        <v>100</v>
      </c>
      <c r="AC131" s="747"/>
      <c r="AD131" s="747"/>
      <c r="AE131" s="747"/>
      <c r="AF131" s="747"/>
      <c r="AG131" s="748" t="str">
        <f>IFERROR(VLOOKUP(Ram_4!H17,kombinace_4!$BY$32:$CD$35,6,0),"")</f>
        <v/>
      </c>
      <c r="AH131" s="748"/>
      <c r="AI131" s="748"/>
      <c r="AJ131" s="748"/>
      <c r="AK131" s="748"/>
      <c r="AL131" s="747">
        <f>Ram_4!$N$20</f>
        <v>100</v>
      </c>
      <c r="AM131" s="747"/>
      <c r="AN131" s="747"/>
      <c r="AO131" s="747"/>
      <c r="AR131" s="766"/>
      <c r="CA131"/>
      <c r="CB131"/>
    </row>
    <row r="132" spans="19:80" ht="16.350000000000001" customHeight="1">
      <c r="S132" s="763">
        <f>Ram_1!AR128</f>
        <v>0</v>
      </c>
      <c r="W132" s="243" t="str">
        <f>'Translate&amp;Prices&amp;Logo'!$O$655</f>
        <v>Wypełnienie z siatki</v>
      </c>
      <c r="X132" s="126"/>
      <c r="Y132" s="126"/>
      <c r="Z132" s="126"/>
      <c r="AA132" s="126"/>
      <c r="AB132" s="481"/>
      <c r="AC132" s="746" t="str">
        <f>IF(kombinace_4!FC2=TRUE,"Tak","Nie")</f>
        <v>Nie</v>
      </c>
      <c r="AD132" s="746"/>
      <c r="AE132" s="746"/>
      <c r="AF132" s="746"/>
      <c r="AG132" s="746"/>
      <c r="AH132" s="746"/>
      <c r="AI132" s="746"/>
      <c r="AJ132" s="746"/>
      <c r="AK132" s="746"/>
      <c r="AL132" s="746"/>
      <c r="AM132" s="746"/>
      <c r="AN132" s="746"/>
      <c r="AO132" s="746"/>
      <c r="AR132" s="766"/>
      <c r="CA132"/>
      <c r="CB132"/>
    </row>
    <row r="133" spans="19:80" ht="16.350000000000001" customHeight="1">
      <c r="S133" s="763">
        <f>Ram_1!AR129</f>
        <v>0</v>
      </c>
      <c r="W133" s="748" t="str">
        <f>'Translate&amp;Prices&amp;Logo'!$O$175</f>
        <v>Rodzaj szkła</v>
      </c>
      <c r="X133" s="748"/>
      <c r="Y133" s="748"/>
      <c r="Z133" s="748"/>
      <c r="AA133" s="748"/>
      <c r="AB133" s="481"/>
      <c r="AC133" s="747" t="str">
        <f>IFERROR(VLOOKUP(kombinace_4!$V$1,BX120:BY122,2,0),0)</f>
        <v>Bez modyfikacji</v>
      </c>
      <c r="AD133" s="747"/>
      <c r="AE133" s="747"/>
      <c r="AF133" s="747"/>
      <c r="AG133" s="747"/>
      <c r="AH133" s="747"/>
      <c r="AI133" s="747"/>
      <c r="AJ133" s="747"/>
      <c r="AK133" s="747"/>
      <c r="AL133" s="747"/>
      <c r="AM133" s="747"/>
      <c r="AN133" s="747"/>
      <c r="AO133" s="747"/>
      <c r="AR133" s="766"/>
      <c r="CA133"/>
      <c r="CB133"/>
    </row>
    <row r="134" spans="19:80" ht="16.350000000000001" customHeight="1">
      <c r="S134" s="763">
        <f>Ram_1!AR130</f>
        <v>0</v>
      </c>
      <c r="W134" s="748" t="str">
        <f>'Translate&amp;Prices&amp;Logo'!$O$564</f>
        <v>Rodzaj folii</v>
      </c>
      <c r="X134" s="748"/>
      <c r="Y134" s="748"/>
      <c r="Z134" s="748"/>
      <c r="AA134" s="748"/>
      <c r="AB134" s="481"/>
      <c r="AC134" s="747">
        <f>IFERROR(VLOOKUP(Ram_4!$H$24,CA12:CB29,2,0),0)</f>
        <v>0</v>
      </c>
      <c r="AD134" s="747"/>
      <c r="AE134" s="747"/>
      <c r="AF134" s="747"/>
      <c r="AG134" s="747"/>
      <c r="AH134" s="747"/>
      <c r="AI134" s="747"/>
      <c r="AJ134" s="747"/>
      <c r="AK134" s="747"/>
      <c r="AL134" s="747"/>
      <c r="AM134" s="747"/>
      <c r="AN134" s="747"/>
      <c r="AO134" s="747"/>
      <c r="AR134" s="766"/>
      <c r="CA134"/>
      <c r="CB134"/>
    </row>
    <row r="135" spans="19:80" ht="16.350000000000001" customHeight="1" thickBot="1">
      <c r="S135" s="764">
        <f>Ram_1!AR131</f>
        <v>0</v>
      </c>
      <c r="W135" s="748" t="str">
        <f>'Translate&amp;Prices&amp;Logo'!$O$175</f>
        <v>Rodzaj szkła</v>
      </c>
      <c r="X135" s="748"/>
      <c r="Y135" s="748"/>
      <c r="Z135" s="748"/>
      <c r="AA135" s="748"/>
      <c r="AB135" s="481"/>
      <c r="AC135" s="747">
        <f>IFERROR(VLOOKUP(Ram_4!$H$25,'Translate&amp;Prices&amp;Logo'!$AH$1:$AI$167,2,0),Ram_4!$H$25)</f>
        <v>0</v>
      </c>
      <c r="AD135" s="747"/>
      <c r="AE135" s="747"/>
      <c r="AF135" s="747"/>
      <c r="AG135" s="747"/>
      <c r="AH135" s="747"/>
      <c r="AI135" s="747"/>
      <c r="AJ135" s="747"/>
      <c r="AK135" s="747"/>
      <c r="AL135" s="747"/>
      <c r="AM135" s="747"/>
      <c r="AN135" s="747"/>
      <c r="AO135" s="747"/>
      <c r="AR135" s="766"/>
    </row>
    <row r="136" spans="19:80" ht="16.350000000000001" customHeight="1">
      <c r="W136" s="748" t="str">
        <f>'Translate&amp;Prices&amp;Logo'!$O$551</f>
        <v>Rozstaw uchwytu (mm)</v>
      </c>
      <c r="X136" s="748"/>
      <c r="Y136" s="748"/>
      <c r="Z136" s="748"/>
      <c r="AA136" s="748"/>
      <c r="AB136" s="481"/>
      <c r="AC136" s="747">
        <f>Ram_4!$H$26</f>
        <v>0</v>
      </c>
      <c r="AD136" s="747"/>
      <c r="AE136" s="747"/>
      <c r="AF136" s="747"/>
      <c r="AG136" s="747"/>
      <c r="AH136" s="747"/>
      <c r="AI136" s="747"/>
      <c r="AJ136" s="747"/>
      <c r="AK136" s="747"/>
      <c r="AL136" s="747"/>
      <c r="AM136" s="747"/>
      <c r="AN136" s="747"/>
      <c r="AO136" s="747"/>
      <c r="AR136" s="766"/>
    </row>
    <row r="137" spans="19:80" ht="16.350000000000001" customHeight="1">
      <c r="W137" s="748" t="str">
        <f>'Translate&amp;Prices&amp;Logo'!$O$552</f>
        <v>Umieszczenie uchwytu</v>
      </c>
      <c r="X137" s="748"/>
      <c r="Y137" s="748"/>
      <c r="Z137" s="748"/>
      <c r="AA137" s="748"/>
      <c r="AB137" s="481"/>
      <c r="AC137" s="747">
        <f>IFERROR(VLOOKUP(Ram_4!$H$27,BM42:BN65,2,0),0)</f>
        <v>0</v>
      </c>
      <c r="AD137" s="747"/>
      <c r="AE137" s="747"/>
      <c r="AF137" s="747"/>
      <c r="AG137" s="747"/>
      <c r="AH137" s="747"/>
      <c r="AI137" s="747"/>
      <c r="AJ137" s="747"/>
      <c r="AK137" s="747"/>
      <c r="AL137" s="747"/>
      <c r="AM137" s="747"/>
      <c r="AN137" s="747"/>
      <c r="AO137" s="747"/>
      <c r="AR137" s="766"/>
    </row>
    <row r="138" spans="19:80" ht="16.350000000000001" customHeight="1">
      <c r="W138" s="748" t="str">
        <f>('Translate&amp;Prices&amp;Logo'!$O$176)&amp;" "&amp;"-"&amp;" "&amp;('Translate&amp;Prices&amp;Logo'!$O$171)&amp;" "&amp;" "&amp;4</f>
        <v>Ilość sztuk - Ramka  4</v>
      </c>
      <c r="X138" s="748"/>
      <c r="Y138" s="748"/>
      <c r="Z138" s="748"/>
      <c r="AA138" s="748"/>
      <c r="AB138" s="481"/>
      <c r="AC138" s="747">
        <f>Ram_4!$H$28</f>
        <v>0</v>
      </c>
      <c r="AD138" s="747"/>
      <c r="AE138" s="747"/>
      <c r="AF138" s="747"/>
      <c r="AG138" s="747"/>
      <c r="AH138" s="747"/>
      <c r="AI138" s="747"/>
      <c r="AJ138" s="747"/>
      <c r="AK138" s="747"/>
      <c r="AL138" s="747"/>
      <c r="AM138" s="747"/>
      <c r="AN138" s="747"/>
      <c r="AO138" s="747"/>
      <c r="AR138" s="766"/>
    </row>
    <row r="139" spans="19:80" ht="16.350000000000001" customHeight="1">
      <c r="AE139" s="1"/>
      <c r="AF139" s="1"/>
      <c r="AR139" s="766"/>
    </row>
    <row r="140" spans="19:80" ht="14.85" customHeight="1">
      <c r="AR140" s="766"/>
    </row>
    <row r="141" spans="19:80" ht="14.85" customHeight="1">
      <c r="W141" s="754" t="s">
        <v>1604</v>
      </c>
      <c r="X141" s="754"/>
      <c r="Y141" s="754"/>
      <c r="Z141" s="754"/>
      <c r="AE141" s="754" t="s">
        <v>1605</v>
      </c>
      <c r="AF141" s="754"/>
      <c r="AG141" s="754"/>
      <c r="AH141" s="754"/>
      <c r="AR141" s="766"/>
    </row>
    <row r="142" spans="19:80" ht="14.85" customHeight="1">
      <c r="AE142" s="768"/>
      <c r="AF142" s="769"/>
      <c r="AG142" s="769"/>
      <c r="AH142" s="769"/>
      <c r="AI142" s="769"/>
      <c r="AJ142" s="769"/>
      <c r="AK142" s="769"/>
      <c r="AL142" s="769"/>
      <c r="AM142" s="769"/>
      <c r="AN142" s="770"/>
      <c r="AR142" s="766"/>
    </row>
    <row r="143" spans="19:80" ht="14.85" customHeight="1">
      <c r="AE143" s="771"/>
      <c r="AF143" s="772"/>
      <c r="AG143" s="772"/>
      <c r="AH143" s="772"/>
      <c r="AI143" s="772"/>
      <c r="AJ143" s="772"/>
      <c r="AK143" s="772"/>
      <c r="AL143" s="772"/>
      <c r="AM143" s="772"/>
      <c r="AN143" s="773"/>
      <c r="AR143" s="766"/>
    </row>
    <row r="144" spans="19:80" ht="14.85" customHeight="1">
      <c r="AE144" s="771"/>
      <c r="AF144" s="772"/>
      <c r="AG144" s="772"/>
      <c r="AH144" s="772"/>
      <c r="AI144" s="772"/>
      <c r="AJ144" s="772"/>
      <c r="AK144" s="772"/>
      <c r="AL144" s="772"/>
      <c r="AM144" s="772"/>
      <c r="AN144" s="773"/>
      <c r="AR144" s="766"/>
    </row>
    <row r="145" spans="1:80" ht="14.85" customHeight="1">
      <c r="D145" s="780">
        <f>IF(OR(Ram_4!$AC$25="x",Ram_4!$AJ$26="x",Ram_4!$AC$9="x",Ram_4!$AJ$7="x",Ram_4!$AB$16="x",Ram_4!$AM$23="x",Ram_4!$AN$19="x",Ram_4!$AD$21="x"),'Translate&amp;Prices&amp;Logo'!$B$590,0)</f>
        <v>0</v>
      </c>
      <c r="E145" s="780"/>
      <c r="F145" s="780"/>
      <c r="G145" s="780"/>
      <c r="H145" s="780"/>
      <c r="I145" s="780"/>
      <c r="J145" s="780"/>
      <c r="K145" s="780"/>
      <c r="L145" s="780"/>
      <c r="M145" s="780"/>
      <c r="N145" s="780"/>
      <c r="O145" s="780"/>
      <c r="P145" s="780"/>
      <c r="AE145" s="771"/>
      <c r="AF145" s="772"/>
      <c r="AG145" s="772"/>
      <c r="AH145" s="772"/>
      <c r="AI145" s="772"/>
      <c r="AJ145" s="772"/>
      <c r="AK145" s="772"/>
      <c r="AL145" s="772"/>
      <c r="AM145" s="772"/>
      <c r="AN145" s="773"/>
      <c r="AR145" s="766"/>
    </row>
    <row r="146" spans="1:80" ht="14.85" customHeight="1">
      <c r="AE146" s="771"/>
      <c r="AF146" s="772"/>
      <c r="AG146" s="772"/>
      <c r="AH146" s="772"/>
      <c r="AI146" s="772"/>
      <c r="AJ146" s="772"/>
      <c r="AK146" s="772"/>
      <c r="AL146" s="772"/>
      <c r="AM146" s="772"/>
      <c r="AN146" s="773"/>
      <c r="AR146" s="766"/>
    </row>
    <row r="147" spans="1:80" ht="14.85" customHeight="1" thickBot="1">
      <c r="AE147" s="771"/>
      <c r="AF147" s="772"/>
      <c r="AG147" s="772"/>
      <c r="AH147" s="772"/>
      <c r="AI147" s="772"/>
      <c r="AJ147" s="772"/>
      <c r="AK147" s="772"/>
      <c r="AL147" s="772"/>
      <c r="AM147" s="772"/>
      <c r="AN147" s="773"/>
      <c r="AR147" s="766"/>
    </row>
    <row r="148" spans="1:80" ht="14.85" customHeight="1" thickBot="1">
      <c r="G148" s="757" t="str">
        <f>'Translate&amp;Prices&amp;Logo'!$O$177</f>
        <v>Szerokość</v>
      </c>
      <c r="H148" s="758">
        <f>Ram_1!AG138</f>
        <v>0</v>
      </c>
      <c r="I148" s="758">
        <f>Ram_1!AH138</f>
        <v>0</v>
      </c>
      <c r="J148" s="759">
        <f>Ram_4!AI30</f>
        <v>0</v>
      </c>
      <c r="K148" s="759">
        <f>Ram_1!AJ138</f>
        <v>0</v>
      </c>
      <c r="L148" s="760">
        <f>Ram_1!AK138</f>
        <v>0</v>
      </c>
      <c r="AE148" s="771"/>
      <c r="AF148" s="772"/>
      <c r="AG148" s="772"/>
      <c r="AH148" s="772"/>
      <c r="AI148" s="772"/>
      <c r="AJ148" s="772"/>
      <c r="AK148" s="772"/>
      <c r="AL148" s="772"/>
      <c r="AM148" s="772"/>
      <c r="AN148" s="773"/>
      <c r="AR148" s="766"/>
    </row>
    <row r="149" spans="1:80" ht="21" customHeight="1">
      <c r="AE149" s="774"/>
      <c r="AF149" s="775"/>
      <c r="AG149" s="775"/>
      <c r="AH149" s="775"/>
      <c r="AI149" s="775"/>
      <c r="AJ149" s="775"/>
      <c r="AK149" s="775"/>
      <c r="AL149" s="775"/>
      <c r="AM149" s="775"/>
      <c r="AN149" s="776"/>
      <c r="AR149" s="766"/>
    </row>
    <row r="150" spans="1:80" ht="14.85" customHeight="1">
      <c r="AR150" s="766"/>
    </row>
    <row r="151" spans="1:80" ht="14.85" customHeight="1">
      <c r="AR151" s="766"/>
    </row>
    <row r="152" spans="1:80" ht="14.85" customHeight="1" thickBo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24"/>
      <c r="AF152" s="125"/>
      <c r="AG152" s="18"/>
      <c r="AH152" s="18"/>
      <c r="AI152" s="18"/>
      <c r="AJ152" s="18"/>
      <c r="AK152" s="18"/>
      <c r="AL152" s="18"/>
      <c r="AM152" s="18"/>
      <c r="AN152" s="18"/>
      <c r="AO152" s="18"/>
      <c r="AP152" s="18"/>
      <c r="AQ152" s="18"/>
      <c r="AR152" s="18"/>
    </row>
    <row r="153" spans="1:80" ht="35.1" customHeight="1" thickBot="1">
      <c r="J153" s="121"/>
      <c r="K153" s="121"/>
      <c r="L153" s="121"/>
      <c r="M153" s="121"/>
      <c r="N153" s="121"/>
      <c r="O153" s="121"/>
      <c r="P153" s="121"/>
      <c r="Q153" s="121"/>
      <c r="R153" s="121"/>
      <c r="S153" s="121"/>
      <c r="T153" s="121"/>
      <c r="U153" s="121"/>
      <c r="V153" s="121"/>
      <c r="W153" s="752" t="str">
        <f>'Translate&amp;Prices&amp;Logo'!$O$258</f>
        <v>Numer zamówienia</v>
      </c>
      <c r="X153" s="752"/>
      <c r="Y153" s="752"/>
      <c r="Z153" s="752"/>
      <c r="AA153" s="752"/>
      <c r="AB153" s="239"/>
      <c r="AC153" s="749">
        <f>Ram_5!AS5</f>
        <v>0</v>
      </c>
      <c r="AD153" s="750"/>
      <c r="AE153" s="750"/>
      <c r="AF153" s="750"/>
      <c r="AG153" s="750"/>
      <c r="AH153" s="750"/>
      <c r="AI153" s="750"/>
      <c r="AJ153" s="750"/>
      <c r="AK153" s="750"/>
      <c r="AL153" s="750"/>
      <c r="AM153" s="750"/>
      <c r="AN153" s="750"/>
      <c r="AO153" s="751"/>
      <c r="AR153" s="766" t="s">
        <v>1610</v>
      </c>
    </row>
    <row r="154" spans="1:80" ht="16.350000000000001" customHeight="1">
      <c r="W154" s="748" t="str">
        <f>'Translate&amp;Prices&amp;Logo'!$O$544</f>
        <v>Połączenie 2 profili</v>
      </c>
      <c r="X154" s="748"/>
      <c r="Y154" s="748"/>
      <c r="Z154" s="748"/>
      <c r="AA154" s="748"/>
      <c r="AB154" s="239"/>
      <c r="AC154" s="765" t="str">
        <f>IF(kombinace_5!$H$1=TRUE,"Tak","Nie")</f>
        <v>Nie</v>
      </c>
      <c r="AD154" s="765"/>
      <c r="AE154" s="765"/>
      <c r="AF154" s="765"/>
      <c r="AG154" s="765"/>
      <c r="AH154" s="765"/>
      <c r="AI154" s="765"/>
      <c r="AJ154" s="765"/>
      <c r="AK154" s="765"/>
      <c r="AL154" s="765"/>
      <c r="AM154" s="765"/>
      <c r="AN154" s="765"/>
      <c r="AO154" s="765"/>
      <c r="AR154" s="766"/>
    </row>
    <row r="155" spans="1:80" ht="16.350000000000001" customHeight="1">
      <c r="W155" s="748" t="str">
        <f>'Translate&amp;Prices&amp;Logo'!$O$174</f>
        <v>Rodzaj profilu</v>
      </c>
      <c r="X155" s="748"/>
      <c r="Y155" s="748"/>
      <c r="Z155" s="748"/>
      <c r="AA155" s="748"/>
      <c r="AB155" s="239"/>
      <c r="AC155" s="747">
        <f>IFERROR(VLOOKUP(Ram_5!$H$8,'Translate&amp;Prices&amp;Logo'!$AA$1:$AB$456,2,0),Ram_5!$H$8)</f>
        <v>0</v>
      </c>
      <c r="AD155" s="747"/>
      <c r="AE155" s="747"/>
      <c r="AF155" s="747"/>
      <c r="AG155" s="747"/>
      <c r="AH155" s="747"/>
      <c r="AI155" s="747"/>
      <c r="AJ155" s="747"/>
      <c r="AK155" s="747"/>
      <c r="AL155" s="747"/>
      <c r="AM155" s="747"/>
      <c r="AN155" s="747"/>
      <c r="AO155" s="747"/>
      <c r="AR155" s="766"/>
    </row>
    <row r="156" spans="1:80" ht="16.350000000000001" customHeight="1">
      <c r="W156" s="748" t="str">
        <f>'Translate&amp;Prices&amp;Logo'!$O$545</f>
        <v>Szprosy</v>
      </c>
      <c r="X156" s="748"/>
      <c r="Y156" s="748"/>
      <c r="Z156" s="748"/>
      <c r="AA156" s="748"/>
      <c r="AB156" s="239"/>
      <c r="AC156" s="747" t="str">
        <f>IFERROR(VLOOKUP(Ram_5!$AU$10,AU156:AV159,2,0),0)</f>
        <v>Nie</v>
      </c>
      <c r="AD156" s="747"/>
      <c r="AE156" s="747"/>
      <c r="AF156" s="747"/>
      <c r="AG156" s="747"/>
      <c r="AH156" s="747"/>
      <c r="AI156" s="747"/>
      <c r="AJ156" s="747"/>
      <c r="AK156" s="747"/>
      <c r="AL156" s="747"/>
      <c r="AM156" s="747"/>
      <c r="AN156" s="747"/>
      <c r="AO156" s="747"/>
      <c r="AR156" s="766"/>
      <c r="AU156">
        <v>0</v>
      </c>
      <c r="AV156" t="str">
        <f>'Translate&amp;Prices&amp;Logo'!$O$559</f>
        <v>Nie</v>
      </c>
      <c r="AZ156">
        <v>2</v>
      </c>
      <c r="BA156" t="str">
        <f>'Translate&amp;Prices&amp;Logo'!$O$553</f>
        <v>Zawiasy</v>
      </c>
      <c r="BX156" s="1">
        <v>1</v>
      </c>
      <c r="BY156" s="1" t="str">
        <f>'Translate&amp;Prices&amp;Logo'!$O$102</f>
        <v>Bez modyfikacji</v>
      </c>
      <c r="CA156"/>
      <c r="CB156"/>
    </row>
    <row r="157" spans="1:80" ht="16.350000000000001" customHeight="1">
      <c r="W157" s="126"/>
      <c r="X157" s="126"/>
      <c r="Y157" s="126"/>
      <c r="Z157" s="126"/>
      <c r="AA157" s="126"/>
      <c r="AB157" s="239"/>
      <c r="AC157" s="767" t="str">
        <f>'Translate&amp;Prices&amp;Logo'!$O$560</f>
        <v>Poziomo (termin dostawy 4 tygodnie)</v>
      </c>
      <c r="AD157" s="767"/>
      <c r="AE157" s="767"/>
      <c r="AF157" s="767"/>
      <c r="AG157" s="767"/>
      <c r="AH157" s="767"/>
      <c r="AI157" s="767"/>
      <c r="AJ157" s="767" t="str">
        <f>'Translate&amp;Prices&amp;Logo'!$O$561</f>
        <v>Pionowo (termin dostawy 4 tygodnie)</v>
      </c>
      <c r="AK157" s="767"/>
      <c r="AL157" s="767"/>
      <c r="AM157" s="767"/>
      <c r="AN157" s="767"/>
      <c r="AO157" s="767"/>
      <c r="AR157" s="766"/>
      <c r="AU157">
        <v>1</v>
      </c>
      <c r="AV157" t="str">
        <f>'Translate&amp;Prices&amp;Logo'!$O$560</f>
        <v>Poziomo (termin dostawy 4 tygodnie)</v>
      </c>
      <c r="AZ157">
        <v>3</v>
      </c>
      <c r="BA157" t="str">
        <f>'Translate&amp;Prices&amp;Logo'!$O$554</f>
        <v>Podnośniki</v>
      </c>
      <c r="BX157" s="1">
        <v>2</v>
      </c>
      <c r="BY157" s="1" t="str">
        <f>'Translate&amp;Prices&amp;Logo'!$O$103</f>
        <v>Hartowane</v>
      </c>
      <c r="CA157"/>
      <c r="CB157"/>
    </row>
    <row r="158" spans="1:80" ht="16.350000000000001" customHeight="1">
      <c r="W158" s="748" t="str">
        <f>('Translate&amp;Prices&amp;Logo'!$O$545)&amp;" "&amp;"("&amp;'Translate&amp;Prices&amp;Logo'!$O$176&amp;")"</f>
        <v>Szprosy (Ilość sztuk)</v>
      </c>
      <c r="X158" s="748"/>
      <c r="Y158" s="748"/>
      <c r="Z158" s="748"/>
      <c r="AA158" s="748"/>
      <c r="AB158" s="481"/>
      <c r="AC158" s="747">
        <f>Ram_5!$H$11</f>
        <v>0</v>
      </c>
      <c r="AD158" s="747"/>
      <c r="AE158" s="747"/>
      <c r="AF158" s="747"/>
      <c r="AG158" s="747"/>
      <c r="AH158" s="747"/>
      <c r="AI158" s="747"/>
      <c r="AJ158" s="747">
        <f>Ram_5!$M$11</f>
        <v>0</v>
      </c>
      <c r="AK158" s="747"/>
      <c r="AL158" s="747"/>
      <c r="AM158" s="747"/>
      <c r="AN158" s="747"/>
      <c r="AO158" s="747"/>
      <c r="AR158" s="766"/>
      <c r="AU158">
        <v>2</v>
      </c>
      <c r="AV158" t="str">
        <f>'Translate&amp;Prices&amp;Logo'!$O$561</f>
        <v>Pionowo (termin dostawy 4 tygodnie)</v>
      </c>
      <c r="BX158" s="1">
        <v>3</v>
      </c>
      <c r="BY158" s="1" t="str">
        <f>'Translate&amp;Prices&amp;Logo'!$O$104</f>
        <v>Folia</v>
      </c>
      <c r="CA158"/>
      <c r="CB158"/>
    </row>
    <row r="159" spans="1:80" ht="16.350000000000001" customHeight="1">
      <c r="W159" s="748" t="str">
        <f>'Translate&amp;Prices&amp;Logo'!$O$260</f>
        <v>Typ okucia</v>
      </c>
      <c r="X159" s="748"/>
      <c r="Y159" s="748"/>
      <c r="Z159" s="748"/>
      <c r="AA159" s="748"/>
      <c r="AB159" s="239"/>
      <c r="AC159" s="747">
        <f>IFERROR(VLOOKUP(Ram_5!$AU$9,AZ156:BA157,2,0),0)</f>
        <v>0</v>
      </c>
      <c r="AD159" s="747"/>
      <c r="AE159" s="747"/>
      <c r="AF159" s="747"/>
      <c r="AG159" s="747"/>
      <c r="AH159" s="747"/>
      <c r="AI159" s="747"/>
      <c r="AJ159" s="747"/>
      <c r="AK159" s="747"/>
      <c r="AL159" s="747"/>
      <c r="AM159" s="747"/>
      <c r="AN159" s="747"/>
      <c r="AO159" s="747"/>
      <c r="AR159" s="766"/>
      <c r="AU159">
        <v>3</v>
      </c>
      <c r="AV159" t="str">
        <f>'Translate&amp;Prices&amp;Logo'!$O$562</f>
        <v>Poziomo i pionowo (termin dostawy 4 tygodnie)</v>
      </c>
      <c r="CA159"/>
      <c r="CB159"/>
    </row>
    <row r="160" spans="1:80" ht="16.350000000000001" customHeight="1">
      <c r="W160" s="748" t="str">
        <f>'Translate&amp;Prices&amp;Logo'!$O$546</f>
        <v>Marka okucia</v>
      </c>
      <c r="X160" s="748"/>
      <c r="Y160" s="748"/>
      <c r="Z160" s="748"/>
      <c r="AA160" s="748"/>
      <c r="AB160" s="239"/>
      <c r="AC160" s="747">
        <f>Ram_5!$H$13</f>
        <v>0</v>
      </c>
      <c r="AD160" s="747"/>
      <c r="AE160" s="747"/>
      <c r="AF160" s="747"/>
      <c r="AG160" s="747"/>
      <c r="AH160" s="747"/>
      <c r="AI160" s="747"/>
      <c r="AJ160" s="747"/>
      <c r="AK160" s="747"/>
      <c r="AL160" s="747"/>
      <c r="AM160" s="747"/>
      <c r="AN160" s="747"/>
      <c r="AO160" s="747"/>
      <c r="AR160" s="766"/>
      <c r="CA160"/>
      <c r="CB160"/>
    </row>
    <row r="161" spans="19:80" ht="16.350000000000001" customHeight="1" thickBot="1">
      <c r="W161" s="748" t="str">
        <f>'Translate&amp;Prices&amp;Logo'!$O$548</f>
        <v>Nałożenie</v>
      </c>
      <c r="X161" s="748"/>
      <c r="Y161" s="748"/>
      <c r="Z161" s="748"/>
      <c r="AA161" s="748"/>
      <c r="AB161" s="239"/>
      <c r="AC161" s="747">
        <f>IFERROR(VLOOKUP(Ram_5!$H$14,$BD$12:$BE$29,2,0),0)</f>
        <v>0</v>
      </c>
      <c r="AD161" s="747"/>
      <c r="AE161" s="747"/>
      <c r="AF161" s="747"/>
      <c r="AG161" s="747"/>
      <c r="AH161" s="747"/>
      <c r="AI161" s="747"/>
      <c r="AJ161" s="747"/>
      <c r="AK161" s="747"/>
      <c r="AL161" s="747"/>
      <c r="AM161" s="747"/>
      <c r="AN161" s="747"/>
      <c r="AO161" s="747"/>
      <c r="AR161" s="766"/>
      <c r="CA161"/>
      <c r="CB161"/>
    </row>
    <row r="162" spans="19:80" ht="16.350000000000001" customHeight="1">
      <c r="S162" s="761">
        <f>Ram_5!AR14</f>
        <v>0</v>
      </c>
      <c r="W162" s="748" t="str">
        <f>'Translate&amp;Prices&amp;Logo'!$O$547</f>
        <v>Wariant okucia</v>
      </c>
      <c r="X162" s="748"/>
      <c r="Y162" s="748"/>
      <c r="Z162" s="748"/>
      <c r="AA162" s="748"/>
      <c r="AB162" s="239"/>
      <c r="AC162" s="777">
        <f>IFERROR(VLOOKUP(Ram_5!$H$15,kombinace_1!$ED$2:$EE$758,2,0),Ram_5!$H$15)</f>
        <v>0</v>
      </c>
      <c r="AD162" s="777"/>
      <c r="AE162" s="777"/>
      <c r="AF162" s="777"/>
      <c r="AG162" s="777"/>
      <c r="AH162" s="777"/>
      <c r="AI162" s="777"/>
      <c r="AJ162" s="777" t="str">
        <f>IF(AC162='Translate&amp;Prices&amp;Logo'!C700,VLOOKUP(Ram_5!H17,'Translate&amp;Prices&amp;Logo'!C701:D748,2,0),"")</f>
        <v/>
      </c>
      <c r="AK162" s="777"/>
      <c r="AL162" s="777"/>
      <c r="AM162" s="777"/>
      <c r="AN162" s="777"/>
      <c r="AO162" s="777"/>
      <c r="AR162" s="766"/>
      <c r="CA162"/>
      <c r="CB162"/>
    </row>
    <row r="163" spans="19:80" ht="16.350000000000001" customHeight="1">
      <c r="S163" s="762">
        <f>Ram_1!AR159</f>
        <v>0</v>
      </c>
      <c r="W163" s="748" t="str">
        <f>'Translate&amp;Prices&amp;Logo'!$O$220</f>
        <v>Wybierz pozycję ramki</v>
      </c>
      <c r="X163" s="748"/>
      <c r="Y163" s="748"/>
      <c r="Z163" s="748"/>
      <c r="AA163" s="748"/>
      <c r="AB163" s="747">
        <f>IFERROR(VLOOKUP(Ram_5!$F$16,BI12:BJ23,2,0),0)</f>
        <v>0</v>
      </c>
      <c r="AC163" s="747"/>
      <c r="AD163" s="747"/>
      <c r="AE163" s="747"/>
      <c r="AF163" s="747"/>
      <c r="AG163" s="778" t="str">
        <f>'Translate&amp;Prices&amp;Logo'!$O$234</f>
        <v>Rodzaj drugiej ramki</v>
      </c>
      <c r="AH163" s="778"/>
      <c r="AI163" s="778"/>
      <c r="AJ163" s="747">
        <f>IFERROR(VLOOKUP(Ram_5!$N$16,BM12:BN41,2,0),0)</f>
        <v>0</v>
      </c>
      <c r="AK163" s="747"/>
      <c r="AL163" s="747"/>
      <c r="AM163" s="747"/>
      <c r="AN163" s="747"/>
      <c r="AO163" s="747"/>
      <c r="AR163" s="766"/>
      <c r="CA163"/>
      <c r="CB163"/>
    </row>
    <row r="164" spans="19:80" ht="16.350000000000001" customHeight="1">
      <c r="S164" s="762">
        <f>Ram_1!AR160</f>
        <v>0</v>
      </c>
      <c r="W164" s="748" t="str">
        <f>IF(AC159='Translate&amp;Prices&amp;Logo'!O553,'Translate&amp;Prices&amp;Logo'!O240,'Translate&amp;Prices&amp;Logo'!$O$228)</f>
        <v>Umieszczenie</v>
      </c>
      <c r="X164" s="748"/>
      <c r="Y164" s="748"/>
      <c r="Z164" s="748"/>
      <c r="AA164" s="748"/>
      <c r="AB164" s="239"/>
      <c r="AC164" s="747" t="str">
        <f>IFERROR((IF(Ram_5!H12='Translate&amp;Prices&amp;Logo'!B554,VLOOKUP(Ram_5!$N$16,BM42:BN71,2,0),VLOOKUP(Ram_5!$H$17,BM42:BN65,2,0))),"")</f>
        <v/>
      </c>
      <c r="AD164" s="747"/>
      <c r="AE164" s="747"/>
      <c r="AF164" s="747"/>
      <c r="AG164" s="747"/>
      <c r="AH164" s="747"/>
      <c r="AI164" s="747"/>
      <c r="AJ164" s="747"/>
      <c r="AK164" s="747"/>
      <c r="AL164" s="747"/>
      <c r="AM164" s="747"/>
      <c r="AN164" s="747"/>
      <c r="AO164" s="747"/>
      <c r="AR164" s="766"/>
      <c r="CA164"/>
      <c r="CB164"/>
    </row>
    <row r="165" spans="19:80" ht="16.350000000000001" customHeight="1">
      <c r="S165" s="762">
        <f>Ram_1!AR161</f>
        <v>0</v>
      </c>
      <c r="W165" s="753" t="str">
        <f>IF(Ram_5!AU9=3,'Translate&amp;Prices&amp;Logo'!$O$549,"")</f>
        <v/>
      </c>
      <c r="X165" s="753"/>
      <c r="Y165" s="753"/>
      <c r="Z165" s="753"/>
      <c r="AA165" s="753"/>
      <c r="AB165" s="239"/>
      <c r="AC165" s="747">
        <f>IFERROR((VLOOKUP(Ram_5!$H$18,$CK$2:$CL$90,2,0)),Ram_5!$H$18)</f>
        <v>0</v>
      </c>
      <c r="AD165" s="747"/>
      <c r="AE165" s="747"/>
      <c r="AF165" s="747"/>
      <c r="AG165" s="747"/>
      <c r="AH165" s="747"/>
      <c r="AI165" s="747"/>
      <c r="AJ165" s="747"/>
      <c r="AK165" s="747"/>
      <c r="AL165" s="747"/>
      <c r="AM165" s="747"/>
      <c r="AN165" s="747"/>
      <c r="AO165" s="747"/>
      <c r="AR165" s="766"/>
      <c r="CA165"/>
      <c r="CB165"/>
    </row>
    <row r="166" spans="19:80" ht="16.350000000000001" customHeight="1">
      <c r="S166" s="762">
        <f>Ram_1!AR162</f>
        <v>0</v>
      </c>
      <c r="W166" s="748" t="str">
        <f>'Translate&amp;Prices&amp;Logo'!$O$225</f>
        <v>Ilość zawiasów na 1 ramkę</v>
      </c>
      <c r="X166" s="748"/>
      <c r="Y166" s="748"/>
      <c r="Z166" s="748"/>
      <c r="AA166" s="748"/>
      <c r="AB166" s="481"/>
      <c r="AC166" s="747">
        <f>Ram_5!$H$19</f>
        <v>0</v>
      </c>
      <c r="AD166" s="747"/>
      <c r="AE166" s="747"/>
      <c r="AF166" s="747"/>
      <c r="AG166" s="747"/>
      <c r="AH166" s="747"/>
      <c r="AI166" s="747"/>
      <c r="AJ166" s="747"/>
      <c r="AK166" s="747"/>
      <c r="AL166" s="747"/>
      <c r="AM166" s="747"/>
      <c r="AN166" s="747"/>
      <c r="AO166" s="747"/>
      <c r="AR166" s="766"/>
      <c r="CA166"/>
      <c r="CB166"/>
    </row>
    <row r="167" spans="19:80" ht="16.350000000000001" customHeight="1">
      <c r="S167" s="763" t="str">
        <f>'Translate&amp;Prices&amp;Logo'!$O$178</f>
        <v>Wysokość</v>
      </c>
      <c r="W167" s="748" t="str">
        <f>IFERROR(VLOOKUP(Ram_5!H17,kombinace_5!BY32:CD35,5,0),"")</f>
        <v/>
      </c>
      <c r="X167" s="748"/>
      <c r="Y167" s="748"/>
      <c r="Z167" s="748"/>
      <c r="AA167" s="748"/>
      <c r="AB167" s="747">
        <f>Ram_5!$F$20</f>
        <v>100</v>
      </c>
      <c r="AC167" s="747"/>
      <c r="AD167" s="747"/>
      <c r="AE167" s="747"/>
      <c r="AF167" s="747"/>
      <c r="AG167" s="748" t="str">
        <f>IFERROR(VLOOKUP(Ram_5!H17,kombinace_5!$BY$32:$CD$35,6,0),"")</f>
        <v/>
      </c>
      <c r="AH167" s="748"/>
      <c r="AI167" s="748"/>
      <c r="AJ167" s="748"/>
      <c r="AK167" s="748"/>
      <c r="AL167" s="747">
        <f>Ram_5!$N$20</f>
        <v>100</v>
      </c>
      <c r="AM167" s="747"/>
      <c r="AN167" s="747"/>
      <c r="AO167" s="747"/>
      <c r="AR167" s="766"/>
      <c r="CA167"/>
      <c r="CB167"/>
    </row>
    <row r="168" spans="19:80" ht="16.350000000000001" customHeight="1">
      <c r="S168" s="763">
        <f>Ram_1!AR164</f>
        <v>0</v>
      </c>
      <c r="W168" s="243" t="str">
        <f>'Translate&amp;Prices&amp;Logo'!$O$655</f>
        <v>Wypełnienie z siatki</v>
      </c>
      <c r="X168" s="126"/>
      <c r="Y168" s="126"/>
      <c r="Z168" s="126"/>
      <c r="AA168" s="126"/>
      <c r="AB168" s="239"/>
      <c r="AC168" s="746" t="str">
        <f>IF(kombinace_5!FC2=TRUE,"Tak","Nie")</f>
        <v>Nie</v>
      </c>
      <c r="AD168" s="746"/>
      <c r="AE168" s="746"/>
      <c r="AF168" s="746"/>
      <c r="AG168" s="746"/>
      <c r="AH168" s="746"/>
      <c r="AI168" s="746"/>
      <c r="AJ168" s="746"/>
      <c r="AK168" s="746"/>
      <c r="AL168" s="746"/>
      <c r="AM168" s="746"/>
      <c r="AN168" s="746"/>
      <c r="AO168" s="746"/>
      <c r="AR168" s="766"/>
      <c r="CA168"/>
      <c r="CB168"/>
    </row>
    <row r="169" spans="19:80" ht="16.350000000000001" customHeight="1">
      <c r="S169" s="763">
        <f>Ram_1!AR165</f>
        <v>0</v>
      </c>
      <c r="W169" s="748" t="str">
        <f>'Translate&amp;Prices&amp;Logo'!$O$175</f>
        <v>Rodzaj szkła</v>
      </c>
      <c r="X169" s="748"/>
      <c r="Y169" s="748"/>
      <c r="Z169" s="748"/>
      <c r="AA169" s="748"/>
      <c r="AB169" s="239"/>
      <c r="AC169" s="747" t="str">
        <f>IFERROR(VLOOKUP(kombinace_5!$V$1,BX156:BY158,2,0),0)</f>
        <v>Bez modyfikacji</v>
      </c>
      <c r="AD169" s="747"/>
      <c r="AE169" s="747"/>
      <c r="AF169" s="747"/>
      <c r="AG169" s="747"/>
      <c r="AH169" s="747"/>
      <c r="AI169" s="747"/>
      <c r="AJ169" s="747"/>
      <c r="AK169" s="747"/>
      <c r="AL169" s="747"/>
      <c r="AM169" s="747"/>
      <c r="AN169" s="747"/>
      <c r="AO169" s="747"/>
      <c r="AR169" s="766"/>
      <c r="CA169"/>
      <c r="CB169"/>
    </row>
    <row r="170" spans="19:80" ht="16.350000000000001" customHeight="1">
      <c r="S170" s="763">
        <f>Ram_1!AR166</f>
        <v>0</v>
      </c>
      <c r="W170" s="748" t="str">
        <f>'Translate&amp;Prices&amp;Logo'!$O$564</f>
        <v>Rodzaj folii</v>
      </c>
      <c r="X170" s="748"/>
      <c r="Y170" s="748"/>
      <c r="Z170" s="748"/>
      <c r="AA170" s="748"/>
      <c r="AB170" s="239"/>
      <c r="AC170" s="747">
        <f>IFERROR(VLOOKUP(Ram_5!$H$24,CA12:CB29,2,0),0)</f>
        <v>0</v>
      </c>
      <c r="AD170" s="747"/>
      <c r="AE170" s="747"/>
      <c r="AF170" s="747"/>
      <c r="AG170" s="747"/>
      <c r="AH170" s="747"/>
      <c r="AI170" s="747"/>
      <c r="AJ170" s="747"/>
      <c r="AK170" s="747"/>
      <c r="AL170" s="747"/>
      <c r="AM170" s="747"/>
      <c r="AN170" s="747"/>
      <c r="AO170" s="747"/>
      <c r="AR170" s="766"/>
      <c r="CA170"/>
      <c r="CB170"/>
    </row>
    <row r="171" spans="19:80" ht="16.350000000000001" customHeight="1" thickBot="1">
      <c r="S171" s="764">
        <f>Ram_1!AR167</f>
        <v>0</v>
      </c>
      <c r="W171" s="748" t="str">
        <f>'Translate&amp;Prices&amp;Logo'!$O$175</f>
        <v>Rodzaj szkła</v>
      </c>
      <c r="X171" s="748"/>
      <c r="Y171" s="748"/>
      <c r="Z171" s="748"/>
      <c r="AA171" s="748"/>
      <c r="AB171" s="239"/>
      <c r="AC171" s="747">
        <f>IFERROR(VLOOKUP(Ram_5!$H$25,'Translate&amp;Prices&amp;Logo'!$AH$1:$AI$167,2,0),Ram_5!$H$25)</f>
        <v>0</v>
      </c>
      <c r="AD171" s="747"/>
      <c r="AE171" s="747"/>
      <c r="AF171" s="747"/>
      <c r="AG171" s="747"/>
      <c r="AH171" s="747"/>
      <c r="AI171" s="747"/>
      <c r="AJ171" s="747"/>
      <c r="AK171" s="747"/>
      <c r="AL171" s="747"/>
      <c r="AM171" s="747"/>
      <c r="AN171" s="747"/>
      <c r="AO171" s="747"/>
      <c r="AR171" s="766"/>
    </row>
    <row r="172" spans="19:80" ht="16.350000000000001" customHeight="1">
      <c r="W172" s="748" t="str">
        <f>'Translate&amp;Prices&amp;Logo'!$O$551</f>
        <v>Rozstaw uchwytu (mm)</v>
      </c>
      <c r="X172" s="748"/>
      <c r="Y172" s="748"/>
      <c r="Z172" s="748"/>
      <c r="AA172" s="748"/>
      <c r="AB172" s="239"/>
      <c r="AC172" s="747">
        <f>Ram_5!$H$26</f>
        <v>0</v>
      </c>
      <c r="AD172" s="747"/>
      <c r="AE172" s="747"/>
      <c r="AF172" s="747"/>
      <c r="AG172" s="747"/>
      <c r="AH172" s="747"/>
      <c r="AI172" s="747"/>
      <c r="AJ172" s="747"/>
      <c r="AK172" s="747"/>
      <c r="AL172" s="747"/>
      <c r="AM172" s="747"/>
      <c r="AN172" s="747"/>
      <c r="AO172" s="747"/>
      <c r="AR172" s="766"/>
    </row>
    <row r="173" spans="19:80" ht="16.350000000000001" customHeight="1">
      <c r="W173" s="748" t="str">
        <f>'Translate&amp;Prices&amp;Logo'!$O$552</f>
        <v>Umieszczenie uchwytu</v>
      </c>
      <c r="X173" s="748"/>
      <c r="Y173" s="748"/>
      <c r="Z173" s="748"/>
      <c r="AA173" s="748"/>
      <c r="AB173" s="239"/>
      <c r="AC173" s="747">
        <f>IFERROR(VLOOKUP(Ram_5!$H$27,BM42:BN65,2,0),0)</f>
        <v>0</v>
      </c>
      <c r="AD173" s="747"/>
      <c r="AE173" s="747"/>
      <c r="AF173" s="747"/>
      <c r="AG173" s="747"/>
      <c r="AH173" s="747"/>
      <c r="AI173" s="747"/>
      <c r="AJ173" s="747"/>
      <c r="AK173" s="747"/>
      <c r="AL173" s="747"/>
      <c r="AM173" s="747"/>
      <c r="AN173" s="747"/>
      <c r="AO173" s="747"/>
      <c r="AR173" s="766"/>
    </row>
    <row r="174" spans="19:80" ht="16.350000000000001" customHeight="1">
      <c r="W174" s="748" t="str">
        <f>('Translate&amp;Prices&amp;Logo'!$O$176)&amp;" "&amp;"-"&amp;" "&amp;('Translate&amp;Prices&amp;Logo'!$O$171)&amp;" "&amp;" "&amp;5</f>
        <v>Ilość sztuk - Ramka  5</v>
      </c>
      <c r="X174" s="748"/>
      <c r="Y174" s="748"/>
      <c r="Z174" s="748"/>
      <c r="AA174" s="748"/>
      <c r="AB174" s="239"/>
      <c r="AC174" s="747">
        <f>Ram_5!$H$28</f>
        <v>0</v>
      </c>
      <c r="AD174" s="747"/>
      <c r="AE174" s="747"/>
      <c r="AF174" s="747"/>
      <c r="AG174" s="747"/>
      <c r="AH174" s="747"/>
      <c r="AI174" s="747"/>
      <c r="AJ174" s="747"/>
      <c r="AK174" s="747"/>
      <c r="AL174" s="747"/>
      <c r="AM174" s="747"/>
      <c r="AN174" s="747"/>
      <c r="AO174" s="747"/>
      <c r="AR174" s="766"/>
    </row>
    <row r="175" spans="19:80" ht="16.350000000000001" customHeight="1">
      <c r="AE175" s="1"/>
      <c r="AF175" s="1"/>
      <c r="AR175" s="766"/>
    </row>
    <row r="176" spans="19:80" ht="14.85" customHeight="1">
      <c r="AR176" s="766"/>
    </row>
    <row r="177" spans="1:80" ht="14.85" customHeight="1">
      <c r="W177" s="754" t="s">
        <v>1604</v>
      </c>
      <c r="X177" s="754"/>
      <c r="Y177" s="754"/>
      <c r="Z177" s="754"/>
      <c r="AE177" s="754" t="s">
        <v>1605</v>
      </c>
      <c r="AF177" s="754"/>
      <c r="AG177" s="754"/>
      <c r="AH177" s="754"/>
      <c r="AR177" s="766"/>
    </row>
    <row r="178" spans="1:80" ht="14.85" customHeight="1">
      <c r="AE178" s="768"/>
      <c r="AF178" s="769"/>
      <c r="AG178" s="769"/>
      <c r="AH178" s="769"/>
      <c r="AI178" s="769"/>
      <c r="AJ178" s="769"/>
      <c r="AK178" s="769"/>
      <c r="AL178" s="769"/>
      <c r="AM178" s="769"/>
      <c r="AN178" s="770"/>
      <c r="AR178" s="766"/>
    </row>
    <row r="179" spans="1:80" ht="14.85" customHeight="1">
      <c r="AE179" s="771"/>
      <c r="AF179" s="772"/>
      <c r="AG179" s="772"/>
      <c r="AH179" s="772"/>
      <c r="AI179" s="772"/>
      <c r="AJ179" s="772"/>
      <c r="AK179" s="772"/>
      <c r="AL179" s="772"/>
      <c r="AM179" s="772"/>
      <c r="AN179" s="773"/>
      <c r="AR179" s="766"/>
    </row>
    <row r="180" spans="1:80" ht="14.85" customHeight="1">
      <c r="AE180" s="771"/>
      <c r="AF180" s="772"/>
      <c r="AG180" s="772"/>
      <c r="AH180" s="772"/>
      <c r="AI180" s="772"/>
      <c r="AJ180" s="772"/>
      <c r="AK180" s="772"/>
      <c r="AL180" s="772"/>
      <c r="AM180" s="772"/>
      <c r="AN180" s="773"/>
      <c r="AR180" s="766"/>
    </row>
    <row r="181" spans="1:80" ht="14.85" customHeight="1">
      <c r="D181" s="780">
        <f>IF(OR(Ram_5!$AC$25="x",Ram_5!$AJ$26="x",Ram_5!$AC$9="x",Ram_5!$AJ$7="x",Ram_5!$AB$16="x",Ram_5!$AM$23="x",Ram_5!$AN$19="x",Ram_5!$AD$21="x"),'Translate&amp;Prices&amp;Logo'!$B$590,0)</f>
        <v>0</v>
      </c>
      <c r="E181" s="780"/>
      <c r="F181" s="780"/>
      <c r="G181" s="780"/>
      <c r="H181" s="780"/>
      <c r="I181" s="780"/>
      <c r="J181" s="780"/>
      <c r="K181" s="780"/>
      <c r="L181" s="780"/>
      <c r="M181" s="780"/>
      <c r="N181" s="780"/>
      <c r="O181" s="780"/>
      <c r="P181" s="780"/>
      <c r="AE181" s="771"/>
      <c r="AF181" s="772"/>
      <c r="AG181" s="772"/>
      <c r="AH181" s="772"/>
      <c r="AI181" s="772"/>
      <c r="AJ181" s="772"/>
      <c r="AK181" s="772"/>
      <c r="AL181" s="772"/>
      <c r="AM181" s="772"/>
      <c r="AN181" s="773"/>
      <c r="AR181" s="766"/>
    </row>
    <row r="182" spans="1:80" ht="14.85" customHeight="1">
      <c r="AE182" s="771"/>
      <c r="AF182" s="772"/>
      <c r="AG182" s="772"/>
      <c r="AH182" s="772"/>
      <c r="AI182" s="772"/>
      <c r="AJ182" s="772"/>
      <c r="AK182" s="772"/>
      <c r="AL182" s="772"/>
      <c r="AM182" s="772"/>
      <c r="AN182" s="773"/>
      <c r="AR182" s="766"/>
    </row>
    <row r="183" spans="1:80" ht="14.85" customHeight="1" thickBot="1">
      <c r="AE183" s="771"/>
      <c r="AF183" s="772"/>
      <c r="AG183" s="772"/>
      <c r="AH183" s="772"/>
      <c r="AI183" s="772"/>
      <c r="AJ183" s="772"/>
      <c r="AK183" s="772"/>
      <c r="AL183" s="772"/>
      <c r="AM183" s="772"/>
      <c r="AN183" s="773"/>
      <c r="AR183" s="766"/>
    </row>
    <row r="184" spans="1:80" ht="14.85" customHeight="1" thickBot="1">
      <c r="G184" s="757" t="str">
        <f>'Translate&amp;Prices&amp;Logo'!$O$177</f>
        <v>Szerokość</v>
      </c>
      <c r="H184" s="758">
        <f>Ram_1!AG174</f>
        <v>0</v>
      </c>
      <c r="I184" s="758">
        <f>Ram_1!AH174</f>
        <v>0</v>
      </c>
      <c r="J184" s="759">
        <f>Ram_5!AI30</f>
        <v>0</v>
      </c>
      <c r="K184" s="759">
        <f>Ram_1!AJ174</f>
        <v>0</v>
      </c>
      <c r="L184" s="760">
        <f>Ram_1!AK174</f>
        <v>0</v>
      </c>
      <c r="AE184" s="771"/>
      <c r="AF184" s="772"/>
      <c r="AG184" s="772"/>
      <c r="AH184" s="772"/>
      <c r="AI184" s="772"/>
      <c r="AJ184" s="772"/>
      <c r="AK184" s="772"/>
      <c r="AL184" s="772"/>
      <c r="AM184" s="772"/>
      <c r="AN184" s="773"/>
      <c r="AR184" s="766"/>
    </row>
    <row r="185" spans="1:80" ht="21" customHeight="1">
      <c r="AE185" s="774"/>
      <c r="AF185" s="775"/>
      <c r="AG185" s="775"/>
      <c r="AH185" s="775"/>
      <c r="AI185" s="775"/>
      <c r="AJ185" s="775"/>
      <c r="AK185" s="775"/>
      <c r="AL185" s="775"/>
      <c r="AM185" s="775"/>
      <c r="AN185" s="776"/>
      <c r="AR185" s="766"/>
    </row>
    <row r="186" spans="1:80" ht="14.85" customHeight="1">
      <c r="AR186" s="766"/>
    </row>
    <row r="187" spans="1:80" ht="14.85" customHeight="1">
      <c r="AR187" s="766"/>
    </row>
    <row r="188" spans="1:80" ht="14.85" customHeight="1" thickBo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24"/>
      <c r="AF188" s="125"/>
      <c r="AG188" s="18"/>
      <c r="AH188" s="18"/>
      <c r="AI188" s="18"/>
      <c r="AJ188" s="18"/>
      <c r="AK188" s="18"/>
      <c r="AL188" s="18"/>
      <c r="AM188" s="18"/>
      <c r="AN188" s="18"/>
      <c r="AO188" s="18"/>
      <c r="AP188" s="18"/>
      <c r="AQ188" s="18"/>
      <c r="AR188" s="18"/>
    </row>
    <row r="189" spans="1:80" ht="35.1" customHeight="1" thickBot="1">
      <c r="J189" s="121"/>
      <c r="K189" s="121"/>
      <c r="L189" s="121"/>
      <c r="M189" s="121"/>
      <c r="N189" s="121"/>
      <c r="O189" s="121"/>
      <c r="P189" s="121"/>
      <c r="Q189" s="121"/>
      <c r="R189" s="121"/>
      <c r="S189" s="121"/>
      <c r="T189" s="121"/>
      <c r="U189" s="121"/>
      <c r="V189" s="121"/>
      <c r="W189" s="752" t="str">
        <f>'Translate&amp;Prices&amp;Logo'!$O$258</f>
        <v>Numer zamówienia</v>
      </c>
      <c r="X189" s="752"/>
      <c r="Y189" s="752"/>
      <c r="Z189" s="752"/>
      <c r="AA189" s="752"/>
      <c r="AB189" s="239"/>
      <c r="AC189" s="749">
        <f>Ram_6!AS5</f>
        <v>0</v>
      </c>
      <c r="AD189" s="750"/>
      <c r="AE189" s="750"/>
      <c r="AF189" s="750"/>
      <c r="AG189" s="750"/>
      <c r="AH189" s="750"/>
      <c r="AI189" s="750"/>
      <c r="AJ189" s="750"/>
      <c r="AK189" s="750"/>
      <c r="AL189" s="750"/>
      <c r="AM189" s="750"/>
      <c r="AN189" s="750"/>
      <c r="AO189" s="751"/>
      <c r="AR189" s="766" t="s">
        <v>1611</v>
      </c>
    </row>
    <row r="190" spans="1:80" ht="16.350000000000001" customHeight="1">
      <c r="W190" s="748" t="str">
        <f>'Translate&amp;Prices&amp;Logo'!$O$544</f>
        <v>Połączenie 2 profili</v>
      </c>
      <c r="X190" s="748"/>
      <c r="Y190" s="748"/>
      <c r="Z190" s="748"/>
      <c r="AA190" s="748"/>
      <c r="AB190" s="239"/>
      <c r="AC190" s="765" t="str">
        <f>IF(kombinace_6!$H$1=TRUE,"Tak","Nie")</f>
        <v>Nie</v>
      </c>
      <c r="AD190" s="765"/>
      <c r="AE190" s="765"/>
      <c r="AF190" s="765"/>
      <c r="AG190" s="765"/>
      <c r="AH190" s="765"/>
      <c r="AI190" s="765"/>
      <c r="AJ190" s="765"/>
      <c r="AK190" s="765"/>
      <c r="AL190" s="765"/>
      <c r="AM190" s="765"/>
      <c r="AN190" s="765"/>
      <c r="AO190" s="765"/>
      <c r="AR190" s="766"/>
    </row>
    <row r="191" spans="1:80" ht="16.350000000000001" customHeight="1">
      <c r="W191" s="748" t="str">
        <f>'Translate&amp;Prices&amp;Logo'!$O$174</f>
        <v>Rodzaj profilu</v>
      </c>
      <c r="X191" s="748"/>
      <c r="Y191" s="748"/>
      <c r="Z191" s="748"/>
      <c r="AA191" s="748"/>
      <c r="AB191" s="239"/>
      <c r="AC191" s="747">
        <f>IFERROR(VLOOKUP(Ram_6!$H$8,'Translate&amp;Prices&amp;Logo'!$AA$1:$AB$456,2,0),Ram_6!$H$8)</f>
        <v>0</v>
      </c>
      <c r="AD191" s="747"/>
      <c r="AE191" s="747"/>
      <c r="AF191" s="747"/>
      <c r="AG191" s="747"/>
      <c r="AH191" s="747"/>
      <c r="AI191" s="747"/>
      <c r="AJ191" s="747"/>
      <c r="AK191" s="747"/>
      <c r="AL191" s="747"/>
      <c r="AM191" s="747"/>
      <c r="AN191" s="747"/>
      <c r="AO191" s="747"/>
      <c r="AR191" s="766"/>
    </row>
    <row r="192" spans="1:80" ht="16.350000000000001" customHeight="1">
      <c r="W192" s="748" t="str">
        <f>'Translate&amp;Prices&amp;Logo'!$O$545</f>
        <v>Szprosy</v>
      </c>
      <c r="X192" s="748"/>
      <c r="Y192" s="748"/>
      <c r="Z192" s="748"/>
      <c r="AA192" s="748"/>
      <c r="AB192" s="239"/>
      <c r="AC192" s="747" t="str">
        <f>IFERROR(VLOOKUP(Ram_6!$AU$10,AU192:AV195,2,0),0)</f>
        <v>Nie</v>
      </c>
      <c r="AD192" s="747"/>
      <c r="AE192" s="747"/>
      <c r="AF192" s="747"/>
      <c r="AG192" s="747"/>
      <c r="AH192" s="747"/>
      <c r="AI192" s="747"/>
      <c r="AJ192" s="747"/>
      <c r="AK192" s="747"/>
      <c r="AL192" s="747"/>
      <c r="AM192" s="747"/>
      <c r="AN192" s="747"/>
      <c r="AO192" s="747"/>
      <c r="AR192" s="766"/>
      <c r="AU192">
        <v>0</v>
      </c>
      <c r="AV192" t="str">
        <f>'Translate&amp;Prices&amp;Logo'!$O$559</f>
        <v>Nie</v>
      </c>
      <c r="AZ192">
        <v>2</v>
      </c>
      <c r="BA192" t="str">
        <f>'Translate&amp;Prices&amp;Logo'!$O$553</f>
        <v>Zawiasy</v>
      </c>
      <c r="BX192" s="1">
        <v>1</v>
      </c>
      <c r="BY192" s="1" t="str">
        <f>'Translate&amp;Prices&amp;Logo'!$O$102</f>
        <v>Bez modyfikacji</v>
      </c>
      <c r="CA192"/>
      <c r="CB192"/>
    </row>
    <row r="193" spans="19:80" ht="16.350000000000001" customHeight="1">
      <c r="W193" s="126"/>
      <c r="X193" s="126"/>
      <c r="Y193" s="126"/>
      <c r="Z193" s="126"/>
      <c r="AA193" s="126"/>
      <c r="AB193" s="239"/>
      <c r="AC193" s="767" t="str">
        <f>'Translate&amp;Prices&amp;Logo'!$O$560</f>
        <v>Poziomo (termin dostawy 4 tygodnie)</v>
      </c>
      <c r="AD193" s="767"/>
      <c r="AE193" s="767"/>
      <c r="AF193" s="767"/>
      <c r="AG193" s="767"/>
      <c r="AH193" s="767"/>
      <c r="AI193" s="767"/>
      <c r="AJ193" s="767" t="str">
        <f>'Translate&amp;Prices&amp;Logo'!$O$561</f>
        <v>Pionowo (termin dostawy 4 tygodnie)</v>
      </c>
      <c r="AK193" s="767"/>
      <c r="AL193" s="767"/>
      <c r="AM193" s="767"/>
      <c r="AN193" s="767"/>
      <c r="AO193" s="767"/>
      <c r="AR193" s="766"/>
      <c r="AU193">
        <v>1</v>
      </c>
      <c r="AV193" t="str">
        <f>'Translate&amp;Prices&amp;Logo'!$O$560</f>
        <v>Poziomo (termin dostawy 4 tygodnie)</v>
      </c>
      <c r="AZ193">
        <v>3</v>
      </c>
      <c r="BA193" t="str">
        <f>'Translate&amp;Prices&amp;Logo'!$O$554</f>
        <v>Podnośniki</v>
      </c>
      <c r="BX193" s="1">
        <v>2</v>
      </c>
      <c r="BY193" s="1" t="str">
        <f>'Translate&amp;Prices&amp;Logo'!$O$103</f>
        <v>Hartowane</v>
      </c>
      <c r="CA193"/>
      <c r="CB193"/>
    </row>
    <row r="194" spans="19:80" ht="16.350000000000001" customHeight="1">
      <c r="W194" s="748" t="str">
        <f>('Translate&amp;Prices&amp;Logo'!$O$545)&amp;" "&amp;"("&amp;'Translate&amp;Prices&amp;Logo'!$O$176&amp;")"</f>
        <v>Szprosy (Ilość sztuk)</v>
      </c>
      <c r="X194" s="748"/>
      <c r="Y194" s="748"/>
      <c r="Z194" s="748"/>
      <c r="AA194" s="748"/>
      <c r="AB194" s="481"/>
      <c r="AC194" s="747">
        <f>Ram_6!$H$11</f>
        <v>0</v>
      </c>
      <c r="AD194" s="747"/>
      <c r="AE194" s="747"/>
      <c r="AF194" s="747"/>
      <c r="AG194" s="747"/>
      <c r="AH194" s="747"/>
      <c r="AI194" s="747"/>
      <c r="AJ194" s="747">
        <f>Ram_6!$M$11</f>
        <v>0</v>
      </c>
      <c r="AK194" s="747"/>
      <c r="AL194" s="747"/>
      <c r="AM194" s="747"/>
      <c r="AN194" s="747"/>
      <c r="AO194" s="747"/>
      <c r="AR194" s="766"/>
      <c r="AU194">
        <v>2</v>
      </c>
      <c r="AV194" t="str">
        <f>'Translate&amp;Prices&amp;Logo'!$O$561</f>
        <v>Pionowo (termin dostawy 4 tygodnie)</v>
      </c>
      <c r="BX194" s="1">
        <v>3</v>
      </c>
      <c r="BY194" s="1" t="str">
        <f>'Translate&amp;Prices&amp;Logo'!$O$104</f>
        <v>Folia</v>
      </c>
      <c r="CA194"/>
      <c r="CB194"/>
    </row>
    <row r="195" spans="19:80" ht="16.350000000000001" customHeight="1">
      <c r="W195" s="748" t="str">
        <f>'Translate&amp;Prices&amp;Logo'!$O$260</f>
        <v>Typ okucia</v>
      </c>
      <c r="X195" s="748"/>
      <c r="Y195" s="748"/>
      <c r="Z195" s="748"/>
      <c r="AA195" s="748"/>
      <c r="AB195" s="239"/>
      <c r="AC195" s="747">
        <f>IFERROR(VLOOKUP(Ram_6!$AU$9,AZ192:BA193,2,0),0)</f>
        <v>0</v>
      </c>
      <c r="AD195" s="747"/>
      <c r="AE195" s="747"/>
      <c r="AF195" s="747"/>
      <c r="AG195" s="747"/>
      <c r="AH195" s="747"/>
      <c r="AI195" s="747"/>
      <c r="AJ195" s="747"/>
      <c r="AK195" s="747"/>
      <c r="AL195" s="747"/>
      <c r="AM195" s="747"/>
      <c r="AN195" s="747"/>
      <c r="AO195" s="747"/>
      <c r="AR195" s="766"/>
      <c r="AU195">
        <v>3</v>
      </c>
      <c r="AV195" t="str">
        <f>'Translate&amp;Prices&amp;Logo'!$O$562</f>
        <v>Poziomo i pionowo (termin dostawy 4 tygodnie)</v>
      </c>
      <c r="CA195"/>
      <c r="CB195"/>
    </row>
    <row r="196" spans="19:80" ht="16.350000000000001" customHeight="1">
      <c r="W196" s="748" t="str">
        <f>'Translate&amp;Prices&amp;Logo'!$O$546</f>
        <v>Marka okucia</v>
      </c>
      <c r="X196" s="748"/>
      <c r="Y196" s="748"/>
      <c r="Z196" s="748"/>
      <c r="AA196" s="748"/>
      <c r="AB196" s="239"/>
      <c r="AC196" s="747">
        <f>Ram_6!$H$13</f>
        <v>0</v>
      </c>
      <c r="AD196" s="747"/>
      <c r="AE196" s="747"/>
      <c r="AF196" s="747"/>
      <c r="AG196" s="747"/>
      <c r="AH196" s="747"/>
      <c r="AI196" s="747"/>
      <c r="AJ196" s="747"/>
      <c r="AK196" s="747"/>
      <c r="AL196" s="747"/>
      <c r="AM196" s="747"/>
      <c r="AN196" s="747"/>
      <c r="AO196" s="747"/>
      <c r="AR196" s="766"/>
      <c r="CA196"/>
      <c r="CB196"/>
    </row>
    <row r="197" spans="19:80" ht="16.350000000000001" customHeight="1" thickBot="1">
      <c r="W197" s="748" t="str">
        <f>'Translate&amp;Prices&amp;Logo'!$O$548</f>
        <v>Nałożenie</v>
      </c>
      <c r="X197" s="748"/>
      <c r="Y197" s="748"/>
      <c r="Z197" s="748"/>
      <c r="AA197" s="748"/>
      <c r="AB197" s="239"/>
      <c r="AC197" s="747">
        <f>IFERROR(VLOOKUP(Ram_6!$H$14,$BD$12:$BE$29,2,0),0)</f>
        <v>0</v>
      </c>
      <c r="AD197" s="747"/>
      <c r="AE197" s="747"/>
      <c r="AF197" s="747"/>
      <c r="AG197" s="747"/>
      <c r="AH197" s="747"/>
      <c r="AI197" s="747"/>
      <c r="AJ197" s="747"/>
      <c r="AK197" s="747"/>
      <c r="AL197" s="747"/>
      <c r="AM197" s="747"/>
      <c r="AN197" s="747"/>
      <c r="AO197" s="747"/>
      <c r="AR197" s="766"/>
      <c r="CA197"/>
      <c r="CB197"/>
    </row>
    <row r="198" spans="19:80" ht="16.350000000000001" customHeight="1">
      <c r="S198" s="761">
        <f>Ram_6!AR14</f>
        <v>0</v>
      </c>
      <c r="W198" s="748" t="str">
        <f>'Translate&amp;Prices&amp;Logo'!$O$547</f>
        <v>Wariant okucia</v>
      </c>
      <c r="X198" s="748"/>
      <c r="Y198" s="748"/>
      <c r="Z198" s="748"/>
      <c r="AA198" s="748"/>
      <c r="AB198" s="239"/>
      <c r="AC198" s="777">
        <f>IFERROR(VLOOKUP(Ram_6!$H$15,kombinace_1!$ED$2:$EE$758,2,0),Ram_6!$H$15)</f>
        <v>0</v>
      </c>
      <c r="AD198" s="777"/>
      <c r="AE198" s="777"/>
      <c r="AF198" s="777"/>
      <c r="AG198" s="777"/>
      <c r="AH198" s="777"/>
      <c r="AI198" s="777"/>
      <c r="AJ198" s="777" t="str">
        <f>IF(AC198='Translate&amp;Prices&amp;Logo'!C700,VLOOKUP(Ram_6!H17,'Translate&amp;Prices&amp;Logo'!C701:D748,2,0),"")</f>
        <v/>
      </c>
      <c r="AK198" s="777"/>
      <c r="AL198" s="777"/>
      <c r="AM198" s="777"/>
      <c r="AN198" s="777"/>
      <c r="AO198" s="777"/>
      <c r="AR198" s="766"/>
      <c r="CA198"/>
      <c r="CB198"/>
    </row>
    <row r="199" spans="19:80" ht="16.350000000000001" customHeight="1">
      <c r="S199" s="762">
        <f>Ram_1!AR195</f>
        <v>0</v>
      </c>
      <c r="W199" s="748" t="str">
        <f>'Translate&amp;Prices&amp;Logo'!$O$220</f>
        <v>Wybierz pozycję ramki</v>
      </c>
      <c r="X199" s="748"/>
      <c r="Y199" s="748"/>
      <c r="Z199" s="748"/>
      <c r="AA199" s="748"/>
      <c r="AB199" s="747">
        <f>IFERROR(VLOOKUP(Ram_6!$F$16,BI12:BJ23,2,0),0)</f>
        <v>0</v>
      </c>
      <c r="AC199" s="747"/>
      <c r="AD199" s="747"/>
      <c r="AE199" s="747"/>
      <c r="AF199" s="747"/>
      <c r="AG199" s="778" t="str">
        <f>'Translate&amp;Prices&amp;Logo'!$O$234</f>
        <v>Rodzaj drugiej ramki</v>
      </c>
      <c r="AH199" s="778"/>
      <c r="AI199" s="778"/>
      <c r="AJ199" s="747">
        <f>IFERROR(VLOOKUP(Ram_6!$N$16,BM12:BN41,2,0),0)</f>
        <v>0</v>
      </c>
      <c r="AK199" s="747"/>
      <c r="AL199" s="747"/>
      <c r="AM199" s="747"/>
      <c r="AN199" s="747"/>
      <c r="AO199" s="747"/>
      <c r="AR199" s="766"/>
      <c r="CA199"/>
      <c r="CB199"/>
    </row>
    <row r="200" spans="19:80" ht="16.350000000000001" customHeight="1">
      <c r="S200" s="762">
        <f>Ram_1!AR196</f>
        <v>0</v>
      </c>
      <c r="W200" s="748" t="str">
        <f>IF(AC195='Translate&amp;Prices&amp;Logo'!O553,'Translate&amp;Prices&amp;Logo'!O240,'Translate&amp;Prices&amp;Logo'!$O$228)</f>
        <v>Umieszczenie</v>
      </c>
      <c r="X200" s="748"/>
      <c r="Y200" s="748"/>
      <c r="Z200" s="748"/>
      <c r="AA200" s="748"/>
      <c r="AB200" s="239"/>
      <c r="AC200" s="747" t="str">
        <f>IFERROR((IF(Ram_6!H12='Translate&amp;Prices&amp;Logo'!B554,VLOOKUP(Ram_6!$N$16,BM42:BN71,2,0),VLOOKUP(Ram_6!$H$17,BM42:BN65,2,0))),"")</f>
        <v/>
      </c>
      <c r="AD200" s="747"/>
      <c r="AE200" s="747"/>
      <c r="AF200" s="747"/>
      <c r="AG200" s="747"/>
      <c r="AH200" s="747"/>
      <c r="AI200" s="747"/>
      <c r="AJ200" s="747"/>
      <c r="AK200" s="747"/>
      <c r="AL200" s="747"/>
      <c r="AM200" s="747"/>
      <c r="AN200" s="747"/>
      <c r="AO200" s="747"/>
      <c r="AR200" s="766"/>
      <c r="CA200"/>
      <c r="CB200"/>
    </row>
    <row r="201" spans="19:80" ht="16.350000000000001" customHeight="1">
      <c r="S201" s="762">
        <f>Ram_1!AR197</f>
        <v>0</v>
      </c>
      <c r="W201" s="753" t="str">
        <f>IF(Ram_6!AU9=3,'Translate&amp;Prices&amp;Logo'!$O$549,"")</f>
        <v/>
      </c>
      <c r="X201" s="753"/>
      <c r="Y201" s="753"/>
      <c r="Z201" s="753"/>
      <c r="AA201" s="753"/>
      <c r="AB201" s="239"/>
      <c r="AC201" s="747">
        <f>IFERROR((VLOOKUP(Ram_6!$H$18,$CK$2:$CL$90,2,0)),Ram_6!$H$18)</f>
        <v>0</v>
      </c>
      <c r="AD201" s="747"/>
      <c r="AE201" s="747"/>
      <c r="AF201" s="747"/>
      <c r="AG201" s="747"/>
      <c r="AH201" s="747"/>
      <c r="AI201" s="747"/>
      <c r="AJ201" s="747"/>
      <c r="AK201" s="747"/>
      <c r="AL201" s="747"/>
      <c r="AM201" s="747"/>
      <c r="AN201" s="747"/>
      <c r="AO201" s="747"/>
      <c r="AR201" s="766"/>
      <c r="CA201"/>
      <c r="CB201"/>
    </row>
    <row r="202" spans="19:80" ht="16.350000000000001" customHeight="1">
      <c r="S202" s="762">
        <f>Ram_1!AR198</f>
        <v>0</v>
      </c>
      <c r="W202" s="748" t="str">
        <f>'Translate&amp;Prices&amp;Logo'!$O$225</f>
        <v>Ilość zawiasów na 1 ramkę</v>
      </c>
      <c r="X202" s="748"/>
      <c r="Y202" s="748"/>
      <c r="Z202" s="748"/>
      <c r="AA202" s="748"/>
      <c r="AB202" s="481"/>
      <c r="AC202" s="747">
        <f>Ram_6!$H$19</f>
        <v>0</v>
      </c>
      <c r="AD202" s="747"/>
      <c r="AE202" s="747"/>
      <c r="AF202" s="747"/>
      <c r="AG202" s="747"/>
      <c r="AH202" s="747"/>
      <c r="AI202" s="747"/>
      <c r="AJ202" s="747"/>
      <c r="AK202" s="747"/>
      <c r="AL202" s="747"/>
      <c r="AM202" s="747"/>
      <c r="AN202" s="747"/>
      <c r="AO202" s="747"/>
      <c r="AR202" s="766"/>
      <c r="CA202"/>
      <c r="CB202"/>
    </row>
    <row r="203" spans="19:80" ht="16.350000000000001" customHeight="1">
      <c r="S203" s="763" t="str">
        <f>'Translate&amp;Prices&amp;Logo'!$O$178</f>
        <v>Wysokość</v>
      </c>
      <c r="W203" s="748" t="str">
        <f>IFERROR(VLOOKUP(Ram_6!H17,kombinace_6!BY32:CD35,5,0),"")</f>
        <v/>
      </c>
      <c r="X203" s="748"/>
      <c r="Y203" s="748"/>
      <c r="Z203" s="748"/>
      <c r="AA203" s="748"/>
      <c r="AB203" s="747">
        <f>Ram_6!$F$20</f>
        <v>100</v>
      </c>
      <c r="AC203" s="747"/>
      <c r="AD203" s="747"/>
      <c r="AE203" s="747"/>
      <c r="AF203" s="747"/>
      <c r="AG203" s="748" t="str">
        <f>IFERROR(VLOOKUP(Ram_6!H17,kombinace_6!$BY$32:$CD$35,6,0),"")</f>
        <v/>
      </c>
      <c r="AH203" s="748"/>
      <c r="AI203" s="748"/>
      <c r="AJ203" s="748"/>
      <c r="AK203" s="748"/>
      <c r="AL203" s="747">
        <f>Ram_6!$N$20</f>
        <v>100</v>
      </c>
      <c r="AM203" s="747"/>
      <c r="AN203" s="747"/>
      <c r="AO203" s="747"/>
      <c r="AR203" s="766"/>
      <c r="CA203"/>
      <c r="CB203"/>
    </row>
    <row r="204" spans="19:80" ht="16.350000000000001" customHeight="1">
      <c r="S204" s="763" t="e">
        <f>Ram_1!#REF!</f>
        <v>#REF!</v>
      </c>
      <c r="W204" s="243" t="str">
        <f>'Translate&amp;Prices&amp;Logo'!$O$655</f>
        <v>Wypełnienie z siatki</v>
      </c>
      <c r="X204" s="126"/>
      <c r="Y204" s="126"/>
      <c r="Z204" s="126"/>
      <c r="AA204" s="126"/>
      <c r="AB204" s="481"/>
      <c r="AC204" s="746" t="str">
        <f>IF(kombinace_6!FC2=TRUE,"Tak","Nie")</f>
        <v>Nie</v>
      </c>
      <c r="AD204" s="746"/>
      <c r="AE204" s="746"/>
      <c r="AF204" s="746"/>
      <c r="AG204" s="746"/>
      <c r="AH204" s="746"/>
      <c r="AI204" s="746"/>
      <c r="AJ204" s="746"/>
      <c r="AK204" s="746"/>
      <c r="AL204" s="746"/>
      <c r="AM204" s="746"/>
      <c r="AN204" s="746"/>
      <c r="AO204" s="746"/>
      <c r="AR204" s="766"/>
      <c r="CA204"/>
      <c r="CB204"/>
    </row>
    <row r="205" spans="19:80" ht="16.350000000000001" customHeight="1">
      <c r="S205" s="763" t="e">
        <f>Ram_1!#REF!</f>
        <v>#REF!</v>
      </c>
      <c r="W205" s="748" t="str">
        <f>'Translate&amp;Prices&amp;Logo'!$O$175</f>
        <v>Rodzaj szkła</v>
      </c>
      <c r="X205" s="748"/>
      <c r="Y205" s="748"/>
      <c r="Z205" s="748"/>
      <c r="AA205" s="748"/>
      <c r="AB205" s="481"/>
      <c r="AC205" s="747" t="str">
        <f>IFERROR(VLOOKUP(kombinace_6!$V$1,BX192:BY194,2,0),0)</f>
        <v>Bez modyfikacji</v>
      </c>
      <c r="AD205" s="747"/>
      <c r="AE205" s="747"/>
      <c r="AF205" s="747"/>
      <c r="AG205" s="747"/>
      <c r="AH205" s="747"/>
      <c r="AI205" s="747"/>
      <c r="AJ205" s="747"/>
      <c r="AK205" s="747"/>
      <c r="AL205" s="747"/>
      <c r="AM205" s="747"/>
      <c r="AN205" s="747"/>
      <c r="AO205" s="747"/>
      <c r="AR205" s="766"/>
      <c r="CA205"/>
      <c r="CB205"/>
    </row>
    <row r="206" spans="19:80" ht="16.350000000000001" customHeight="1">
      <c r="S206" s="763" t="e">
        <f>Ram_1!#REF!</f>
        <v>#REF!</v>
      </c>
      <c r="W206" s="748" t="str">
        <f>'Translate&amp;Prices&amp;Logo'!$O$564</f>
        <v>Rodzaj folii</v>
      </c>
      <c r="X206" s="748"/>
      <c r="Y206" s="748"/>
      <c r="Z206" s="748"/>
      <c r="AA206" s="748"/>
      <c r="AB206" s="481"/>
      <c r="AC206" s="747">
        <f>IFERROR(VLOOKUP(Ram_6!$H$24,CA12:CB29,2,0),0)</f>
        <v>0</v>
      </c>
      <c r="AD206" s="747"/>
      <c r="AE206" s="747"/>
      <c r="AF206" s="747"/>
      <c r="AG206" s="747"/>
      <c r="AH206" s="747"/>
      <c r="AI206" s="747"/>
      <c r="AJ206" s="747"/>
      <c r="AK206" s="747"/>
      <c r="AL206" s="747"/>
      <c r="AM206" s="747"/>
      <c r="AN206" s="747"/>
      <c r="AO206" s="747"/>
      <c r="AR206" s="766"/>
      <c r="CA206"/>
      <c r="CB206"/>
    </row>
    <row r="207" spans="19:80" ht="16.350000000000001" customHeight="1" thickBot="1">
      <c r="S207" s="764" t="e">
        <f>Ram_1!#REF!</f>
        <v>#REF!</v>
      </c>
      <c r="W207" s="748" t="str">
        <f>'Translate&amp;Prices&amp;Logo'!$O$175</f>
        <v>Rodzaj szkła</v>
      </c>
      <c r="X207" s="748"/>
      <c r="Y207" s="748"/>
      <c r="Z207" s="748"/>
      <c r="AA207" s="748"/>
      <c r="AB207" s="481"/>
      <c r="AC207" s="747">
        <f>IFERROR(VLOOKUP(Ram_6!$H$25,'Translate&amp;Prices&amp;Logo'!$AH$1:$AI$167,2,0),Ram_6!$H$25)</f>
        <v>0</v>
      </c>
      <c r="AD207" s="747"/>
      <c r="AE207" s="747"/>
      <c r="AF207" s="747"/>
      <c r="AG207" s="747"/>
      <c r="AH207" s="747"/>
      <c r="AI207" s="747"/>
      <c r="AJ207" s="747"/>
      <c r="AK207" s="747"/>
      <c r="AL207" s="747"/>
      <c r="AM207" s="747"/>
      <c r="AN207" s="747"/>
      <c r="AO207" s="747"/>
      <c r="AR207" s="766"/>
    </row>
    <row r="208" spans="19:80" ht="16.350000000000001" customHeight="1">
      <c r="W208" s="748" t="str">
        <f>'Translate&amp;Prices&amp;Logo'!$O$551</f>
        <v>Rozstaw uchwytu (mm)</v>
      </c>
      <c r="X208" s="748"/>
      <c r="Y208" s="748"/>
      <c r="Z208" s="748"/>
      <c r="AA208" s="748"/>
      <c r="AB208" s="481"/>
      <c r="AC208" s="747">
        <f>Ram_6!$H$26</f>
        <v>0</v>
      </c>
      <c r="AD208" s="747"/>
      <c r="AE208" s="747"/>
      <c r="AF208" s="747"/>
      <c r="AG208" s="747"/>
      <c r="AH208" s="747"/>
      <c r="AI208" s="747"/>
      <c r="AJ208" s="747"/>
      <c r="AK208" s="747"/>
      <c r="AL208" s="747"/>
      <c r="AM208" s="747"/>
      <c r="AN208" s="747"/>
      <c r="AO208" s="747"/>
      <c r="AR208" s="766"/>
    </row>
    <row r="209" spans="1:44" ht="16.350000000000001" customHeight="1">
      <c r="W209" s="748" t="str">
        <f>'Translate&amp;Prices&amp;Logo'!$O$552</f>
        <v>Umieszczenie uchwytu</v>
      </c>
      <c r="X209" s="748"/>
      <c r="Y209" s="748"/>
      <c r="Z209" s="748"/>
      <c r="AA209" s="748"/>
      <c r="AB209" s="481"/>
      <c r="AC209" s="747">
        <f>IFERROR(VLOOKUP(Ram_6!$H$27,BM42:BN65,2,0),0)</f>
        <v>0</v>
      </c>
      <c r="AD209" s="747"/>
      <c r="AE209" s="747"/>
      <c r="AF209" s="747"/>
      <c r="AG209" s="747"/>
      <c r="AH209" s="747"/>
      <c r="AI209" s="747"/>
      <c r="AJ209" s="747"/>
      <c r="AK209" s="747"/>
      <c r="AL209" s="747"/>
      <c r="AM209" s="747"/>
      <c r="AN209" s="747"/>
      <c r="AO209" s="747"/>
      <c r="AR209" s="766"/>
    </row>
    <row r="210" spans="1:44" ht="16.350000000000001" customHeight="1">
      <c r="W210" s="748" t="str">
        <f>('Translate&amp;Prices&amp;Logo'!$O$176)&amp;" "&amp;"-"&amp;" "&amp;('Translate&amp;Prices&amp;Logo'!$O$171)&amp;" "&amp;" "&amp;6</f>
        <v>Ilość sztuk - Ramka  6</v>
      </c>
      <c r="X210" s="748"/>
      <c r="Y210" s="748"/>
      <c r="Z210" s="748"/>
      <c r="AA210" s="748"/>
      <c r="AB210" s="481"/>
      <c r="AC210" s="747">
        <f>Ram_6!$H$28</f>
        <v>0</v>
      </c>
      <c r="AD210" s="747"/>
      <c r="AE210" s="747"/>
      <c r="AF210" s="747"/>
      <c r="AG210" s="747"/>
      <c r="AH210" s="747"/>
      <c r="AI210" s="747"/>
      <c r="AJ210" s="747"/>
      <c r="AK210" s="747"/>
      <c r="AL210" s="747"/>
      <c r="AM210" s="747"/>
      <c r="AN210" s="747"/>
      <c r="AO210" s="747"/>
      <c r="AR210" s="766"/>
    </row>
    <row r="211" spans="1:44" ht="16.350000000000001" customHeight="1">
      <c r="AE211" s="1"/>
      <c r="AF211" s="1"/>
      <c r="AR211" s="766"/>
    </row>
    <row r="212" spans="1:44" ht="14.85" customHeight="1">
      <c r="AR212" s="766"/>
    </row>
    <row r="213" spans="1:44" ht="14.85" customHeight="1">
      <c r="W213" s="754" t="s">
        <v>1604</v>
      </c>
      <c r="X213" s="754"/>
      <c r="Y213" s="754"/>
      <c r="Z213" s="754"/>
      <c r="AE213" s="754" t="s">
        <v>1605</v>
      </c>
      <c r="AF213" s="754"/>
      <c r="AG213" s="754"/>
      <c r="AH213" s="754"/>
      <c r="AR213" s="766"/>
    </row>
    <row r="214" spans="1:44" ht="14.85" customHeight="1">
      <c r="AE214" s="768"/>
      <c r="AF214" s="769"/>
      <c r="AG214" s="769"/>
      <c r="AH214" s="769"/>
      <c r="AI214" s="769"/>
      <c r="AJ214" s="769"/>
      <c r="AK214" s="769"/>
      <c r="AL214" s="769"/>
      <c r="AM214" s="769"/>
      <c r="AN214" s="770"/>
      <c r="AR214" s="766"/>
    </row>
    <row r="215" spans="1:44" ht="14.85" customHeight="1">
      <c r="AE215" s="771"/>
      <c r="AF215" s="772"/>
      <c r="AG215" s="772"/>
      <c r="AH215" s="772"/>
      <c r="AI215" s="772"/>
      <c r="AJ215" s="772"/>
      <c r="AK215" s="772"/>
      <c r="AL215" s="772"/>
      <c r="AM215" s="772"/>
      <c r="AN215" s="773"/>
      <c r="AR215" s="766"/>
    </row>
    <row r="216" spans="1:44" ht="14.85" customHeight="1">
      <c r="AE216" s="771"/>
      <c r="AF216" s="772"/>
      <c r="AG216" s="772"/>
      <c r="AH216" s="772"/>
      <c r="AI216" s="772"/>
      <c r="AJ216" s="772"/>
      <c r="AK216" s="772"/>
      <c r="AL216" s="772"/>
      <c r="AM216" s="772"/>
      <c r="AN216" s="773"/>
      <c r="AR216" s="766"/>
    </row>
    <row r="217" spans="1:44" ht="14.85" customHeight="1">
      <c r="D217" s="780">
        <f>IF(OR(Ram_6!$AC$25="x",Ram_6!$AJ$26="x",Ram_6!$AC$9="x",Ram_6!$AJ$7="x",Ram_6!$AB$16="x",Ram_6!$AM$23="x",Ram_6!$AN$19="x",Ram_6!$AD$21="x"),'Translate&amp;Prices&amp;Logo'!$B$590,0)</f>
        <v>0</v>
      </c>
      <c r="E217" s="780"/>
      <c r="F217" s="780"/>
      <c r="G217" s="780"/>
      <c r="H217" s="780"/>
      <c r="I217" s="780"/>
      <c r="J217" s="780"/>
      <c r="K217" s="780"/>
      <c r="L217" s="780"/>
      <c r="M217" s="780"/>
      <c r="N217" s="780"/>
      <c r="O217" s="780"/>
      <c r="P217" s="780"/>
      <c r="AE217" s="771"/>
      <c r="AF217" s="772"/>
      <c r="AG217" s="772"/>
      <c r="AH217" s="772"/>
      <c r="AI217" s="772"/>
      <c r="AJ217" s="772"/>
      <c r="AK217" s="772"/>
      <c r="AL217" s="772"/>
      <c r="AM217" s="772"/>
      <c r="AN217" s="773"/>
      <c r="AR217" s="766"/>
    </row>
    <row r="218" spans="1:44" ht="14.85" customHeight="1">
      <c r="AE218" s="771"/>
      <c r="AF218" s="772"/>
      <c r="AG218" s="772"/>
      <c r="AH218" s="772"/>
      <c r="AI218" s="772"/>
      <c r="AJ218" s="772"/>
      <c r="AK218" s="772"/>
      <c r="AL218" s="772"/>
      <c r="AM218" s="772"/>
      <c r="AN218" s="773"/>
      <c r="AR218" s="766"/>
    </row>
    <row r="219" spans="1:44" ht="14.85" customHeight="1" thickBot="1">
      <c r="AE219" s="771"/>
      <c r="AF219" s="772"/>
      <c r="AG219" s="772"/>
      <c r="AH219" s="772"/>
      <c r="AI219" s="772"/>
      <c r="AJ219" s="772"/>
      <c r="AK219" s="772"/>
      <c r="AL219" s="772"/>
      <c r="AM219" s="772"/>
      <c r="AN219" s="773"/>
      <c r="AR219" s="766"/>
    </row>
    <row r="220" spans="1:44" ht="14.85" customHeight="1" thickBot="1">
      <c r="G220" s="757" t="str">
        <f>'Translate&amp;Prices&amp;Logo'!$O$177</f>
        <v>Szerokość</v>
      </c>
      <c r="H220" s="758" t="e">
        <f>Ram_1!#REF!</f>
        <v>#REF!</v>
      </c>
      <c r="I220" s="758" t="e">
        <f>Ram_1!#REF!</f>
        <v>#REF!</v>
      </c>
      <c r="J220" s="759">
        <f>Ram_6!AI30</f>
        <v>0</v>
      </c>
      <c r="K220" s="759" t="e">
        <f>Ram_1!#REF!</f>
        <v>#REF!</v>
      </c>
      <c r="L220" s="760" t="e">
        <f>Ram_1!#REF!</f>
        <v>#REF!</v>
      </c>
      <c r="AE220" s="771"/>
      <c r="AF220" s="772"/>
      <c r="AG220" s="772"/>
      <c r="AH220" s="772"/>
      <c r="AI220" s="772"/>
      <c r="AJ220" s="772"/>
      <c r="AK220" s="772"/>
      <c r="AL220" s="772"/>
      <c r="AM220" s="772"/>
      <c r="AN220" s="773"/>
      <c r="AR220" s="766"/>
    </row>
    <row r="221" spans="1:44" ht="21" customHeight="1">
      <c r="AE221" s="774"/>
      <c r="AF221" s="775"/>
      <c r="AG221" s="775"/>
      <c r="AH221" s="775"/>
      <c r="AI221" s="775"/>
      <c r="AJ221" s="775"/>
      <c r="AK221" s="775"/>
      <c r="AL221" s="775"/>
      <c r="AM221" s="775"/>
      <c r="AN221" s="776"/>
      <c r="AR221" s="766"/>
    </row>
    <row r="222" spans="1:44" ht="14.85" customHeight="1">
      <c r="AR222" s="766"/>
    </row>
    <row r="223" spans="1:44" ht="14.85" customHeight="1">
      <c r="AR223" s="766"/>
    </row>
    <row r="224" spans="1:44" ht="14.8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24"/>
      <c r="AF224" s="125"/>
      <c r="AG224" s="18"/>
      <c r="AH224" s="18"/>
      <c r="AI224" s="18"/>
      <c r="AJ224" s="18"/>
      <c r="AK224" s="18"/>
      <c r="AL224" s="18"/>
      <c r="AM224" s="18"/>
      <c r="AN224" s="18"/>
      <c r="AO224" s="18"/>
      <c r="AP224" s="18"/>
      <c r="AQ224" s="18"/>
      <c r="AR224" s="18"/>
    </row>
  </sheetData>
  <mergeCells count="360">
    <mergeCell ref="AL1:AN1"/>
    <mergeCell ref="D8:K8"/>
    <mergeCell ref="D5:K5"/>
    <mergeCell ref="D6:K6"/>
    <mergeCell ref="D7:K7"/>
    <mergeCell ref="G112:I112"/>
    <mergeCell ref="J112:L112"/>
    <mergeCell ref="S95:S99"/>
    <mergeCell ref="S54:S58"/>
    <mergeCell ref="X4:AE5"/>
    <mergeCell ref="W95:AA95"/>
    <mergeCell ref="W86:AA86"/>
    <mergeCell ref="AC86:AI86"/>
    <mergeCell ref="G76:I76"/>
    <mergeCell ref="J76:L76"/>
    <mergeCell ref="S90:S94"/>
    <mergeCell ref="W57:AA57"/>
    <mergeCell ref="AC62:AO62"/>
    <mergeCell ref="AJ54:AO54"/>
    <mergeCell ref="AC60:AO60"/>
    <mergeCell ref="AG55:AI55"/>
    <mergeCell ref="AJ55:AO55"/>
    <mergeCell ref="W66:AA66"/>
    <mergeCell ref="AC66:AO66"/>
    <mergeCell ref="AF4:AF5"/>
    <mergeCell ref="G148:I148"/>
    <mergeCell ref="J148:L148"/>
    <mergeCell ref="S126:S130"/>
    <mergeCell ref="S59:S63"/>
    <mergeCell ref="AC174:AO174"/>
    <mergeCell ref="W169:AA169"/>
    <mergeCell ref="AC169:AO169"/>
    <mergeCell ref="W173:AA173"/>
    <mergeCell ref="W171:AA171"/>
    <mergeCell ref="AC172:AO172"/>
    <mergeCell ref="AC171:AO171"/>
    <mergeCell ref="AC168:AO168"/>
    <mergeCell ref="W138:AA138"/>
    <mergeCell ref="AC138:AO138"/>
    <mergeCell ref="AC132:AO132"/>
    <mergeCell ref="AB131:AF131"/>
    <mergeCell ref="AG131:AK131"/>
    <mergeCell ref="AL131:AO131"/>
    <mergeCell ref="W133:AA133"/>
    <mergeCell ref="AC133:AO133"/>
    <mergeCell ref="S131:S135"/>
    <mergeCell ref="W134:AA134"/>
    <mergeCell ref="AC134:AO134"/>
    <mergeCell ref="S162:S166"/>
    <mergeCell ref="AB163:AF163"/>
    <mergeCell ref="AB167:AF167"/>
    <mergeCell ref="AG167:AK167"/>
    <mergeCell ref="W166:AA166"/>
    <mergeCell ref="AC166:AO166"/>
    <mergeCell ref="S167:S171"/>
    <mergeCell ref="W174:AA174"/>
    <mergeCell ref="AG163:AI163"/>
    <mergeCell ref="AJ163:AO163"/>
    <mergeCell ref="J220:L220"/>
    <mergeCell ref="AC207:AO207"/>
    <mergeCell ref="AC189:AO189"/>
    <mergeCell ref="W189:AA189"/>
    <mergeCell ref="W210:AA210"/>
    <mergeCell ref="AC210:AO210"/>
    <mergeCell ref="AC208:AO208"/>
    <mergeCell ref="W209:AA209"/>
    <mergeCell ref="AC209:AO209"/>
    <mergeCell ref="AC202:AO202"/>
    <mergeCell ref="AJ194:AO194"/>
    <mergeCell ref="AC198:AI198"/>
    <mergeCell ref="AJ198:AO198"/>
    <mergeCell ref="AC200:AO200"/>
    <mergeCell ref="W200:AA200"/>
    <mergeCell ref="AC192:AO192"/>
    <mergeCell ref="D217:P217"/>
    <mergeCell ref="W213:Z213"/>
    <mergeCell ref="AE213:AH213"/>
    <mergeCell ref="AE214:AN221"/>
    <mergeCell ref="G220:I220"/>
    <mergeCell ref="W206:AA206"/>
    <mergeCell ref="AC206:AO206"/>
    <mergeCell ref="W207:AA207"/>
    <mergeCell ref="S203:S207"/>
    <mergeCell ref="W203:AA203"/>
    <mergeCell ref="AB203:AF203"/>
    <mergeCell ref="AG203:AK203"/>
    <mergeCell ref="D37:P37"/>
    <mergeCell ref="D73:P73"/>
    <mergeCell ref="D109:P109"/>
    <mergeCell ref="D145:P145"/>
    <mergeCell ref="D181:P181"/>
    <mergeCell ref="G184:I184"/>
    <mergeCell ref="J184:L184"/>
    <mergeCell ref="W159:AA159"/>
    <mergeCell ref="AC159:AO159"/>
    <mergeCell ref="AJ157:AO157"/>
    <mergeCell ref="AC164:AO164"/>
    <mergeCell ref="AC162:AI162"/>
    <mergeCell ref="AJ162:AO162"/>
    <mergeCell ref="W164:AA164"/>
    <mergeCell ref="W162:AA162"/>
    <mergeCell ref="W163:AA163"/>
    <mergeCell ref="S198:S202"/>
    <mergeCell ref="W198:AA198"/>
    <mergeCell ref="W199:AA199"/>
    <mergeCell ref="AC122:AI122"/>
    <mergeCell ref="W208:AA208"/>
    <mergeCell ref="AC20:AI20"/>
    <mergeCell ref="AJ20:AO20"/>
    <mergeCell ref="AB199:AF199"/>
    <mergeCell ref="AC173:AO173"/>
    <mergeCell ref="AE178:AN185"/>
    <mergeCell ref="W172:AA172"/>
    <mergeCell ref="W177:Z177"/>
    <mergeCell ref="W158:AA158"/>
    <mergeCell ref="AC158:AI158"/>
    <mergeCell ref="AJ158:AO158"/>
    <mergeCell ref="W170:AA170"/>
    <mergeCell ref="AC170:AO170"/>
    <mergeCell ref="AC157:AI157"/>
    <mergeCell ref="AE177:AH177"/>
    <mergeCell ref="W122:AA122"/>
    <mergeCell ref="W141:Z141"/>
    <mergeCell ref="W130:AA130"/>
    <mergeCell ref="AC130:AO130"/>
    <mergeCell ref="W131:AA131"/>
    <mergeCell ref="AC136:AO136"/>
    <mergeCell ref="W137:AA137"/>
    <mergeCell ref="AJ121:AO121"/>
    <mergeCell ref="W117:AA117"/>
    <mergeCell ref="AR189:AR223"/>
    <mergeCell ref="W190:AA190"/>
    <mergeCell ref="AC190:AO190"/>
    <mergeCell ref="W191:AA191"/>
    <mergeCell ref="AC191:AO191"/>
    <mergeCell ref="AC193:AI193"/>
    <mergeCell ref="AJ193:AO193"/>
    <mergeCell ref="W194:AA194"/>
    <mergeCell ref="AC195:AO195"/>
    <mergeCell ref="W202:AA202"/>
    <mergeCell ref="W192:AA192"/>
    <mergeCell ref="W201:AA201"/>
    <mergeCell ref="AC201:AO201"/>
    <mergeCell ref="W196:AA196"/>
    <mergeCell ref="AC196:AO196"/>
    <mergeCell ref="W197:AA197"/>
    <mergeCell ref="AC197:AO197"/>
    <mergeCell ref="W195:AA195"/>
    <mergeCell ref="AC194:AI194"/>
    <mergeCell ref="AL203:AO203"/>
    <mergeCell ref="W205:AA205"/>
    <mergeCell ref="AC205:AO205"/>
    <mergeCell ref="AG199:AI199"/>
    <mergeCell ref="AJ199:AO199"/>
    <mergeCell ref="AR153:AR187"/>
    <mergeCell ref="W154:AA154"/>
    <mergeCell ref="AC154:AO154"/>
    <mergeCell ref="W155:AA155"/>
    <mergeCell ref="AC155:AO155"/>
    <mergeCell ref="W165:AA165"/>
    <mergeCell ref="AC160:AO160"/>
    <mergeCell ref="W161:AA161"/>
    <mergeCell ref="AC161:AO161"/>
    <mergeCell ref="W167:AA167"/>
    <mergeCell ref="AC165:AO165"/>
    <mergeCell ref="AL167:AO167"/>
    <mergeCell ref="W160:AA160"/>
    <mergeCell ref="AC156:AO156"/>
    <mergeCell ref="W153:AA153"/>
    <mergeCell ref="AC153:AO153"/>
    <mergeCell ref="W156:AA156"/>
    <mergeCell ref="AC126:AI126"/>
    <mergeCell ref="AJ126:AO126"/>
    <mergeCell ref="AG127:AI127"/>
    <mergeCell ref="AJ127:AO127"/>
    <mergeCell ref="AC135:AO135"/>
    <mergeCell ref="AR117:AR151"/>
    <mergeCell ref="W118:AA118"/>
    <mergeCell ref="AC118:AO118"/>
    <mergeCell ref="W119:AA119"/>
    <mergeCell ref="AC119:AO119"/>
    <mergeCell ref="W120:AA120"/>
    <mergeCell ref="AC120:AO120"/>
    <mergeCell ref="W126:AA126"/>
    <mergeCell ref="W127:AA127"/>
    <mergeCell ref="W128:AA128"/>
    <mergeCell ref="AC128:AO128"/>
    <mergeCell ref="W129:AA129"/>
    <mergeCell ref="AC129:AO129"/>
    <mergeCell ref="AE141:AH141"/>
    <mergeCell ref="AE142:AN149"/>
    <mergeCell ref="W136:AA136"/>
    <mergeCell ref="W135:AA135"/>
    <mergeCell ref="W98:AA98"/>
    <mergeCell ref="AE105:AH105"/>
    <mergeCell ref="AC93:AO93"/>
    <mergeCell ref="AC81:AO81"/>
    <mergeCell ref="AC90:AI90"/>
    <mergeCell ref="AJ90:AO90"/>
    <mergeCell ref="AG91:AI91"/>
    <mergeCell ref="AC137:AO137"/>
    <mergeCell ref="AE106:AN113"/>
    <mergeCell ref="AJ122:AO122"/>
    <mergeCell ref="W123:AA123"/>
    <mergeCell ref="AC123:AO123"/>
    <mergeCell ref="AB127:AF127"/>
    <mergeCell ref="W101:AA101"/>
    <mergeCell ref="AC101:AO101"/>
    <mergeCell ref="W102:AA102"/>
    <mergeCell ref="AC102:AO102"/>
    <mergeCell ref="W105:Z105"/>
    <mergeCell ref="AC117:AO117"/>
    <mergeCell ref="W124:AA124"/>
    <mergeCell ref="AC124:AO124"/>
    <mergeCell ref="W125:AA125"/>
    <mergeCell ref="AC125:AO125"/>
    <mergeCell ref="AC121:AI121"/>
    <mergeCell ref="AC97:AO97"/>
    <mergeCell ref="W99:AA99"/>
    <mergeCell ref="AC99:AO99"/>
    <mergeCell ref="AC98:AO98"/>
    <mergeCell ref="AC96:AO96"/>
    <mergeCell ref="AG95:AK95"/>
    <mergeCell ref="AL95:AO95"/>
    <mergeCell ref="W97:AA97"/>
    <mergeCell ref="AR81:AR115"/>
    <mergeCell ref="W82:AA82"/>
    <mergeCell ref="AC82:AO82"/>
    <mergeCell ref="W83:AA83"/>
    <mergeCell ref="AC83:AO83"/>
    <mergeCell ref="W87:AA87"/>
    <mergeCell ref="AC87:AO87"/>
    <mergeCell ref="W88:AA88"/>
    <mergeCell ref="AC88:AO88"/>
    <mergeCell ref="W89:AA89"/>
    <mergeCell ref="W100:AA100"/>
    <mergeCell ref="AC100:AO100"/>
    <mergeCell ref="W94:AA94"/>
    <mergeCell ref="AC94:AO94"/>
    <mergeCell ref="AC85:AI85"/>
    <mergeCell ref="AJ85:AO85"/>
    <mergeCell ref="W59:AA59"/>
    <mergeCell ref="AG59:AK59"/>
    <mergeCell ref="AL59:AO59"/>
    <mergeCell ref="W61:AA61"/>
    <mergeCell ref="AC61:AO61"/>
    <mergeCell ref="W62:AA62"/>
    <mergeCell ref="W65:AA65"/>
    <mergeCell ref="AC65:AO65"/>
    <mergeCell ref="W63:AA63"/>
    <mergeCell ref="W90:AA90"/>
    <mergeCell ref="W91:AA91"/>
    <mergeCell ref="W93:AA93"/>
    <mergeCell ref="W69:Z69"/>
    <mergeCell ref="AE69:AH69"/>
    <mergeCell ref="AE70:AN77"/>
    <mergeCell ref="AC89:AO89"/>
    <mergeCell ref="W84:AA84"/>
    <mergeCell ref="AC84:AO84"/>
    <mergeCell ref="AB91:AF91"/>
    <mergeCell ref="W92:AA92"/>
    <mergeCell ref="AC92:AO92"/>
    <mergeCell ref="AK91:AO91"/>
    <mergeCell ref="AJ86:AO86"/>
    <mergeCell ref="AR45:AR79"/>
    <mergeCell ref="W46:AA46"/>
    <mergeCell ref="AC46:AO46"/>
    <mergeCell ref="W47:AA47"/>
    <mergeCell ref="AC47:AO47"/>
    <mergeCell ref="W48:AA48"/>
    <mergeCell ref="AC48:AO48"/>
    <mergeCell ref="AC49:AI49"/>
    <mergeCell ref="W58:AA58"/>
    <mergeCell ref="W52:AA52"/>
    <mergeCell ref="AC63:AO63"/>
    <mergeCell ref="AJ49:AO49"/>
    <mergeCell ref="AC50:AI50"/>
    <mergeCell ref="AJ50:AO50"/>
    <mergeCell ref="AC51:AO51"/>
    <mergeCell ref="AC57:AO57"/>
    <mergeCell ref="AC58:AO58"/>
    <mergeCell ref="AC52:AO52"/>
    <mergeCell ref="W53:AA53"/>
    <mergeCell ref="AC53:AO53"/>
    <mergeCell ref="W64:AA64"/>
    <mergeCell ref="AC64:AO64"/>
    <mergeCell ref="W54:AA54"/>
    <mergeCell ref="W55:AA55"/>
    <mergeCell ref="AC14:AI14"/>
    <mergeCell ref="AJ14:AO14"/>
    <mergeCell ref="AR9:AR43"/>
    <mergeCell ref="AC13:AI13"/>
    <mergeCell ref="AC29:AO29"/>
    <mergeCell ref="AC30:AO30"/>
    <mergeCell ref="AL23:AO23"/>
    <mergeCell ref="AB23:AF23"/>
    <mergeCell ref="AC17:AO17"/>
    <mergeCell ref="AC28:AO28"/>
    <mergeCell ref="AE34:AN41"/>
    <mergeCell ref="AB19:AF19"/>
    <mergeCell ref="AC18:AI18"/>
    <mergeCell ref="AC15:AO15"/>
    <mergeCell ref="AC24:AO24"/>
    <mergeCell ref="AC26:AO26"/>
    <mergeCell ref="AC27:AO27"/>
    <mergeCell ref="AE33:AH33"/>
    <mergeCell ref="AC16:AO16"/>
    <mergeCell ref="AJ13:AO13"/>
    <mergeCell ref="AJ18:AO18"/>
    <mergeCell ref="AG23:AK23"/>
    <mergeCell ref="AG19:AI19"/>
    <mergeCell ref="AJ19:AO19"/>
    <mergeCell ref="AB55:AF55"/>
    <mergeCell ref="W56:AA56"/>
    <mergeCell ref="AO1:AR1"/>
    <mergeCell ref="AN2:AR3"/>
    <mergeCell ref="G40:I40"/>
    <mergeCell ref="J40:L40"/>
    <mergeCell ref="S18:S22"/>
    <mergeCell ref="S23:S27"/>
    <mergeCell ref="W10:AA10"/>
    <mergeCell ref="W11:AA11"/>
    <mergeCell ref="W12:AA12"/>
    <mergeCell ref="W15:AA15"/>
    <mergeCell ref="W29:AA29"/>
    <mergeCell ref="W30:AA30"/>
    <mergeCell ref="W27:AA27"/>
    <mergeCell ref="W28:AA28"/>
    <mergeCell ref="W23:AA23"/>
    <mergeCell ref="W25:AA25"/>
    <mergeCell ref="W26:AA26"/>
    <mergeCell ref="W16:AA16"/>
    <mergeCell ref="W17:AA17"/>
    <mergeCell ref="AC10:AO10"/>
    <mergeCell ref="AC11:AO11"/>
    <mergeCell ref="AC12:AO12"/>
    <mergeCell ref="Q7:U7"/>
    <mergeCell ref="A10:B32"/>
    <mergeCell ref="B5:C5"/>
    <mergeCell ref="AC204:AO204"/>
    <mergeCell ref="AC95:AF95"/>
    <mergeCell ref="AC59:AF59"/>
    <mergeCell ref="W51:AA51"/>
    <mergeCell ref="AC45:AO45"/>
    <mergeCell ref="AC9:AO9"/>
    <mergeCell ref="W9:AA9"/>
    <mergeCell ref="W45:AA45"/>
    <mergeCell ref="W81:AA81"/>
    <mergeCell ref="AC21:AO21"/>
    <mergeCell ref="AC22:AO22"/>
    <mergeCell ref="W18:AA18"/>
    <mergeCell ref="W19:AA19"/>
    <mergeCell ref="W20:AA20"/>
    <mergeCell ref="W21:AA21"/>
    <mergeCell ref="W33:Z33"/>
    <mergeCell ref="W50:AA50"/>
    <mergeCell ref="AC25:AO25"/>
    <mergeCell ref="W24:AA24"/>
    <mergeCell ref="W22:AA22"/>
    <mergeCell ref="W14:AA14"/>
  </mergeCells>
  <conditionalFormatting sqref="D37:P37">
    <cfRule type="cellIs" dxfId="134" priority="82" operator="equal">
      <formula>0</formula>
    </cfRule>
  </conditionalFormatting>
  <conditionalFormatting sqref="D73:P73">
    <cfRule type="cellIs" dxfId="133" priority="80" operator="equal">
      <formula>0</formula>
    </cfRule>
  </conditionalFormatting>
  <conditionalFormatting sqref="D109:P109">
    <cfRule type="cellIs" dxfId="132" priority="79" operator="equal">
      <formula>0</formula>
    </cfRule>
  </conditionalFormatting>
  <conditionalFormatting sqref="D145:P145">
    <cfRule type="cellIs" dxfId="131" priority="78" operator="equal">
      <formula>0</formula>
    </cfRule>
  </conditionalFormatting>
  <conditionalFormatting sqref="D181:P181">
    <cfRule type="cellIs" dxfId="130" priority="77" operator="equal">
      <formula>0</formula>
    </cfRule>
  </conditionalFormatting>
  <conditionalFormatting sqref="D217:P217">
    <cfRule type="cellIs" dxfId="129" priority="76" operator="equal">
      <formula>0</formula>
    </cfRule>
  </conditionalFormatting>
  <conditionalFormatting sqref="W21:AA21">
    <cfRule type="notContainsBlanks" dxfId="127" priority="769">
      <formula>LEN(TRIM(W21))&gt;0</formula>
    </cfRule>
  </conditionalFormatting>
  <conditionalFormatting sqref="W57:AA57">
    <cfRule type="notContainsBlanks" dxfId="126" priority="5">
      <formula>LEN(TRIM(W57))&gt;0</formula>
    </cfRule>
  </conditionalFormatting>
  <conditionalFormatting sqref="W93:AA93">
    <cfRule type="notContainsBlanks" dxfId="125" priority="4">
      <formula>LEN(TRIM(W93))&gt;0</formula>
    </cfRule>
  </conditionalFormatting>
  <conditionalFormatting sqref="W129:AA129">
    <cfRule type="notContainsBlanks" dxfId="124" priority="3">
      <formula>LEN(TRIM(W129))&gt;0</formula>
    </cfRule>
  </conditionalFormatting>
  <conditionalFormatting sqref="W165:AA165">
    <cfRule type="notContainsBlanks" dxfId="123" priority="2">
      <formula>LEN(TRIM(W165))&gt;0</formula>
    </cfRule>
  </conditionalFormatting>
  <conditionalFormatting sqref="W201:AA201">
    <cfRule type="notContainsBlanks" dxfId="122" priority="1">
      <formula>LEN(TRIM(W201))&gt;0</formula>
    </cfRule>
  </conditionalFormatting>
  <conditionalFormatting sqref="W19:AG19 AJ19">
    <cfRule type="expression" dxfId="121" priority="199">
      <formula>$AB$19=0</formula>
    </cfRule>
  </conditionalFormatting>
  <conditionalFormatting sqref="W55:AG55 AJ55">
    <cfRule type="expression" dxfId="120" priority="119">
      <formula>$AB$55=0</formula>
    </cfRule>
  </conditionalFormatting>
  <conditionalFormatting sqref="W91:AG91 AJ91:AK91">
    <cfRule type="expression" dxfId="119" priority="111">
      <formula>$AB$91=0</formula>
    </cfRule>
  </conditionalFormatting>
  <conditionalFormatting sqref="W127:AG127 AJ127">
    <cfRule type="expression" dxfId="118" priority="103">
      <formula>$AB$127=0</formula>
    </cfRule>
  </conditionalFormatting>
  <conditionalFormatting sqref="W163:AG163 AJ163">
    <cfRule type="expression" dxfId="117" priority="95">
      <formula>$AB$163=0</formula>
    </cfRule>
  </conditionalFormatting>
  <conditionalFormatting sqref="W199:AG199 AJ199">
    <cfRule type="expression" dxfId="116" priority="87">
      <formula>$AB$199=0</formula>
    </cfRule>
  </conditionalFormatting>
  <conditionalFormatting sqref="AC13">
    <cfRule type="expression" dxfId="115" priority="58" stopIfTrue="1">
      <formula>$AC$14=0</formula>
    </cfRule>
  </conditionalFormatting>
  <conditionalFormatting sqref="AC49:AI50">
    <cfRule type="expression" dxfId="114" priority="56" stopIfTrue="1">
      <formula>$AC$50=0</formula>
    </cfRule>
  </conditionalFormatting>
  <conditionalFormatting sqref="AC85:AI86">
    <cfRule type="expression" dxfId="113" priority="54" stopIfTrue="1">
      <formula>$AC$86=0</formula>
    </cfRule>
  </conditionalFormatting>
  <conditionalFormatting sqref="AC121:AI122">
    <cfRule type="expression" dxfId="112" priority="52" stopIfTrue="1">
      <formula>$AC$122=0</formula>
    </cfRule>
  </conditionalFormatting>
  <conditionalFormatting sqref="AC157:AI158">
    <cfRule type="expression" dxfId="111" priority="50" stopIfTrue="1">
      <formula>$AC$158=0</formula>
    </cfRule>
  </conditionalFormatting>
  <conditionalFormatting sqref="AC193:AI194">
    <cfRule type="expression" dxfId="110" priority="48" stopIfTrue="1">
      <formula>$AC$194=0</formula>
    </cfRule>
  </conditionalFormatting>
  <conditionalFormatting sqref="AC17:AO17">
    <cfRule type="expression" dxfId="109" priority="200">
      <formula>$AC$17=0</formula>
    </cfRule>
  </conditionalFormatting>
  <conditionalFormatting sqref="AC53:AO53">
    <cfRule type="expression" dxfId="108" priority="120">
      <formula>$AC$53=0</formula>
    </cfRule>
  </conditionalFormatting>
  <conditionalFormatting sqref="AC89:AO89">
    <cfRule type="expression" dxfId="107" priority="112">
      <formula>$AC$89=0</formula>
    </cfRule>
  </conditionalFormatting>
  <conditionalFormatting sqref="AC125:AO125">
    <cfRule type="expression" dxfId="106" priority="104">
      <formula>$AC$125=0</formula>
    </cfRule>
  </conditionalFormatting>
  <conditionalFormatting sqref="AC161:AO161">
    <cfRule type="expression" dxfId="105" priority="96">
      <formula>$AC$161=0</formula>
    </cfRule>
  </conditionalFormatting>
  <conditionalFormatting sqref="AC197:AO197">
    <cfRule type="expression" dxfId="104" priority="88">
      <formula>$AC$197=0</formula>
    </cfRule>
  </conditionalFormatting>
  <conditionalFormatting sqref="AJ13:AO14">
    <cfRule type="expression" dxfId="103" priority="57" stopIfTrue="1">
      <formula>$AJ$14=0</formula>
    </cfRule>
  </conditionalFormatting>
  <conditionalFormatting sqref="AJ49:AO50">
    <cfRule type="expression" dxfId="102" priority="55" stopIfTrue="1">
      <formula>$AJ$50=0</formula>
    </cfRule>
  </conditionalFormatting>
  <conditionalFormatting sqref="AJ85:AO86">
    <cfRule type="expression" dxfId="101" priority="53" stopIfTrue="1">
      <formula>$AJ$86=0</formula>
    </cfRule>
  </conditionalFormatting>
  <conditionalFormatting sqref="AJ121:AO122">
    <cfRule type="expression" dxfId="100" priority="51" stopIfTrue="1">
      <formula>$AJ$122=0</formula>
    </cfRule>
  </conditionalFormatting>
  <conditionalFormatting sqref="AJ157:AO158">
    <cfRule type="expression" dxfId="99" priority="49" stopIfTrue="1">
      <formula>$AJ$158=0</formula>
    </cfRule>
  </conditionalFormatting>
  <conditionalFormatting sqref="AJ193:AO194">
    <cfRule type="expression" dxfId="98" priority="47" stopIfTrue="1">
      <formula>$AJ$194=0</formula>
    </cfRule>
  </conditionalFormatting>
  <conditionalFormatting sqref="BS68:BT71">
    <cfRule type="expression" dxfId="97" priority="42" stopIfTrue="1">
      <formula>AND(COUNTIF($M$582:$M$587, BS68)+COUNTIF($M$593:$M$624, BS68)+COUNTIF($M$627:$M$627, BS68)+COUNTIF($M$642:$M$644, BS68)&gt;1,NOT(ISBLANK(BS68)))</formula>
    </cfRule>
  </conditionalFormatting>
  <conditionalFormatting sqref="BS104:BT107">
    <cfRule type="expression" dxfId="96" priority="41" stopIfTrue="1">
      <formula>AND(COUNTIF($M$582:$M$587, BS104)+COUNTIF($M$593:$M$624, BS104)+COUNTIF($M$627:$M$627, BS104)+COUNTIF($M$642:$M$644, BS104)&gt;1,NOT(ISBLANK(BS104)))</formula>
    </cfRule>
  </conditionalFormatting>
  <conditionalFormatting sqref="CK100:CK1048576 CK1:CK90">
    <cfRule type="duplicateValues" dxfId="95" priority="767"/>
  </conditionalFormatting>
  <conditionalFormatting sqref="CL73:CL84">
    <cfRule type="duplicateValues" dxfId="94" priority="10"/>
  </conditionalFormatting>
  <conditionalFormatting sqref="CL86:CL87">
    <cfRule type="duplicateValues" dxfId="93" priority="9"/>
  </conditionalFormatting>
  <conditionalFormatting sqref="CL89:CL90">
    <cfRule type="duplicateValues" dxfId="92" priority="8"/>
  </conditionalFormatting>
  <pageMargins left="0.7" right="0.7" top="0.78740157499999996" bottom="0.78740157499999996" header="0.3" footer="0.3"/>
  <pageSetup paperSize="9" scale="38" fitToHeight="3" orientation="landscape" verticalDpi="300" r:id="rId1"/>
  <rowBreaks count="2" manualBreakCount="2">
    <brk id="80" max="43" man="1"/>
    <brk id="152" max="4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2" id="{FDB969C2-AD84-4498-BEF1-5E09E0117070}">
            <xm:f>Hlavní!$V$39=3</xm:f>
            <x14:dxf>
              <font>
                <color theme="1"/>
              </font>
              <fill>
                <patternFill>
                  <bgColor rgb="FFFFFF00"/>
                </patternFill>
              </fill>
            </x14:dxf>
          </x14:cfRule>
          <xm:sqref>B5:K5</xm:sqref>
        </x14:conditionalFormatting>
        <x14:conditionalFormatting xmlns:xm="http://schemas.microsoft.com/office/excel/2006/main">
          <x14:cfRule type="expression" priority="13" id="{ABBE0A8E-D02B-40AB-AB72-323015263E04}">
            <xm:f>Zakaznik!$K$23="Dostawa na adres"</xm:f>
            <x14:dxf>
              <font>
                <color theme="1"/>
              </font>
              <fill>
                <patternFill>
                  <bgColor rgb="FFFFFF00"/>
                </patternFill>
              </fill>
            </x14:dxf>
          </x14:cfRule>
          <xm:sqref>M5:U6 D6:K8 M7:Q7 M8:U8</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91C-6E11-49ED-81FE-8F6ADD9FD4D4}">
  <sheetPr codeName="List22">
    <tabColor rgb="FF92D050"/>
  </sheetPr>
  <dimension ref="A1:BG190"/>
  <sheetViews>
    <sheetView workbookViewId="0"/>
  </sheetViews>
  <sheetFormatPr defaultColWidth="8.5703125" defaultRowHeight="0" customHeight="1" zeroHeight="1" outlineLevelRow="6"/>
  <cols>
    <col min="1" max="1" width="3.28515625" style="1" customWidth="1"/>
    <col min="2" max="8" width="3.28515625" style="1" hidden="1" customWidth="1"/>
    <col min="9" max="12" width="3.28515625" style="12" hidden="1" customWidth="1"/>
    <col min="13" max="15" width="11.7109375" style="12" customWidth="1"/>
    <col min="16" max="16" width="10" style="12" customWidth="1"/>
    <col min="17" max="18" width="11.7109375" style="12" customWidth="1"/>
    <col min="19" max="19" width="10.42578125" style="12" customWidth="1"/>
    <col min="20" max="20" width="12" style="12" customWidth="1"/>
    <col min="21" max="21" width="11.85546875" style="12" customWidth="1"/>
    <col min="22" max="23" width="8.5703125" style="12" customWidth="1"/>
    <col min="24" max="24" width="13.5703125" style="12" customWidth="1"/>
    <col min="25" max="25" width="11.140625" style="1" customWidth="1"/>
    <col min="26" max="26" width="15.42578125" style="1" customWidth="1"/>
    <col min="27" max="27" width="21" style="1" bestFit="1" customWidth="1"/>
    <col min="28" max="28" width="16.42578125" style="1" hidden="1" customWidth="1"/>
    <col min="29" max="29" width="22.140625" style="1" bestFit="1" customWidth="1"/>
    <col min="30" max="30" width="12.85546875" style="1" customWidth="1"/>
    <col min="31" max="31" width="16" style="1" customWidth="1"/>
    <col min="32" max="32" width="12.7109375" style="1" customWidth="1"/>
    <col min="33" max="33" width="18.85546875" style="1" bestFit="1" customWidth="1"/>
    <col min="34" max="34" width="16" style="1" customWidth="1"/>
    <col min="35" max="35" width="36.5703125" style="1" customWidth="1"/>
    <col min="36" max="39" width="8.5703125" style="1"/>
    <col min="40" max="40" width="149.42578125" style="1" customWidth="1"/>
    <col min="41" max="41" width="8.5703125" style="1"/>
    <col min="42" max="42" width="17.140625" style="1" customWidth="1"/>
    <col min="43" max="48" width="20.140625" style="1" customWidth="1"/>
    <col min="49" max="50" width="7.7109375" style="1" customWidth="1"/>
    <col min="51" max="51" width="11.5703125" style="1" customWidth="1"/>
    <col min="52" max="52" width="7.7109375" style="1" customWidth="1"/>
    <col min="53" max="53" width="18.28515625" style="1" customWidth="1"/>
    <col min="54" max="61" width="37.7109375" style="1" customWidth="1"/>
    <col min="62" max="16384" width="8.5703125" style="1"/>
  </cols>
  <sheetData>
    <row r="1" spans="2:48" ht="15" outlineLevel="1">
      <c r="P1" s="12" t="s">
        <v>4305</v>
      </c>
      <c r="Q1" s="12" t="s">
        <v>4338</v>
      </c>
    </row>
    <row r="2" spans="2:48" ht="14.25" customHeight="1" outlineLevel="1">
      <c r="O2" s="361" t="s">
        <v>4307</v>
      </c>
      <c r="P2" s="12">
        <f>Ram_1!$H$28</f>
        <v>0</v>
      </c>
      <c r="Q2" s="425">
        <f>IF(Ram_1!$H$28&gt;0,IF(Ram_1!$H$25&lt;&gt;"",1,2),0)</f>
        <v>0</v>
      </c>
      <c r="S2" s="12">
        <f>IF(P2&gt;0,1,0)</f>
        <v>0</v>
      </c>
      <c r="U2" s="12" t="b">
        <f>IF(M33=3,IF(U8=1,AH69,IF(U8=2,'doprava demont'!AD31,"dostawa niemożliwa")))</f>
        <v>0</v>
      </c>
      <c r="X2" s="12" t="s">
        <v>4342</v>
      </c>
      <c r="Y2" s="1" t="s">
        <v>4337</v>
      </c>
    </row>
    <row r="3" spans="2:48" ht="14.25" customHeight="1" outlineLevel="1">
      <c r="O3" s="361" t="s">
        <v>4308</v>
      </c>
      <c r="P3" s="12">
        <f>Ram_2!$H$28</f>
        <v>0</v>
      </c>
      <c r="Q3" s="425">
        <f>IF(Ram_2!$H$28&gt;0,IF(Ram_2!$H$25&lt;&gt;"",1,2),0)</f>
        <v>0</v>
      </c>
      <c r="S3" s="12">
        <f t="shared" ref="S3:S7" si="0">IF(P3&gt;0,1,0)</f>
        <v>0</v>
      </c>
      <c r="X3" s="12" t="s">
        <v>4346</v>
      </c>
      <c r="Y3" s="1" t="s">
        <v>4343</v>
      </c>
    </row>
    <row r="4" spans="2:48" ht="14.25" customHeight="1" outlineLevel="1">
      <c r="I4" s="1"/>
      <c r="O4" s="361" t="s">
        <v>4309</v>
      </c>
      <c r="P4" s="12">
        <f>Ram_3!$H$28</f>
        <v>0</v>
      </c>
      <c r="Q4" s="425">
        <f>IF(Ram_3!$H$28&gt;0,IF(Ram_3!$H$25&lt;&gt;"",1,2),0)</f>
        <v>0</v>
      </c>
      <c r="S4" s="12">
        <f t="shared" si="0"/>
        <v>0</v>
      </c>
      <c r="X4" s="12" t="s">
        <v>4344</v>
      </c>
      <c r="Y4" s="1" t="s">
        <v>4345</v>
      </c>
    </row>
    <row r="5" spans="2:48" ht="14.25" customHeight="1" outlineLevel="1">
      <c r="I5" s="1"/>
      <c r="O5" s="361" t="s">
        <v>4310</v>
      </c>
      <c r="P5" s="12">
        <f>Ram_4!$H$28</f>
        <v>0</v>
      </c>
      <c r="Q5" s="425">
        <f>IF(Ram_4!$H$28&gt;0,IF(Ram_4!$H$25&lt;&gt;"",1,2),0)</f>
        <v>0</v>
      </c>
      <c r="S5" s="12">
        <f t="shared" si="0"/>
        <v>0</v>
      </c>
      <c r="AA5" s="648"/>
      <c r="AB5" s="648"/>
      <c r="AC5" s="648"/>
      <c r="AD5" s="648"/>
      <c r="AE5" s="648"/>
      <c r="AF5" s="648"/>
    </row>
    <row r="6" spans="2:48" ht="14.25" customHeight="1" outlineLevel="2">
      <c r="O6" s="361" t="s">
        <v>4311</v>
      </c>
      <c r="P6" s="12">
        <f>Ram_5!$H$28</f>
        <v>0</v>
      </c>
      <c r="Q6" s="425">
        <f>IF(Ram_5!$H$28&gt;0,IF(Ram_5!$H$25&lt;&gt;"",1,2),0)</f>
        <v>0</v>
      </c>
      <c r="S6" s="12">
        <f t="shared" si="0"/>
        <v>0</v>
      </c>
    </row>
    <row r="7" spans="2:48" ht="14.25" customHeight="1" outlineLevel="2">
      <c r="C7" s="12"/>
      <c r="D7" s="12"/>
      <c r="E7" s="12"/>
      <c r="F7" s="12"/>
      <c r="G7" s="12"/>
      <c r="H7" s="12"/>
      <c r="O7" s="361" t="s">
        <v>4312</v>
      </c>
      <c r="P7" s="12">
        <f>Ram_6!$H$28</f>
        <v>0</v>
      </c>
      <c r="Q7" s="425">
        <f>IF(Ram_6!$H$28&gt;0,IF(Ram_6!$H$25&lt;&gt;"",1,2),0)</f>
        <v>0</v>
      </c>
      <c r="S7" s="12">
        <f t="shared" si="0"/>
        <v>0</v>
      </c>
      <c r="AA7" s="337"/>
      <c r="AB7" s="337"/>
      <c r="AC7" s="337"/>
      <c r="AD7" s="337"/>
      <c r="AE7" s="337"/>
      <c r="AF7" s="337"/>
    </row>
    <row r="8" spans="2:48" ht="14.25" customHeight="1" outlineLevel="2">
      <c r="I8" s="1"/>
      <c r="J8" s="1"/>
      <c r="K8" s="1"/>
      <c r="L8" s="1"/>
      <c r="M8" s="1"/>
      <c r="N8" s="1"/>
      <c r="Q8" s="425"/>
      <c r="R8" s="1"/>
      <c r="S8" s="12">
        <f>SUM(S2:S7)</f>
        <v>0</v>
      </c>
      <c r="T8" s="1">
        <f>SUM(Q2:Q7)</f>
        <v>0</v>
      </c>
      <c r="U8" s="432">
        <f>IF(S8=T8,1,IF(S8=(T8/2),2,0))</f>
        <v>1</v>
      </c>
      <c r="V8" s="433">
        <v>0</v>
      </c>
      <c r="W8" s="12" t="s">
        <v>4341</v>
      </c>
      <c r="X8" s="1"/>
      <c r="AA8" s="337"/>
      <c r="AB8" s="337"/>
      <c r="AC8" s="337"/>
      <c r="AD8" s="337"/>
      <c r="AE8" s="337"/>
      <c r="AF8" s="337"/>
      <c r="AQ8" s="337"/>
      <c r="AR8" s="337"/>
      <c r="AS8" s="337"/>
      <c r="AT8" s="337"/>
      <c r="AU8" s="337"/>
      <c r="AV8" s="337"/>
    </row>
    <row r="9" spans="2:48" ht="15" customHeight="1" outlineLevel="2">
      <c r="C9" s="667"/>
      <c r="Q9" s="425"/>
      <c r="V9" s="433">
        <v>1</v>
      </c>
      <c r="W9" s="12" t="s">
        <v>4339</v>
      </c>
      <c r="AA9" s="337"/>
      <c r="AB9" s="337"/>
      <c r="AC9" s="337"/>
      <c r="AD9" s="337"/>
      <c r="AE9" s="337"/>
      <c r="AF9" s="337"/>
      <c r="AQ9" s="337"/>
      <c r="AR9" s="337"/>
      <c r="AS9" s="337"/>
      <c r="AT9" s="337"/>
      <c r="AU9" s="337"/>
      <c r="AV9" s="337"/>
    </row>
    <row r="10" spans="2:48" ht="15" customHeight="1" outlineLevel="2">
      <c r="C10" s="667"/>
      <c r="Q10" s="425"/>
      <c r="V10" s="433">
        <v>2</v>
      </c>
      <c r="W10" s="12" t="s">
        <v>4340</v>
      </c>
      <c r="AA10" s="337"/>
      <c r="AB10" s="337"/>
      <c r="AC10" s="337"/>
      <c r="AD10" s="337"/>
      <c r="AE10" s="337"/>
      <c r="AF10" s="337"/>
      <c r="AQ10" s="337"/>
      <c r="AR10" s="337"/>
      <c r="AS10" s="337"/>
      <c r="AT10" s="337"/>
      <c r="AU10" s="337"/>
      <c r="AV10" s="337"/>
    </row>
    <row r="11" spans="2:48" ht="14.25" customHeight="1" outlineLevel="2">
      <c r="C11" s="394"/>
      <c r="Q11" s="425"/>
      <c r="Z11" s="397"/>
      <c r="AA11" s="337"/>
      <c r="AB11" s="337"/>
      <c r="AC11" s="337"/>
      <c r="AD11" s="648"/>
      <c r="AE11" s="648"/>
      <c r="AF11" s="648"/>
      <c r="AQ11" s="337"/>
      <c r="AR11" s="337"/>
      <c r="AS11" s="337"/>
      <c r="AT11" s="337"/>
      <c r="AU11" s="337"/>
      <c r="AV11" s="337"/>
    </row>
    <row r="12" spans="2:48" ht="14.25" customHeight="1" outlineLevel="2">
      <c r="C12" s="394"/>
      <c r="Q12" s="425"/>
      <c r="AQ12" s="337"/>
      <c r="AR12" s="337"/>
      <c r="AS12" s="337"/>
      <c r="AT12" s="337"/>
      <c r="AU12" s="337"/>
      <c r="AV12" s="337"/>
    </row>
    <row r="13" spans="2:48" ht="14.25" customHeight="1" outlineLevel="2">
      <c r="Q13" s="425"/>
      <c r="AQ13" s="337"/>
      <c r="AR13" s="337"/>
      <c r="AS13" s="337"/>
      <c r="AT13" s="337"/>
      <c r="AU13" s="337"/>
      <c r="AV13" s="337"/>
    </row>
    <row r="14" spans="2:48" ht="14.25" customHeight="1" outlineLevel="2">
      <c r="B14" s="595"/>
      <c r="I14" s="1"/>
      <c r="J14" s="1"/>
      <c r="K14" s="1"/>
      <c r="L14" s="1"/>
      <c r="M14" s="1"/>
      <c r="N14" s="1"/>
      <c r="O14" s="1"/>
      <c r="Q14" s="425"/>
      <c r="R14" s="1"/>
      <c r="T14" s="1"/>
      <c r="U14" s="1"/>
      <c r="V14" s="1"/>
      <c r="W14" s="1"/>
      <c r="X14" s="1"/>
      <c r="AQ14" s="337"/>
      <c r="AR14" s="337"/>
      <c r="AS14" s="337"/>
      <c r="AT14" s="337"/>
      <c r="AU14" s="337"/>
      <c r="AV14" s="337"/>
    </row>
    <row r="15" spans="2:48" ht="14.25" customHeight="1" outlineLevel="2">
      <c r="B15" s="595"/>
      <c r="I15" s="1"/>
      <c r="J15" s="1"/>
      <c r="K15" s="1"/>
      <c r="L15" s="1"/>
      <c r="M15" s="1"/>
      <c r="N15" s="1"/>
      <c r="O15" s="1"/>
      <c r="Q15" s="425"/>
      <c r="R15" s="1"/>
      <c r="T15" s="1"/>
      <c r="U15" s="1"/>
      <c r="V15" s="1"/>
      <c r="W15" s="1"/>
      <c r="X15" s="1"/>
      <c r="AQ15" s="337"/>
      <c r="AR15" s="337"/>
      <c r="AS15" s="337"/>
      <c r="AT15" s="337"/>
      <c r="AU15" s="337"/>
      <c r="AV15" s="337"/>
    </row>
    <row r="16" spans="2:48" ht="14.25" customHeight="1" outlineLevel="2">
      <c r="B16" s="394"/>
      <c r="I16" s="1"/>
      <c r="J16" s="1"/>
      <c r="K16" s="1"/>
      <c r="L16" s="1"/>
      <c r="M16" s="1"/>
      <c r="N16" s="1"/>
      <c r="O16" s="1"/>
      <c r="Q16" s="425"/>
      <c r="R16" s="1"/>
      <c r="T16" s="1"/>
      <c r="U16" s="1"/>
      <c r="V16" s="1"/>
      <c r="W16" s="1"/>
      <c r="X16" s="1"/>
      <c r="AQ16" s="337"/>
      <c r="AR16" s="337"/>
      <c r="AS16" s="337"/>
      <c r="AT16" s="337"/>
      <c r="AU16" s="337"/>
      <c r="AV16" s="337"/>
    </row>
    <row r="17" spans="1:59" ht="14.25" customHeight="1" outlineLevel="2">
      <c r="I17" s="1"/>
      <c r="J17" s="1"/>
      <c r="K17" s="1"/>
      <c r="L17" s="1"/>
      <c r="M17" s="1"/>
      <c r="N17" s="1"/>
      <c r="O17" s="1"/>
      <c r="Q17" s="425"/>
      <c r="R17" s="1"/>
      <c r="T17" s="1"/>
      <c r="U17" s="1"/>
      <c r="V17" s="1"/>
      <c r="W17" s="1"/>
      <c r="X17" s="1"/>
      <c r="AQ17" s="337"/>
      <c r="AR17" s="337"/>
      <c r="AT17" s="337"/>
      <c r="AU17" s="337"/>
      <c r="AV17" s="337"/>
    </row>
    <row r="18" spans="1:59" ht="14.25" customHeight="1" outlineLevel="2">
      <c r="C18" s="395"/>
      <c r="I18" s="1"/>
      <c r="J18" s="1"/>
      <c r="K18" s="1"/>
      <c r="L18" s="1"/>
      <c r="M18" s="1"/>
      <c r="N18" s="1"/>
      <c r="O18" s="1"/>
      <c r="Q18" s="425"/>
      <c r="R18" s="1"/>
      <c r="T18" s="1"/>
      <c r="U18" s="1"/>
      <c r="V18" s="1"/>
      <c r="W18" s="1"/>
      <c r="X18" s="1"/>
    </row>
    <row r="19" spans="1:59" ht="14.25" customHeight="1" outlineLevel="2">
      <c r="B19" s="316"/>
      <c r="Q19" s="425"/>
    </row>
    <row r="20" spans="1:59" ht="14.25" customHeight="1" outlineLevel="2">
      <c r="I20" s="1"/>
      <c r="J20" s="1"/>
      <c r="K20" s="1"/>
      <c r="L20" s="1"/>
      <c r="M20" s="1"/>
      <c r="N20" s="1"/>
      <c r="O20" s="1"/>
      <c r="Q20" s="425"/>
      <c r="R20" s="1"/>
      <c r="T20" s="1"/>
      <c r="U20" s="1"/>
      <c r="V20" s="1"/>
      <c r="W20" s="1"/>
      <c r="X20" s="1"/>
      <c r="Z20" s="397"/>
    </row>
    <row r="21" spans="1:59" ht="14.25" customHeight="1" outlineLevel="2">
      <c r="I21" s="1"/>
      <c r="J21" s="1"/>
      <c r="K21" s="1"/>
      <c r="L21" s="1"/>
      <c r="M21" s="1"/>
      <c r="N21" s="1"/>
      <c r="O21" s="1"/>
      <c r="Q21" s="425"/>
      <c r="R21" s="1"/>
      <c r="T21" s="1"/>
      <c r="U21" s="1"/>
      <c r="V21" s="1"/>
      <c r="W21" s="1"/>
      <c r="X21" s="1"/>
    </row>
    <row r="22" spans="1:59" ht="14.25" customHeight="1" outlineLevel="2">
      <c r="Q22" s="425"/>
    </row>
    <row r="23" spans="1:59" ht="14.25" customHeight="1" outlineLevel="2">
      <c r="I23" s="1"/>
      <c r="J23" s="1"/>
      <c r="K23" s="1"/>
      <c r="L23" s="1"/>
      <c r="M23" s="1"/>
      <c r="N23" s="1"/>
      <c r="O23" s="1"/>
      <c r="Q23" s="425"/>
      <c r="R23" s="1"/>
      <c r="T23" s="1"/>
      <c r="U23" s="1"/>
      <c r="V23" s="1"/>
      <c r="W23" s="1"/>
      <c r="X23" s="1"/>
    </row>
    <row r="24" spans="1:59" ht="14.25" customHeight="1" outlineLevel="2">
      <c r="I24" s="1"/>
      <c r="J24" s="1"/>
      <c r="K24" s="1"/>
      <c r="L24" s="1"/>
      <c r="M24" s="1"/>
      <c r="N24" s="1"/>
      <c r="O24" s="1"/>
      <c r="Q24" s="425"/>
      <c r="R24" s="1"/>
      <c r="T24" s="1"/>
      <c r="U24" s="1"/>
      <c r="V24" s="1"/>
      <c r="W24" s="1"/>
      <c r="X24" s="1"/>
      <c r="AA24" s="398"/>
    </row>
    <row r="25" spans="1:59" ht="14.25" customHeight="1" outlineLevel="2">
      <c r="I25" s="1"/>
      <c r="J25" s="1"/>
      <c r="K25" s="1"/>
      <c r="L25" s="1"/>
      <c r="M25" s="1"/>
      <c r="N25" s="1"/>
      <c r="O25" s="1"/>
      <c r="Q25" s="425"/>
      <c r="R25" s="1"/>
      <c r="T25" s="1"/>
      <c r="U25" s="1"/>
      <c r="V25" s="1"/>
      <c r="W25" s="1"/>
      <c r="X25" s="1"/>
      <c r="AA25" s="398"/>
    </row>
    <row r="26" spans="1:59" ht="14.25" customHeight="1" outlineLevel="2">
      <c r="I26" s="1"/>
      <c r="J26" s="1"/>
      <c r="K26" s="1"/>
      <c r="L26" s="1"/>
      <c r="M26" s="1"/>
      <c r="N26" s="1"/>
      <c r="O26" s="1"/>
      <c r="Q26" s="425"/>
      <c r="R26" s="1"/>
      <c r="T26" s="1"/>
      <c r="U26" s="1"/>
      <c r="V26" s="1"/>
      <c r="W26" s="1"/>
      <c r="X26" s="1"/>
      <c r="AA26" s="398"/>
    </row>
    <row r="27" spans="1:59" ht="39.75" customHeight="1" outlineLevel="2">
      <c r="I27" s="1"/>
      <c r="J27" s="1"/>
      <c r="K27" s="1"/>
      <c r="L27" s="1"/>
      <c r="M27" s="1"/>
      <c r="N27" s="1"/>
      <c r="O27" s="1"/>
      <c r="Q27" s="425"/>
      <c r="R27" s="1"/>
      <c r="T27" s="1"/>
      <c r="U27" s="1"/>
      <c r="V27" s="1"/>
      <c r="W27" s="1"/>
      <c r="X27" s="1"/>
    </row>
    <row r="28" spans="1:59" ht="45.75" customHeight="1" outlineLevel="1">
      <c r="I28" s="1"/>
      <c r="J28" s="1"/>
      <c r="K28" s="1"/>
      <c r="L28" s="1"/>
      <c r="M28" s="1"/>
      <c r="N28" s="1"/>
      <c r="O28" s="1"/>
      <c r="Q28" s="425"/>
      <c r="R28" s="1"/>
      <c r="T28" s="1"/>
      <c r="U28" s="1"/>
      <c r="V28" s="1"/>
      <c r="W28" s="1">
        <v>70</v>
      </c>
      <c r="X28" s="1"/>
    </row>
    <row r="29" spans="1:59" ht="37.5" customHeight="1">
      <c r="E29" s="386"/>
      <c r="F29" s="386"/>
      <c r="G29" s="386"/>
      <c r="H29" s="387"/>
      <c r="I29" s="387"/>
      <c r="J29" s="387"/>
      <c r="K29" s="1"/>
      <c r="L29" s="1"/>
      <c r="M29" s="1"/>
      <c r="N29" s="1"/>
      <c r="O29" s="1"/>
      <c r="Q29" s="425"/>
      <c r="R29" s="1"/>
      <c r="T29" s="1"/>
      <c r="U29" s="1"/>
      <c r="AQ29" s="386"/>
      <c r="AR29" s="386"/>
      <c r="AS29" s="386"/>
      <c r="AT29" s="387"/>
      <c r="AU29" s="387"/>
      <c r="AV29" s="387"/>
      <c r="BB29" s="386"/>
      <c r="BC29" s="386"/>
      <c r="BD29" s="386"/>
      <c r="BE29" s="387"/>
      <c r="BF29" s="387"/>
      <c r="BG29" s="387"/>
    </row>
    <row r="30" spans="1:59" ht="22.5" customHeight="1">
      <c r="B30" s="238"/>
      <c r="E30" s="337"/>
      <c r="F30" s="337"/>
      <c r="G30" s="337"/>
      <c r="H30" s="337"/>
      <c r="I30" s="337"/>
      <c r="J30" s="337"/>
      <c r="AQ30" s="337"/>
      <c r="AR30" s="337"/>
      <c r="AS30" s="337"/>
      <c r="AT30" s="337"/>
      <c r="AU30" s="337"/>
      <c r="AV30" s="337"/>
      <c r="AY30" s="337"/>
      <c r="BB30" s="337"/>
      <c r="BC30" s="337"/>
      <c r="BD30" s="337"/>
      <c r="BE30" s="337"/>
      <c r="BF30" s="337"/>
      <c r="BG30" s="337"/>
    </row>
    <row r="31" spans="1:59" ht="19.5" customHeight="1" thickBot="1">
      <c r="A31" s="396"/>
      <c r="B31" s="160"/>
      <c r="D31" s="337"/>
      <c r="E31" s="389"/>
      <c r="F31" s="389"/>
      <c r="G31" s="389"/>
      <c r="H31" s="389"/>
      <c r="I31" s="389"/>
      <c r="J31" s="389"/>
      <c r="V31" s="388"/>
      <c r="W31" s="388"/>
      <c r="X31" s="388"/>
      <c r="Y31" s="388"/>
      <c r="Z31" s="388"/>
      <c r="AP31" s="337"/>
      <c r="AQ31" s="389"/>
      <c r="AR31" s="389"/>
      <c r="AS31" s="389"/>
      <c r="AT31" s="389"/>
      <c r="AU31" s="389"/>
      <c r="AV31" s="389"/>
      <c r="BA31" s="337"/>
      <c r="BB31" s="389"/>
      <c r="BC31" s="389"/>
      <c r="BD31" s="389"/>
      <c r="BE31" s="389"/>
      <c r="BF31" s="389"/>
      <c r="BG31" s="389"/>
    </row>
    <row r="32" spans="1:59" ht="18.75" customHeight="1" thickBot="1">
      <c r="A32" s="396"/>
      <c r="B32" s="160"/>
      <c r="D32" s="337"/>
      <c r="E32" s="390"/>
      <c r="F32" s="390"/>
      <c r="G32" s="390"/>
      <c r="H32" s="390"/>
      <c r="I32" s="390"/>
      <c r="J32" s="390"/>
      <c r="M32" s="338"/>
      <c r="N32" s="339"/>
      <c r="O32" s="339"/>
      <c r="P32" s="339"/>
      <c r="Q32" s="339"/>
      <c r="R32" s="339"/>
      <c r="S32" s="339"/>
      <c r="T32" s="339"/>
      <c r="U32" s="339"/>
      <c r="V32" s="339"/>
      <c r="W32" s="339"/>
      <c r="X32" s="340"/>
      <c r="Y32" s="340"/>
      <c r="Z32" s="409" t="s">
        <v>4292</v>
      </c>
      <c r="AA32" s="410">
        <v>800</v>
      </c>
      <c r="AB32" s="410"/>
      <c r="AC32" s="410">
        <v>1400</v>
      </c>
      <c r="AD32" s="410">
        <v>2300</v>
      </c>
      <c r="AE32" s="410">
        <v>2750</v>
      </c>
      <c r="AF32" s="400"/>
      <c r="AG32" s="340"/>
      <c r="AH32" s="340"/>
      <c r="AI32" s="340"/>
      <c r="AJ32" s="341"/>
      <c r="AP32" s="337"/>
      <c r="AQ32" s="390"/>
      <c r="AR32" s="390"/>
      <c r="AS32" s="390"/>
      <c r="AT32" s="390"/>
      <c r="AU32" s="390"/>
      <c r="AV32" s="390"/>
      <c r="AY32" s="160"/>
      <c r="BA32" s="337"/>
      <c r="BB32" s="390"/>
      <c r="BC32" s="390"/>
      <c r="BD32" s="390"/>
      <c r="BE32" s="390"/>
      <c r="BF32" s="390"/>
      <c r="BG32" s="390"/>
    </row>
    <row r="33" spans="2:59" ht="22.5" customHeight="1" thickBot="1">
      <c r="B33" s="337"/>
      <c r="D33" s="337"/>
      <c r="E33" s="337"/>
      <c r="F33" s="337"/>
      <c r="G33" s="337"/>
      <c r="H33" s="337"/>
      <c r="I33" s="337"/>
      <c r="J33" s="337"/>
      <c r="M33" s="408">
        <f>IF(Zakaznik!K23="Dostawa na adres",Hlavní!V39,0)</f>
        <v>0</v>
      </c>
      <c r="N33" s="411" t="str">
        <f>IF(M33=3,"Určeno pro polský trh =&gt; počítá se kalkulace dopravy","Není to určeno pro polský trh =&gt; NEpočítá se kalkulace dopravy" )</f>
        <v>Není to určeno pro polský trh =&gt; NEpočítá se kalkulace dopravy</v>
      </c>
      <c r="O33" s="399"/>
      <c r="P33" s="399"/>
      <c r="Q33" s="399"/>
      <c r="R33" s="399"/>
      <c r="S33" s="399"/>
      <c r="T33" s="399"/>
      <c r="U33" s="399"/>
      <c r="V33" s="399"/>
      <c r="W33" s="399"/>
      <c r="X33" s="400"/>
      <c r="Y33" s="400"/>
      <c r="Z33" s="409" t="s">
        <v>4292</v>
      </c>
      <c r="AA33" s="410">
        <v>800</v>
      </c>
      <c r="AB33" s="410"/>
      <c r="AC33" s="410">
        <v>800</v>
      </c>
      <c r="AD33" s="616">
        <v>750</v>
      </c>
      <c r="AE33" s="788"/>
      <c r="AF33" s="400"/>
      <c r="AG33" s="400"/>
      <c r="AH33" s="400"/>
      <c r="AI33" s="400"/>
      <c r="AJ33" s="343"/>
      <c r="AP33" s="337"/>
      <c r="AQ33" s="337"/>
      <c r="AR33" s="337"/>
      <c r="AS33" s="337"/>
      <c r="AT33" s="337"/>
      <c r="AU33" s="337"/>
      <c r="AV33" s="337"/>
      <c r="BA33" s="337"/>
      <c r="BB33" s="337"/>
      <c r="BC33" s="337"/>
      <c r="BD33" s="337"/>
      <c r="BE33" s="337"/>
      <c r="BF33" s="337"/>
      <c r="BG33" s="337"/>
    </row>
    <row r="34" spans="2:59" ht="14.85" customHeight="1" thickBot="1">
      <c r="D34" s="337"/>
      <c r="E34" s="337"/>
      <c r="F34" s="337"/>
      <c r="G34" s="337"/>
      <c r="H34" s="337"/>
      <c r="I34" s="337"/>
      <c r="J34" s="337"/>
      <c r="M34" s="342"/>
      <c r="N34" s="399"/>
      <c r="O34" s="399"/>
      <c r="P34" s="399"/>
      <c r="Q34" s="399"/>
      <c r="R34" s="399"/>
      <c r="S34" s="399"/>
      <c r="T34" s="399"/>
      <c r="U34" s="399"/>
      <c r="V34" s="399"/>
      <c r="W34" s="399"/>
      <c r="X34" s="400"/>
      <c r="Y34" s="400"/>
      <c r="Z34" s="400"/>
      <c r="AA34" s="400"/>
      <c r="AB34" s="400"/>
      <c r="AC34" s="400"/>
      <c r="AD34" s="400"/>
      <c r="AE34" s="400"/>
      <c r="AF34" s="400"/>
      <c r="AG34" s="400"/>
      <c r="AH34" s="400"/>
      <c r="AI34" s="400"/>
      <c r="AJ34" s="343"/>
      <c r="AP34" s="337"/>
      <c r="AQ34" s="337"/>
      <c r="AR34" s="337"/>
      <c r="AS34" s="337"/>
      <c r="AT34" s="337"/>
      <c r="AU34" s="337"/>
      <c r="AV34" s="337"/>
      <c r="BA34" s="337"/>
      <c r="BB34" s="337"/>
      <c r="BC34" s="337"/>
      <c r="BD34" s="337"/>
      <c r="BE34" s="337"/>
      <c r="BF34" s="337"/>
      <c r="BG34" s="337"/>
    </row>
    <row r="35" spans="2:59" ht="14.85" customHeight="1">
      <c r="D35" s="337"/>
      <c r="E35" s="389"/>
      <c r="F35" s="389"/>
      <c r="G35" s="389"/>
      <c r="H35" s="337"/>
      <c r="I35" s="337"/>
      <c r="J35" s="337"/>
      <c r="M35" s="342"/>
      <c r="N35" s="399"/>
      <c r="O35" s="399"/>
      <c r="P35" s="399"/>
      <c r="Q35" s="399"/>
      <c r="R35" s="399"/>
      <c r="S35" s="399"/>
      <c r="T35" s="399"/>
      <c r="U35" s="399"/>
      <c r="V35" s="399"/>
      <c r="W35" s="400"/>
      <c r="X35" s="399"/>
      <c r="Y35" s="400"/>
      <c r="Z35" s="344" t="s">
        <v>4293</v>
      </c>
      <c r="AA35" s="400"/>
      <c r="AB35" s="400"/>
      <c r="AC35" s="400"/>
      <c r="AD35" s="400"/>
      <c r="AE35" s="400"/>
      <c r="AF35" s="400"/>
      <c r="AG35" s="400"/>
      <c r="AH35" s="400"/>
      <c r="AI35" s="400"/>
      <c r="AJ35" s="343"/>
      <c r="AP35" s="337"/>
      <c r="AQ35" s="389"/>
      <c r="AR35" s="389"/>
      <c r="AS35" s="389"/>
      <c r="AT35" s="337"/>
      <c r="AU35" s="337"/>
      <c r="AV35" s="337"/>
      <c r="AY35" s="391"/>
      <c r="BA35" s="337"/>
      <c r="BB35" s="389"/>
      <c r="BC35" s="389"/>
      <c r="BD35" s="389"/>
      <c r="BE35" s="337"/>
      <c r="BF35" s="337"/>
      <c r="BG35" s="337"/>
    </row>
    <row r="36" spans="2:59" ht="30.75" customHeight="1" thickBot="1">
      <c r="D36" s="337"/>
      <c r="E36" s="390"/>
      <c r="F36" s="390"/>
      <c r="G36" s="390"/>
      <c r="H36" s="390"/>
      <c r="I36" s="390"/>
      <c r="J36" s="390"/>
      <c r="M36" s="342"/>
      <c r="N36" s="399"/>
      <c r="O36" s="399"/>
      <c r="P36" s="399"/>
      <c r="Q36" s="399"/>
      <c r="R36" s="399"/>
      <c r="S36" s="399"/>
      <c r="T36" s="399"/>
      <c r="U36" s="399"/>
      <c r="V36" s="399"/>
      <c r="W36" s="399"/>
      <c r="X36" s="399"/>
      <c r="Y36" s="400"/>
      <c r="Z36" s="345">
        <f>W40</f>
        <v>0</v>
      </c>
      <c r="AA36" s="400"/>
      <c r="AB36" s="400"/>
      <c r="AC36" s="400"/>
      <c r="AD36" s="400"/>
      <c r="AE36" s="400"/>
      <c r="AF36" s="400"/>
      <c r="AG36" s="400"/>
      <c r="AH36" s="400"/>
      <c r="AI36" s="400"/>
      <c r="AJ36" s="343"/>
      <c r="AP36" s="337"/>
      <c r="AQ36" s="390"/>
      <c r="AR36" s="390"/>
      <c r="AS36" s="390"/>
      <c r="AT36" s="390"/>
      <c r="AU36" s="390"/>
      <c r="AV36" s="390"/>
      <c r="AY36" s="391"/>
      <c r="BA36" s="337"/>
      <c r="BB36" s="390"/>
      <c r="BC36" s="390"/>
      <c r="BD36" s="390"/>
      <c r="BE36" s="390"/>
      <c r="BF36" s="390"/>
      <c r="BG36" s="390"/>
    </row>
    <row r="37" spans="2:59" ht="14.85" customHeight="1">
      <c r="E37" s="337"/>
      <c r="F37" s="337"/>
      <c r="G37" s="337"/>
      <c r="H37" s="390"/>
      <c r="I37" s="390"/>
      <c r="J37" s="390"/>
      <c r="M37" s="342"/>
      <c r="N37" s="399"/>
      <c r="O37" s="399"/>
      <c r="P37" s="399"/>
      <c r="Q37" s="399"/>
      <c r="R37" s="399"/>
      <c r="S37" s="399"/>
      <c r="T37" s="399"/>
      <c r="U37" s="399"/>
      <c r="V37" s="399"/>
      <c r="W37" s="399"/>
      <c r="X37" s="399"/>
      <c r="Y37" s="400"/>
      <c r="Z37" s="400"/>
      <c r="AA37" s="401"/>
      <c r="AB37" s="401"/>
      <c r="AC37" s="401"/>
      <c r="AD37" s="401"/>
      <c r="AE37" s="401"/>
      <c r="AF37" s="401"/>
      <c r="AG37" s="400"/>
      <c r="AH37" s="400"/>
      <c r="AI37" s="400"/>
      <c r="AJ37" s="343"/>
      <c r="AQ37" s="337"/>
      <c r="AR37" s="337"/>
      <c r="AS37" s="337"/>
      <c r="AT37" s="390"/>
      <c r="AU37" s="390"/>
      <c r="AV37" s="390"/>
      <c r="BB37" s="337"/>
      <c r="BC37" s="337"/>
      <c r="BD37" s="337"/>
      <c r="BE37" s="390"/>
      <c r="BF37" s="390"/>
      <c r="BG37" s="390"/>
    </row>
    <row r="38" spans="2:59" ht="14.85" customHeight="1">
      <c r="D38" s="337"/>
      <c r="E38" s="337"/>
      <c r="F38" s="337"/>
      <c r="G38" s="337"/>
      <c r="H38" s="337"/>
      <c r="I38" s="337"/>
      <c r="J38" s="337"/>
      <c r="M38" s="342"/>
      <c r="N38" s="399"/>
      <c r="O38" s="399"/>
      <c r="P38" s="399"/>
      <c r="Q38" s="399"/>
      <c r="R38" s="399"/>
      <c r="S38" s="399"/>
      <c r="T38" s="399"/>
      <c r="U38" s="399"/>
      <c r="V38" s="399"/>
      <c r="W38" s="400"/>
      <c r="X38" s="399"/>
      <c r="Y38" s="400"/>
      <c r="Z38" s="409" t="s">
        <v>4294</v>
      </c>
      <c r="AA38" s="410">
        <v>35</v>
      </c>
      <c r="AB38" s="410"/>
      <c r="AC38" s="410">
        <v>35</v>
      </c>
      <c r="AD38" s="410">
        <v>288</v>
      </c>
      <c r="AE38" s="410">
        <v>332</v>
      </c>
      <c r="AF38" s="410"/>
      <c r="AG38" s="400"/>
      <c r="AH38" s="400"/>
      <c r="AI38" s="400"/>
      <c r="AJ38" s="343"/>
      <c r="AP38" s="337"/>
      <c r="AQ38" s="337"/>
      <c r="AR38" s="337"/>
      <c r="AS38" s="337"/>
      <c r="AT38" s="337"/>
      <c r="AU38" s="337"/>
      <c r="AV38" s="337"/>
      <c r="BA38" s="337"/>
      <c r="BB38" s="337"/>
      <c r="BC38" s="337"/>
      <c r="BD38" s="337"/>
      <c r="BE38" s="337"/>
      <c r="BF38" s="337"/>
      <c r="BG38" s="337"/>
    </row>
    <row r="39" spans="2:59" ht="18.75">
      <c r="D39" s="337"/>
      <c r="E39" s="392"/>
      <c r="F39" s="392"/>
      <c r="G39" s="392"/>
      <c r="H39" s="392"/>
      <c r="I39" s="392"/>
      <c r="J39" s="392"/>
      <c r="M39" s="342"/>
      <c r="N39" s="399"/>
      <c r="O39" s="399"/>
      <c r="P39" s="399"/>
      <c r="Q39" s="399"/>
      <c r="R39" s="399"/>
      <c r="S39" s="399"/>
      <c r="T39" s="399"/>
      <c r="U39" s="399"/>
      <c r="V39" s="399"/>
      <c r="W39" s="346">
        <f>W40-20</f>
        <v>-20</v>
      </c>
      <c r="X39" s="347" t="str">
        <f>IF(W39&gt;0,"přebývá!","")</f>
        <v/>
      </c>
      <c r="Y39" s="400"/>
      <c r="Z39" s="348"/>
      <c r="AA39" s="349" t="s">
        <v>4295</v>
      </c>
      <c r="AB39" s="349"/>
      <c r="AC39" s="349" t="s">
        <v>4296</v>
      </c>
      <c r="AD39" s="350" t="s">
        <v>4297</v>
      </c>
      <c r="AE39" s="350" t="s">
        <v>4298</v>
      </c>
      <c r="AF39" s="351"/>
      <c r="AG39" s="400"/>
      <c r="AH39" s="400"/>
      <c r="AI39" s="400"/>
      <c r="AJ39" s="343"/>
      <c r="AP39" s="337"/>
      <c r="AQ39" s="392"/>
      <c r="AR39" s="392"/>
      <c r="AS39" s="392"/>
      <c r="AT39" s="392"/>
      <c r="AU39" s="392"/>
      <c r="AV39" s="392"/>
      <c r="BA39" s="337"/>
      <c r="BB39" s="392"/>
      <c r="BC39" s="392"/>
      <c r="BD39" s="392"/>
      <c r="BE39" s="392"/>
      <c r="BF39" s="392"/>
      <c r="BG39" s="392"/>
    </row>
    <row r="40" spans="2:59" ht="31.5" customHeight="1">
      <c r="D40" s="337"/>
      <c r="E40" s="337"/>
      <c r="F40" s="337"/>
      <c r="G40" s="337"/>
      <c r="H40" s="337"/>
      <c r="I40" s="337"/>
      <c r="J40" s="337"/>
      <c r="M40" s="342"/>
      <c r="N40" s="399"/>
      <c r="O40" s="399"/>
      <c r="P40" s="399"/>
      <c r="Q40" s="399"/>
      <c r="R40" s="399"/>
      <c r="S40" s="399"/>
      <c r="T40" s="399"/>
      <c r="U40" s="399"/>
      <c r="V40" s="399"/>
      <c r="W40" s="352">
        <f>SUM(W42:W47)</f>
        <v>0</v>
      </c>
      <c r="X40" s="346" t="s">
        <v>4299</v>
      </c>
      <c r="Y40" s="400"/>
      <c r="Z40" s="353" t="s">
        <v>4300</v>
      </c>
      <c r="AA40" s="354">
        <v>3</v>
      </c>
      <c r="AB40" s="354"/>
      <c r="AC40" s="354">
        <v>2</v>
      </c>
      <c r="AD40" s="354">
        <v>20</v>
      </c>
      <c r="AE40" s="354">
        <v>20</v>
      </c>
      <c r="AF40" s="355"/>
      <c r="AG40" s="400"/>
      <c r="AH40" s="400"/>
      <c r="AI40" s="400"/>
      <c r="AJ40" s="343"/>
      <c r="AP40" s="337"/>
      <c r="AQ40" s="337"/>
      <c r="AR40" s="337"/>
      <c r="AS40" s="337"/>
      <c r="AT40" s="337"/>
      <c r="AU40" s="337"/>
      <c r="AV40" s="337"/>
      <c r="BA40" s="337"/>
      <c r="BB40" s="337"/>
      <c r="BC40" s="337"/>
      <c r="BD40" s="337"/>
      <c r="BE40" s="337"/>
      <c r="BF40" s="337"/>
      <c r="BG40" s="337"/>
    </row>
    <row r="41" spans="2:59" ht="45">
      <c r="E41" s="337"/>
      <c r="F41" s="337"/>
      <c r="G41" s="337"/>
      <c r="H41" s="337"/>
      <c r="I41" s="337"/>
      <c r="J41" s="337"/>
      <c r="M41" s="342" t="s">
        <v>4301</v>
      </c>
      <c r="N41" s="399"/>
      <c r="O41" s="399"/>
      <c r="P41" s="399"/>
      <c r="Q41" s="399"/>
      <c r="R41" s="399"/>
      <c r="S41" s="412" t="s">
        <v>4302</v>
      </c>
      <c r="T41" s="412" t="s">
        <v>4303</v>
      </c>
      <c r="U41" s="402" t="s">
        <v>4304</v>
      </c>
      <c r="V41" s="399"/>
      <c r="W41" s="352" t="s">
        <v>4305</v>
      </c>
      <c r="X41" s="356" t="s">
        <v>4306</v>
      </c>
      <c r="Y41" s="357" t="s">
        <v>4306</v>
      </c>
      <c r="Z41" s="358"/>
      <c r="AA41" s="359"/>
      <c r="AB41" s="359"/>
      <c r="AC41" s="359"/>
      <c r="AD41" s="359"/>
      <c r="AE41" s="359"/>
      <c r="AF41" s="360"/>
      <c r="AG41" s="400"/>
      <c r="AH41" s="400"/>
      <c r="AI41" s="400"/>
      <c r="AJ41" s="343"/>
      <c r="AL41" s="1">
        <f>SUMIFS(W42:W47,V42:V47,"paleta")</f>
        <v>0</v>
      </c>
      <c r="AQ41" s="337"/>
      <c r="AR41" s="337"/>
      <c r="AS41" s="337"/>
      <c r="AT41" s="337"/>
      <c r="AU41" s="337"/>
      <c r="AV41" s="337"/>
      <c r="BB41" s="337"/>
      <c r="BC41" s="337"/>
      <c r="BD41" s="337"/>
      <c r="BE41" s="337"/>
      <c r="BF41" s="337"/>
      <c r="BG41" s="337"/>
    </row>
    <row r="42" spans="2:59" ht="18.75">
      <c r="E42" s="337"/>
      <c r="F42" s="337"/>
      <c r="G42" s="337"/>
      <c r="H42" s="337"/>
      <c r="I42" s="337"/>
      <c r="J42" s="337"/>
      <c r="M42" s="361" t="s">
        <v>4307</v>
      </c>
      <c r="N42" s="362" t="str">
        <f>IF(AND(IF($T42&lt;=AA$33,"balík A","ne")="balík A",IF($S42&lt;=AA$32,"balík A","ne")="balík A",$AA$39="balík A"),"balík A","ne")</f>
        <v>balík A</v>
      </c>
      <c r="O42" s="362" t="str">
        <f>IF(AND(IF($T42&lt;=AC$33,"balík B","ne")="balík B",IF($S42&lt;=AC$32,"balík B","ne")="balík B",$AC$39="balík B"),"balík B","ne")</f>
        <v>balík B</v>
      </c>
      <c r="P42" s="362" t="str">
        <f>IF(AND(T42&lt;=$AD$33,$S42&lt;=AD$32),"paleta A","ne")</f>
        <v>paleta A</v>
      </c>
      <c r="Q42" s="362" t="str">
        <f>IF(AND(T42&lt;=$AD$33,$S42&lt;=AE$32),"paleta B","ne")</f>
        <v>paleta B</v>
      </c>
      <c r="R42" s="362"/>
      <c r="S42" s="352">
        <f>MAX(X42:Y42)</f>
        <v>0</v>
      </c>
      <c r="T42" s="352">
        <f>MIN(X42:Y42)</f>
        <v>0</v>
      </c>
      <c r="U42" s="363" t="str">
        <f t="shared" ref="U42:U47" si="1">IF(N42&lt;&gt;"ne",N42,IF(O42&lt;&gt;"NE",O42,IF(P42&lt;&gt;"NE",P42,IF(Q42&lt;&gt;"NE",Q42,"ne"))))</f>
        <v>balík A</v>
      </c>
      <c r="V42" s="364" t="str">
        <f>_xlfn.TEXTBEFORE(U42," ")</f>
        <v>balík</v>
      </c>
      <c r="W42" s="365">
        <f>Ram_1!$H$28</f>
        <v>0</v>
      </c>
      <c r="X42" s="366">
        <f>Ram_1!AI30</f>
        <v>0</v>
      </c>
      <c r="Y42" s="367">
        <f>Ram_1!AR14</f>
        <v>0</v>
      </c>
      <c r="Z42" s="368" t="s">
        <v>4307</v>
      </c>
      <c r="AA42" s="354">
        <f>IF(M33&lt;&gt;3,0,IFERROR((IF(HLOOKUP(AA$39,$N42:$Q42,1,0)=AA$39,$W42,0)),0))</f>
        <v>0</v>
      </c>
      <c r="AB42" s="354">
        <f>IFERROR((IF(HLOOKUP(AB$39,$N42:$R42,1,0)=AB$39,$W42,0)),0)</f>
        <v>0</v>
      </c>
      <c r="AC42" s="354">
        <f>IF(M33&lt;&gt;3,0,IFERROR((IF(HLOOKUP(AC$39,$N42:$Q42,1,0)=AC$39,W42,0)),0))</f>
        <v>0</v>
      </c>
      <c r="AD42" s="354">
        <f>IF(M33&lt;&gt;3,0,IFERROR((IF(HLOOKUP(AD$39,$N42:$Q42,1,0)=AD$39,W42,0)),0))</f>
        <v>0</v>
      </c>
      <c r="AE42" s="354">
        <f>IF(M33&lt;&gt;3,0,IFERROR((IF(HLOOKUP(AE$39,$N42:$Q42,1,0)=AE$39,W42,0)),0))</f>
        <v>0</v>
      </c>
      <c r="AF42" s="355"/>
      <c r="AG42" s="400"/>
      <c r="AH42" s="400"/>
      <c r="AI42" s="400"/>
      <c r="AJ42" s="343"/>
      <c r="AQ42" s="337"/>
      <c r="AR42" s="337"/>
      <c r="AS42" s="337"/>
      <c r="AT42" s="337"/>
      <c r="AU42" s="337"/>
      <c r="AV42" s="337"/>
      <c r="BB42" s="337"/>
      <c r="BC42" s="337"/>
      <c r="BD42" s="337"/>
      <c r="BE42" s="337"/>
      <c r="BF42" s="337"/>
      <c r="BG42" s="337"/>
    </row>
    <row r="43" spans="2:59" ht="18.75">
      <c r="E43" s="337"/>
      <c r="F43" s="337"/>
      <c r="G43" s="337"/>
      <c r="H43" s="337"/>
      <c r="I43" s="337"/>
      <c r="J43" s="337"/>
      <c r="M43" s="361" t="s">
        <v>4308</v>
      </c>
      <c r="N43" s="362" t="str">
        <f t="shared" ref="N43:N46" si="2">IF(AND(IF($T43&lt;=AA$33,"balík A","ne")="balík A",IF($S43&lt;=AA$32,"balík A","ne")="balík A",$AA$39="balík A"),"balík A","ne")</f>
        <v>balík A</v>
      </c>
      <c r="O43" s="362" t="str">
        <f t="shared" ref="O43:O47" si="3">IF(AND(IF($T43&lt;=AC$33,"balík B","ne")="balík B",IF($S43&lt;=AC$32,"balík B","ne")="balík B",$AC$39="balík B"),"balík B","ne")</f>
        <v>balík B</v>
      </c>
      <c r="P43" s="362" t="str">
        <f t="shared" ref="P43:P47" si="4">IF(AND(T43&lt;=$AD$33,$S43&lt;=AD$32),"paleta A","ne")</f>
        <v>paleta A</v>
      </c>
      <c r="Q43" s="362" t="str">
        <f t="shared" ref="Q43:Q47" si="5">IF(AND(T43&lt;=$AD$33,$S43&lt;=AE$32),"paleta B","ne")</f>
        <v>paleta B</v>
      </c>
      <c r="R43" s="362"/>
      <c r="S43" s="352">
        <f>MAX(X43:Y43)</f>
        <v>0</v>
      </c>
      <c r="T43" s="352">
        <f t="shared" ref="T43:T46" si="6">MIN(X43:Y43)</f>
        <v>0</v>
      </c>
      <c r="U43" s="363" t="str">
        <f t="shared" si="1"/>
        <v>balík A</v>
      </c>
      <c r="V43" s="364" t="str">
        <f t="shared" ref="V43:V47" si="7">_xlfn.TEXTBEFORE(U43," ")</f>
        <v>balík</v>
      </c>
      <c r="W43" s="365">
        <f>Ram_2!$H$28</f>
        <v>0</v>
      </c>
      <c r="X43" s="366">
        <f>Ram_2!AI30</f>
        <v>0</v>
      </c>
      <c r="Y43" s="367">
        <f>Ram_2!AR14</f>
        <v>0</v>
      </c>
      <c r="Z43" s="368" t="s">
        <v>4308</v>
      </c>
      <c r="AA43" s="354">
        <f>IF(M33&lt;&gt;3,0,IFERROR((IF(HLOOKUP(AA$39,$N43:$Q43,1,0)=AA$39,$W43,0)),0))</f>
        <v>0</v>
      </c>
      <c r="AB43" s="354"/>
      <c r="AC43" s="354">
        <f>IF(M33&lt;&gt;3,0,IFERROR((IF(HLOOKUP(AC$39,$N43:$Q43,1,0)=AC$39,W43,0)),0))</f>
        <v>0</v>
      </c>
      <c r="AD43" s="354">
        <f>IF(M33&lt;&gt;3,0,IFERROR((IF(HLOOKUP(AD$39,$N43:$Q43,1,0)=AD$39,W43,0)),0))</f>
        <v>0</v>
      </c>
      <c r="AE43" s="354">
        <f>IF(M33&lt;&gt;3,0,IFERROR((IF(HLOOKUP(AE$39,$N43:$Q43,1,0)=AE$39,W43,0)),0))</f>
        <v>0</v>
      </c>
      <c r="AF43" s="355"/>
      <c r="AG43" s="400"/>
      <c r="AH43" s="400"/>
      <c r="AI43" s="400"/>
      <c r="AJ43" s="343"/>
      <c r="AR43" s="337"/>
      <c r="AS43" s="337"/>
      <c r="AT43" s="337"/>
      <c r="AU43" s="337"/>
      <c r="BB43" s="337"/>
      <c r="BC43" s="337"/>
      <c r="BD43" s="337"/>
      <c r="BE43" s="337"/>
      <c r="BF43" s="337"/>
      <c r="BG43" s="337"/>
    </row>
    <row r="44" spans="2:59" ht="18.75">
      <c r="E44" s="337"/>
      <c r="F44" s="337"/>
      <c r="G44" s="337"/>
      <c r="H44" s="337"/>
      <c r="I44" s="337"/>
      <c r="J44" s="337"/>
      <c r="M44" s="361" t="s">
        <v>4309</v>
      </c>
      <c r="N44" s="362" t="str">
        <f t="shared" si="2"/>
        <v>balík A</v>
      </c>
      <c r="O44" s="362" t="str">
        <f t="shared" si="3"/>
        <v>balík B</v>
      </c>
      <c r="P44" s="362" t="str">
        <f t="shared" si="4"/>
        <v>paleta A</v>
      </c>
      <c r="Q44" s="362" t="str">
        <f t="shared" si="5"/>
        <v>paleta B</v>
      </c>
      <c r="R44" s="362"/>
      <c r="S44" s="352">
        <f t="shared" ref="S44:S46" si="8">MAX(X44:Y44)</f>
        <v>0</v>
      </c>
      <c r="T44" s="352">
        <f>MIN(X44:Y44)</f>
        <v>0</v>
      </c>
      <c r="U44" s="363" t="str">
        <f t="shared" si="1"/>
        <v>balík A</v>
      </c>
      <c r="V44" s="364" t="str">
        <f t="shared" si="7"/>
        <v>balík</v>
      </c>
      <c r="W44" s="365">
        <f>Ram_3!H28</f>
        <v>0</v>
      </c>
      <c r="X44" s="366">
        <f>Ram_3!AI30</f>
        <v>0</v>
      </c>
      <c r="Y44" s="367">
        <f>Ram_3!AR14</f>
        <v>0</v>
      </c>
      <c r="Z44" s="368" t="s">
        <v>4309</v>
      </c>
      <c r="AA44" s="354">
        <f>IF(M33&lt;&gt;3,0,IFERROR((IF(HLOOKUP(AA$39,$N44:$Q44,1,0)=AA$39,$W44,0)),0))</f>
        <v>0</v>
      </c>
      <c r="AB44" s="354"/>
      <c r="AC44" s="354">
        <f>IF(M33&lt;&gt;3,0,IFERROR((IF(HLOOKUP(AC$39,$N44:$Q44,1,0)=AC$39,W44,0)),0))</f>
        <v>0</v>
      </c>
      <c r="AD44" s="354">
        <f>IF(M33&lt;&gt;3,0,IFERROR((IF(HLOOKUP(AD$39,$N44:$Q44,1,0)=AD$39,W44,0)),0))</f>
        <v>0</v>
      </c>
      <c r="AE44" s="354">
        <f>IF(M33&lt;&gt;3,0,IFERROR((IF(HLOOKUP(AE$39,$N44:$Q44,1,0)=AE$39,W44,0)),0))</f>
        <v>0</v>
      </c>
      <c r="AF44" s="355"/>
      <c r="AG44" s="400"/>
      <c r="AH44" s="400"/>
      <c r="AI44" s="400"/>
      <c r="AJ44" s="343"/>
      <c r="AQ44" s="337"/>
      <c r="AR44" s="337"/>
      <c r="AS44" s="337"/>
      <c r="AT44" s="337"/>
      <c r="AU44" s="337"/>
      <c r="AV44" s="337"/>
      <c r="BB44" s="337"/>
      <c r="BC44" s="337"/>
      <c r="BD44" s="337"/>
      <c r="BE44" s="337"/>
      <c r="BF44" s="337"/>
      <c r="BG44" s="337"/>
    </row>
    <row r="45" spans="2:59" ht="18.75">
      <c r="E45" s="337"/>
      <c r="F45" s="337"/>
      <c r="G45" s="337"/>
      <c r="H45" s="337"/>
      <c r="I45" s="337"/>
      <c r="J45" s="337"/>
      <c r="M45" s="361" t="s">
        <v>4310</v>
      </c>
      <c r="N45" s="362" t="str">
        <f t="shared" si="2"/>
        <v>balík A</v>
      </c>
      <c r="O45" s="362" t="str">
        <f t="shared" si="3"/>
        <v>balík B</v>
      </c>
      <c r="P45" s="362" t="str">
        <f t="shared" si="4"/>
        <v>paleta A</v>
      </c>
      <c r="Q45" s="362" t="str">
        <f t="shared" si="5"/>
        <v>paleta B</v>
      </c>
      <c r="R45" s="362"/>
      <c r="S45" s="352">
        <f t="shared" si="8"/>
        <v>0</v>
      </c>
      <c r="T45" s="352">
        <f t="shared" si="6"/>
        <v>0</v>
      </c>
      <c r="U45" s="363" t="str">
        <f t="shared" si="1"/>
        <v>balík A</v>
      </c>
      <c r="V45" s="364" t="str">
        <f t="shared" si="7"/>
        <v>balík</v>
      </c>
      <c r="W45" s="365">
        <f>Ram_4!H28</f>
        <v>0</v>
      </c>
      <c r="X45" s="366">
        <f>Ram_4!AI30</f>
        <v>0</v>
      </c>
      <c r="Y45" s="367">
        <f>Ram_4!AR14</f>
        <v>0</v>
      </c>
      <c r="Z45" s="368" t="s">
        <v>4310</v>
      </c>
      <c r="AA45" s="354">
        <f>IF(M33&lt;&gt;3,0,IFERROR((IF(HLOOKUP(AA$39,$N45:$Q45,1,0)=AA$39,$W45,0)),0))</f>
        <v>0</v>
      </c>
      <c r="AB45" s="354"/>
      <c r="AC45" s="354">
        <f>IF(M33&lt;&gt;3,0,IFERROR((IF(HLOOKUP(AC$39,$N45:$Q45,1,0)=AC$39,W45,0)),0))</f>
        <v>0</v>
      </c>
      <c r="AD45" s="354">
        <f>IF(M33&lt;&gt;3,0,IFERROR((IF(HLOOKUP(AD$39,$N45:$Q45,1,0)=AD$39,W45,0)),0))</f>
        <v>0</v>
      </c>
      <c r="AE45" s="354">
        <f>IF(M33&lt;&gt;3,0,IFERROR((IF(HLOOKUP(AE$39,$N45:$Q45,1,0)=AE$39,W45,0)),0))</f>
        <v>0</v>
      </c>
      <c r="AF45" s="355"/>
      <c r="AG45" s="400"/>
      <c r="AH45" s="400"/>
      <c r="AI45" s="400"/>
      <c r="AJ45" s="343"/>
      <c r="AQ45" s="337"/>
      <c r="AR45" s="337"/>
      <c r="AS45" s="337"/>
      <c r="AT45" s="337"/>
      <c r="AU45" s="337"/>
      <c r="AV45" s="337"/>
      <c r="BB45" s="337"/>
      <c r="BC45" s="337"/>
      <c r="BD45" s="337"/>
      <c r="BE45" s="337"/>
      <c r="BF45" s="337"/>
      <c r="BG45" s="337"/>
    </row>
    <row r="46" spans="2:59" ht="18.75">
      <c r="E46" s="337"/>
      <c r="F46" s="337"/>
      <c r="G46" s="337"/>
      <c r="H46" s="337"/>
      <c r="I46" s="337"/>
      <c r="J46" s="337"/>
      <c r="M46" s="361" t="s">
        <v>4311</v>
      </c>
      <c r="N46" s="362" t="str">
        <f t="shared" si="2"/>
        <v>balík A</v>
      </c>
      <c r="O46" s="362" t="str">
        <f>IF(AND(IF($T46&lt;=AC$33,"balík B","ne")="balík B",IF($S46&lt;=AC$32,"balík B","ne")="balík B",$AC$39="balík B"),"balík B","ne")</f>
        <v>balík B</v>
      </c>
      <c r="P46" s="362" t="str">
        <f t="shared" si="4"/>
        <v>paleta A</v>
      </c>
      <c r="Q46" s="362" t="str">
        <f t="shared" si="5"/>
        <v>paleta B</v>
      </c>
      <c r="R46" s="362"/>
      <c r="S46" s="352">
        <f t="shared" si="8"/>
        <v>0</v>
      </c>
      <c r="T46" s="352">
        <f t="shared" si="6"/>
        <v>0</v>
      </c>
      <c r="U46" s="363" t="str">
        <f t="shared" si="1"/>
        <v>balík A</v>
      </c>
      <c r="V46" s="364" t="str">
        <f t="shared" si="7"/>
        <v>balík</v>
      </c>
      <c r="W46" s="365">
        <f>Ram_5!H28</f>
        <v>0</v>
      </c>
      <c r="X46" s="366">
        <f>Ram_5!AI30</f>
        <v>0</v>
      </c>
      <c r="Y46" s="367">
        <f>Ram_5!AR14</f>
        <v>0</v>
      </c>
      <c r="Z46" s="368" t="s">
        <v>4311</v>
      </c>
      <c r="AA46" s="354">
        <f>IF(M33&lt;&gt;3,0,IFERROR((IF(HLOOKUP(AA$39,$N46:$Q46,1,0)=AA$39,$W46,0)),0))</f>
        <v>0</v>
      </c>
      <c r="AB46" s="354"/>
      <c r="AC46" s="354">
        <f>IF(M33&lt;&gt;3,0,IFERROR((IF(HLOOKUP(AC$39,$N46:$Q46,1,0)=AC$39,W46,0)),0))</f>
        <v>0</v>
      </c>
      <c r="AD46" s="354">
        <f>IF(M33&lt;&gt;3,0,IFERROR((IF(HLOOKUP(AD$39,$N46:$Q46,1,0)=AD$39,W46,0)),0))</f>
        <v>0</v>
      </c>
      <c r="AE46" s="354">
        <f>IF(M33&lt;&gt;3,0,IFERROR((IF(HLOOKUP(AE$39,$N46:$Q46,1,0)=AE$39,W46,0)),0))</f>
        <v>0</v>
      </c>
      <c r="AF46" s="355"/>
      <c r="AG46" s="400"/>
      <c r="AH46" s="400"/>
      <c r="AI46" s="400"/>
      <c r="AJ46" s="343"/>
      <c r="AQ46" s="337"/>
      <c r="AR46" s="337"/>
      <c r="AS46" s="337"/>
      <c r="AT46" s="337"/>
      <c r="AU46" s="337"/>
      <c r="AV46" s="337"/>
      <c r="BB46" s="337"/>
      <c r="BC46" s="337"/>
      <c r="BD46" s="337"/>
      <c r="BE46" s="337"/>
      <c r="BF46" s="337"/>
      <c r="BG46" s="337"/>
    </row>
    <row r="47" spans="2:59" ht="19.5" outlineLevel="1" thickBot="1">
      <c r="E47" s="337"/>
      <c r="F47" s="337"/>
      <c r="G47" s="337"/>
      <c r="H47" s="337"/>
      <c r="I47" s="337"/>
      <c r="J47" s="337"/>
      <c r="M47" s="361" t="s">
        <v>4312</v>
      </c>
      <c r="N47" s="362" t="str">
        <f>IF(AND(IF($T47&lt;=AA$33,"balík A","ne")="balík A",IF($S47&lt;=AA$32,"balík A","ne")="balík A",$AA$39="balík A"),"balík A","ne")</f>
        <v>balík A</v>
      </c>
      <c r="O47" s="362" t="str">
        <f t="shared" si="3"/>
        <v>balík B</v>
      </c>
      <c r="P47" s="362" t="str">
        <f t="shared" si="4"/>
        <v>paleta A</v>
      </c>
      <c r="Q47" s="362" t="str">
        <f t="shared" si="5"/>
        <v>paleta B</v>
      </c>
      <c r="R47" s="362"/>
      <c r="S47" s="352">
        <f>MAX(X47:Y47)</f>
        <v>0</v>
      </c>
      <c r="T47" s="352">
        <f>MIN(X47:Y47)</f>
        <v>0</v>
      </c>
      <c r="U47" s="363" t="str">
        <f t="shared" si="1"/>
        <v>balík A</v>
      </c>
      <c r="V47" s="364" t="str">
        <f t="shared" si="7"/>
        <v>balík</v>
      </c>
      <c r="W47" s="365">
        <f>Ram_6!H28</f>
        <v>0</v>
      </c>
      <c r="X47" s="366">
        <f>Ram_6!AI30</f>
        <v>0</v>
      </c>
      <c r="Y47" s="367">
        <f>Ram_6!AR14</f>
        <v>0</v>
      </c>
      <c r="Z47" s="369" t="s">
        <v>4312</v>
      </c>
      <c r="AA47" s="370">
        <f>IF(M33&lt;&gt;3,0,IFERROR((IF(HLOOKUP(AA$39,$N47:$Q47,1,0)=AA$39,$W47,0)),0))</f>
        <v>0</v>
      </c>
      <c r="AB47" s="370"/>
      <c r="AC47" s="370">
        <f>IF(M33&lt;&gt;3,0,IFERROR((IF(HLOOKUP(AC$39,$N47:$Q47,1,0)=AC$39,W47,0)),0))</f>
        <v>0</v>
      </c>
      <c r="AD47" s="370">
        <f>IF(M33&lt;&gt;3,0,IFERROR((IF(HLOOKUP(AD$39,$N47:$Q47,1,0)=AD$39,W47,0)),0))</f>
        <v>0</v>
      </c>
      <c r="AE47" s="370">
        <f>IF(M33&lt;&gt;3,0,IFERROR((IF(HLOOKUP(AE$39,$N47:$Q47,1,0)=AE$39,W47,0)),0))</f>
        <v>0</v>
      </c>
      <c r="AF47" s="416"/>
      <c r="AG47" s="400"/>
      <c r="AH47" s="400"/>
      <c r="AI47" s="400"/>
      <c r="AJ47" s="343"/>
      <c r="AQ47" s="337"/>
      <c r="AR47" s="337"/>
      <c r="AS47" s="337"/>
      <c r="AT47" s="337"/>
      <c r="AU47" s="337"/>
      <c r="AV47" s="337"/>
      <c r="BB47" s="337"/>
      <c r="BC47" s="337"/>
      <c r="BD47" s="337"/>
      <c r="BE47" s="337"/>
      <c r="BF47" s="337"/>
      <c r="BG47" s="337"/>
    </row>
    <row r="48" spans="2:59" ht="15" outlineLevel="6">
      <c r="E48" s="337"/>
      <c r="F48" s="337"/>
      <c r="G48" s="337"/>
      <c r="H48" s="337"/>
      <c r="I48" s="337"/>
      <c r="J48" s="337"/>
      <c r="M48" s="342"/>
      <c r="N48" s="399"/>
      <c r="O48" s="399"/>
      <c r="P48" s="399"/>
      <c r="Q48" s="399"/>
      <c r="R48" s="399"/>
      <c r="S48" s="399"/>
      <c r="T48" s="399"/>
      <c r="U48" s="399" t="str">
        <f>IFERROR((VLOOKUP("ne",U42:U47,1,0)),"ano")</f>
        <v>ano</v>
      </c>
      <c r="V48" s="399"/>
      <c r="W48" s="399"/>
      <c r="X48" s="403"/>
      <c r="Y48" s="401"/>
      <c r="Z48" s="400"/>
      <c r="AA48" s="401">
        <f>SUM(AA42:AA47)</f>
        <v>0</v>
      </c>
      <c r="AB48" s="401"/>
      <c r="AC48" s="401">
        <f>SUM(AC42:AC47)-(IF(O42="ne",0,AA48))</f>
        <v>0</v>
      </c>
      <c r="AD48" s="401">
        <f>SUM(AD42:AD47)-SUM($AA$48:AC48)</f>
        <v>0</v>
      </c>
      <c r="AE48" s="401">
        <f>SUM(AE42:AE47)-SUM($AA$48:AD48)</f>
        <v>0</v>
      </c>
      <c r="AF48" s="401"/>
      <c r="AG48" s="400"/>
      <c r="AH48" s="404" t="s">
        <v>4313</v>
      </c>
      <c r="AI48" s="400"/>
      <c r="AJ48" s="343"/>
      <c r="AQ48" s="337"/>
      <c r="AR48" s="337"/>
      <c r="AS48" s="337"/>
      <c r="AT48" s="337"/>
      <c r="AU48" s="337"/>
      <c r="AV48" s="337"/>
      <c r="BB48" s="337"/>
      <c r="BC48" s="337"/>
      <c r="BD48" s="337"/>
      <c r="BE48" s="337"/>
      <c r="BF48" s="337"/>
      <c r="BG48" s="337"/>
    </row>
    <row r="49" spans="1:59" ht="15" outlineLevel="6">
      <c r="E49" s="337"/>
      <c r="F49" s="337"/>
      <c r="G49" s="337"/>
      <c r="H49" s="337"/>
      <c r="I49" s="337"/>
      <c r="J49" s="337"/>
      <c r="M49" s="342"/>
      <c r="N49" s="399"/>
      <c r="O49" s="399"/>
      <c r="P49" s="399"/>
      <c r="Q49" s="399"/>
      <c r="R49" s="399"/>
      <c r="S49" s="399"/>
      <c r="T49" s="399"/>
      <c r="U49" s="399"/>
      <c r="V49" s="399"/>
      <c r="W49" s="399"/>
      <c r="X49" s="403"/>
      <c r="Y49" s="401"/>
      <c r="Z49" s="400"/>
      <c r="AA49" s="401">
        <f>CEILING(AA48/AA40,1)</f>
        <v>0</v>
      </c>
      <c r="AB49" s="401" t="e">
        <f>FLOOR(AB48/AB40,1)</f>
        <v>#DIV/0!</v>
      </c>
      <c r="AC49" s="401">
        <f>CEILING(AC48/AC40,1)</f>
        <v>0</v>
      </c>
      <c r="AD49" s="401"/>
      <c r="AE49" s="401"/>
      <c r="AF49" s="401"/>
      <c r="AG49" s="400"/>
      <c r="AH49" s="400" t="s">
        <v>4314</v>
      </c>
      <c r="AI49" s="400"/>
      <c r="AJ49" s="343"/>
      <c r="AQ49" s="337"/>
      <c r="AR49" s="337"/>
      <c r="AS49" s="337"/>
      <c r="AT49" s="337"/>
      <c r="AU49" s="337"/>
      <c r="AV49" s="337"/>
      <c r="BB49" s="337"/>
      <c r="BC49" s="337"/>
      <c r="BD49" s="337"/>
      <c r="BE49" s="337"/>
      <c r="BF49" s="337"/>
      <c r="BG49" s="337"/>
    </row>
    <row r="50" spans="1:59" ht="15" outlineLevel="6">
      <c r="E50" s="337"/>
      <c r="F50" s="337"/>
      <c r="G50" s="337"/>
      <c r="H50" s="337"/>
      <c r="I50" s="337"/>
      <c r="J50" s="337"/>
      <c r="M50" s="342"/>
      <c r="N50" s="399"/>
      <c r="O50" s="399"/>
      <c r="P50" s="399"/>
      <c r="Q50" s="399"/>
      <c r="R50" s="399"/>
      <c r="S50" s="399"/>
      <c r="T50" s="399"/>
      <c r="U50" s="399"/>
      <c r="V50" s="399"/>
      <c r="W50" s="399"/>
      <c r="X50" s="403"/>
      <c r="Y50" s="401"/>
      <c r="Z50" s="400"/>
      <c r="AA50" s="401">
        <f>SUM(AA42:AA47)</f>
        <v>0</v>
      </c>
      <c r="AB50" s="401"/>
      <c r="AC50" s="401">
        <f>SUM(AC42:AC47)</f>
        <v>0</v>
      </c>
      <c r="AD50" s="401">
        <f t="shared" ref="AD50" si="9">SUM(AD42:AD47)</f>
        <v>0</v>
      </c>
      <c r="AE50" s="401">
        <f>SUM(AE42:AE47)</f>
        <v>0</v>
      </c>
      <c r="AF50" s="401"/>
      <c r="AG50" s="400"/>
      <c r="AH50" s="404" t="s">
        <v>4315</v>
      </c>
      <c r="AI50" s="400"/>
      <c r="AJ50" s="343"/>
      <c r="AQ50" s="337"/>
      <c r="AR50" s="337"/>
      <c r="AS50" s="337"/>
      <c r="AT50" s="337"/>
      <c r="AU50" s="337"/>
      <c r="AV50" s="337"/>
      <c r="BB50" s="337"/>
      <c r="BC50" s="337"/>
      <c r="BD50" s="337"/>
      <c r="BE50" s="337"/>
      <c r="BF50" s="337"/>
      <c r="BG50" s="337"/>
    </row>
    <row r="51" spans="1:59" ht="15" outlineLevel="6">
      <c r="M51" s="342"/>
      <c r="N51" s="399"/>
      <c r="O51" s="399"/>
      <c r="P51" s="399"/>
      <c r="Q51" s="399"/>
      <c r="R51" s="399"/>
      <c r="S51" s="399"/>
      <c r="T51" s="399"/>
      <c r="U51" s="399"/>
      <c r="V51" s="399"/>
      <c r="W51" s="399"/>
      <c r="X51" s="399"/>
      <c r="Y51" s="400"/>
      <c r="Z51" s="400"/>
      <c r="AA51" s="401">
        <f t="shared" ref="AA51:AE51" si="10">CEILING(AA50/AA40,1)</f>
        <v>0</v>
      </c>
      <c r="AB51" s="401" t="e">
        <f t="shared" si="10"/>
        <v>#DIV/0!</v>
      </c>
      <c r="AC51" s="401">
        <f t="shared" si="10"/>
        <v>0</v>
      </c>
      <c r="AD51" s="401">
        <f t="shared" si="10"/>
        <v>0</v>
      </c>
      <c r="AE51" s="401">
        <f t="shared" si="10"/>
        <v>0</v>
      </c>
      <c r="AF51" s="401"/>
      <c r="AG51" s="400"/>
      <c r="AH51" s="400" t="s">
        <v>4316</v>
      </c>
      <c r="AI51" s="400"/>
      <c r="AJ51" s="343"/>
    </row>
    <row r="52" spans="1:59" ht="15" outlineLevel="6">
      <c r="M52" s="342"/>
      <c r="N52" s="399"/>
      <c r="O52" s="399"/>
      <c r="P52" s="399"/>
      <c r="Q52" s="399"/>
      <c r="R52" s="399"/>
      <c r="S52" s="399"/>
      <c r="T52" s="399"/>
      <c r="U52" s="399"/>
      <c r="V52" s="399"/>
      <c r="W52" s="399"/>
      <c r="X52" s="399"/>
      <c r="Y52" s="400"/>
      <c r="Z52" s="400"/>
      <c r="AA52" s="401">
        <f>CEILING(AA50/AA40,1)</f>
        <v>0</v>
      </c>
      <c r="AB52" s="401"/>
      <c r="AC52" s="401">
        <f>CEILING((AC50-AA50)/AC40,1)</f>
        <v>0</v>
      </c>
      <c r="AD52" s="401"/>
      <c r="AE52" s="401"/>
      <c r="AF52" s="401"/>
      <c r="AG52" s="400"/>
      <c r="AH52" s="400" t="s">
        <v>4317</v>
      </c>
      <c r="AI52" s="400"/>
      <c r="AJ52" s="343"/>
      <c r="AV52" s="337"/>
    </row>
    <row r="53" spans="1:59" ht="15" outlineLevel="6">
      <c r="M53" s="342"/>
      <c r="N53" s="399"/>
      <c r="O53" s="399"/>
      <c r="P53" s="399"/>
      <c r="Q53" s="399"/>
      <c r="R53" s="399"/>
      <c r="S53" s="399"/>
      <c r="T53" s="399"/>
      <c r="U53" s="399"/>
      <c r="V53" s="399"/>
      <c r="W53" s="399"/>
      <c r="X53" s="399"/>
      <c r="Y53" s="400"/>
      <c r="Z53" s="400"/>
      <c r="AA53" s="401">
        <f>(AA50/AA40-FLOOR(AA50/AA40,1))*AA40</f>
        <v>0</v>
      </c>
      <c r="AB53" s="401" t="e">
        <f>(AB50/AB40-FLOOR(AB50/AB40,1))*AB40</f>
        <v>#DIV/0!</v>
      </c>
      <c r="AC53" s="401">
        <f>((AC50-AA50)/AC40-FLOOR(AC50/AC40,1))*AC40</f>
        <v>0</v>
      </c>
      <c r="AD53" s="401"/>
      <c r="AE53" s="401"/>
      <c r="AF53" s="401"/>
      <c r="AG53" s="400"/>
      <c r="AH53" s="400" t="s">
        <v>4318</v>
      </c>
      <c r="AI53" s="400"/>
      <c r="AJ53" s="343"/>
    </row>
    <row r="54" spans="1:59" ht="21" customHeight="1" outlineLevel="6">
      <c r="E54" s="386"/>
      <c r="F54" s="386"/>
      <c r="G54" s="386"/>
      <c r="H54" s="387"/>
      <c r="I54" s="387"/>
      <c r="J54" s="387"/>
      <c r="M54" s="342"/>
      <c r="N54" s="399"/>
      <c r="O54" s="399"/>
      <c r="P54" s="399"/>
      <c r="Q54" s="399"/>
      <c r="R54" s="399"/>
      <c r="S54" s="399"/>
      <c r="T54" s="399"/>
      <c r="U54" s="399"/>
      <c r="V54" s="399"/>
      <c r="W54" s="399"/>
      <c r="X54" s="399"/>
      <c r="Y54" s="400"/>
      <c r="Z54" s="400" t="s">
        <v>4319</v>
      </c>
      <c r="AA54" s="405">
        <f>AA48-(FLOOR(AA48/AA40,1)*AA40)</f>
        <v>0</v>
      </c>
      <c r="AB54" s="405" t="e">
        <f>AB49*AB40-AB48</f>
        <v>#DIV/0!</v>
      </c>
      <c r="AC54" s="401"/>
      <c r="AD54" s="401"/>
      <c r="AE54" s="401"/>
      <c r="AF54" s="401"/>
      <c r="AG54" s="400"/>
      <c r="AH54" s="400" t="s">
        <v>4319</v>
      </c>
      <c r="AI54" s="400"/>
      <c r="AJ54" s="343"/>
    </row>
    <row r="55" spans="1:59" ht="21" customHeight="1" outlineLevel="6">
      <c r="E55" s="386"/>
      <c r="F55" s="386"/>
      <c r="G55" s="386"/>
      <c r="H55" s="387"/>
      <c r="I55" s="387"/>
      <c r="J55" s="387"/>
      <c r="M55" s="342"/>
      <c r="N55" s="399"/>
      <c r="O55" s="399"/>
      <c r="P55" s="399"/>
      <c r="Q55" s="399"/>
      <c r="R55" s="399"/>
      <c r="S55" s="399"/>
      <c r="T55" s="399"/>
      <c r="U55" s="399"/>
      <c r="V55" s="399"/>
      <c r="W55" s="399"/>
      <c r="X55" s="399"/>
      <c r="Y55" s="400"/>
      <c r="Z55" s="400"/>
      <c r="AA55" s="405"/>
      <c r="AB55" s="405"/>
      <c r="AC55" s="405">
        <f>AC49*AC40-AC48</f>
        <v>0</v>
      </c>
      <c r="AD55" s="401"/>
      <c r="AE55" s="401"/>
      <c r="AF55" s="401"/>
      <c r="AG55" s="400"/>
      <c r="AH55" s="400" t="s">
        <v>4320</v>
      </c>
      <c r="AI55" s="400"/>
      <c r="AJ55" s="343"/>
    </row>
    <row r="56" spans="1:59" ht="21" customHeight="1" outlineLevel="6">
      <c r="E56" s="386"/>
      <c r="F56" s="386"/>
      <c r="G56" s="386"/>
      <c r="H56" s="387"/>
      <c r="I56" s="387"/>
      <c r="J56" s="387"/>
      <c r="M56" s="342"/>
      <c r="N56" s="399"/>
      <c r="O56" s="399"/>
      <c r="P56" s="399"/>
      <c r="Q56" s="399"/>
      <c r="R56" s="399"/>
      <c r="S56" s="399"/>
      <c r="T56" s="399"/>
      <c r="U56" s="399"/>
      <c r="V56" s="399"/>
      <c r="W56" s="399"/>
      <c r="X56" s="399"/>
      <c r="Y56" s="400"/>
      <c r="Z56" s="400"/>
      <c r="AA56" s="405">
        <f>(AA48-AA54)/AA40</f>
        <v>0</v>
      </c>
      <c r="AB56" s="405"/>
      <c r="AC56" s="401">
        <f>CEILING((AC48+AA54)/AC40,1)</f>
        <v>0</v>
      </c>
      <c r="AD56" s="401"/>
      <c r="AE56" s="401"/>
      <c r="AF56" s="401"/>
      <c r="AG56" s="400"/>
      <c r="AH56" s="404" t="s">
        <v>4321</v>
      </c>
      <c r="AI56" s="400"/>
      <c r="AJ56" s="343"/>
    </row>
    <row r="57" spans="1:59" ht="23.25" customHeight="1" outlineLevel="1" thickBot="1">
      <c r="B57" s="238"/>
      <c r="E57" s="337"/>
      <c r="F57" s="337"/>
      <c r="G57" s="337"/>
      <c r="H57" s="337"/>
      <c r="I57" s="337"/>
      <c r="J57" s="337"/>
      <c r="M57" s="342"/>
      <c r="N57" s="399"/>
      <c r="O57" s="399"/>
      <c r="P57" s="399"/>
      <c r="Q57" s="399"/>
      <c r="R57" s="399"/>
      <c r="S57" s="399"/>
      <c r="T57" s="399"/>
      <c r="U57" s="399"/>
      <c r="V57" s="399"/>
      <c r="W57" s="399"/>
      <c r="X57" s="399"/>
      <c r="Y57" s="400"/>
      <c r="Z57" s="400"/>
      <c r="AA57" s="400"/>
      <c r="AB57" s="400"/>
      <c r="AC57" s="400"/>
      <c r="AD57" s="400"/>
      <c r="AE57" s="400"/>
      <c r="AF57" s="400"/>
      <c r="AG57" s="400"/>
      <c r="AH57" s="400" t="s">
        <v>4322</v>
      </c>
      <c r="AI57" s="400"/>
      <c r="AJ57" s="343"/>
    </row>
    <row r="58" spans="1:59" ht="30" customHeight="1" thickBot="1">
      <c r="A58" s="396"/>
      <c r="B58" s="160"/>
      <c r="D58" s="337"/>
      <c r="E58" s="389"/>
      <c r="F58" s="389"/>
      <c r="G58" s="389"/>
      <c r="H58" s="389"/>
      <c r="I58" s="389"/>
      <c r="J58" s="389"/>
      <c r="M58" s="342"/>
      <c r="N58" s="399"/>
      <c r="O58" s="399"/>
      <c r="P58" s="399"/>
      <c r="Q58" s="399"/>
      <c r="R58" s="399"/>
      <c r="S58" s="399"/>
      <c r="T58" s="399"/>
      <c r="U58" s="399"/>
      <c r="V58" s="399"/>
      <c r="W58" s="399"/>
      <c r="X58" s="399"/>
      <c r="Y58" s="400"/>
      <c r="Z58" s="400"/>
      <c r="AA58" s="371">
        <f>IF(AA50&lt;$Z$36,0,AA51*AA38)</f>
        <v>0</v>
      </c>
      <c r="AB58" s="372">
        <f>IF(AB50&lt;$Z$36,0,AB57)</f>
        <v>0</v>
      </c>
      <c r="AC58" s="372">
        <f>IF(AC50&lt;$Z$36,0,AC51*AC38)</f>
        <v>0</v>
      </c>
      <c r="AD58" s="372">
        <f>IF(AD50&lt;$Z$36,0,AD51*AD38)</f>
        <v>0</v>
      </c>
      <c r="AE58" s="372">
        <f>IF(AE50&lt;$Z$36,0,AE51*AE38)</f>
        <v>0</v>
      </c>
      <c r="AF58" s="373"/>
      <c r="AG58" s="406">
        <f>(_xlfn.MINIFS(AA57:AE57,AA58:AE58,"&gt;"&amp;0))</f>
        <v>0</v>
      </c>
      <c r="AH58" s="413"/>
      <c r="AI58" s="400"/>
      <c r="AJ58" s="343"/>
    </row>
    <row r="59" spans="1:59" ht="17.25" customHeight="1">
      <c r="A59" s="396"/>
      <c r="B59" s="160"/>
      <c r="D59" s="337"/>
      <c r="E59" s="390"/>
      <c r="F59" s="390"/>
      <c r="G59" s="390"/>
      <c r="H59" s="390"/>
      <c r="I59" s="390"/>
      <c r="J59" s="390"/>
      <c r="M59" s="342"/>
      <c r="N59" s="399"/>
      <c r="O59" s="399"/>
      <c r="P59" s="399"/>
      <c r="Q59" s="399"/>
      <c r="R59" s="399"/>
      <c r="S59" s="399"/>
      <c r="T59" s="399"/>
      <c r="U59" s="399"/>
      <c r="V59" s="399"/>
      <c r="W59" s="399"/>
      <c r="X59" s="399"/>
      <c r="Y59" s="400"/>
      <c r="Z59" s="400"/>
      <c r="AA59" s="407" t="str">
        <f>AA39&amp;" ("&amp;AA51&amp;"ks)"</f>
        <v>balík A (0ks)</v>
      </c>
      <c r="AB59" s="407" t="e">
        <f t="shared" ref="AB59:AE59" si="11">AB39&amp;" ("&amp;AB51&amp;"ks)"</f>
        <v>#DIV/0!</v>
      </c>
      <c r="AC59" s="407" t="str">
        <f t="shared" si="11"/>
        <v>balík B (0ks)</v>
      </c>
      <c r="AD59" s="407" t="str">
        <f t="shared" si="11"/>
        <v>paleta A (0ks)</v>
      </c>
      <c r="AE59" s="407" t="str">
        <f t="shared" si="11"/>
        <v>paleta B (0ks)</v>
      </c>
      <c r="AF59" s="407"/>
      <c r="AG59" s="400"/>
      <c r="AH59" s="413"/>
      <c r="AI59" s="400"/>
      <c r="AJ59" s="343"/>
    </row>
    <row r="60" spans="1:59" ht="17.25" hidden="1" customHeight="1">
      <c r="A60" s="396"/>
      <c r="B60" s="160"/>
      <c r="D60" s="337"/>
      <c r="E60" s="390"/>
      <c r="F60" s="390"/>
      <c r="G60" s="390"/>
      <c r="H60" s="390"/>
      <c r="I60" s="390"/>
      <c r="J60" s="390"/>
      <c r="M60" s="342"/>
      <c r="N60" s="399"/>
      <c r="O60" s="399"/>
      <c r="P60" s="399"/>
      <c r="Q60" s="399"/>
      <c r="R60" s="399"/>
      <c r="S60" s="399"/>
      <c r="T60" s="399"/>
      <c r="U60" s="399"/>
      <c r="V60" s="399"/>
      <c r="W60" s="399"/>
      <c r="X60" s="399"/>
      <c r="Y60" s="400"/>
      <c r="Z60" s="400"/>
      <c r="AA60" s="407"/>
      <c r="AB60" s="407"/>
      <c r="AC60" s="407"/>
      <c r="AD60" s="407"/>
      <c r="AE60" s="407"/>
      <c r="AF60" s="407"/>
      <c r="AG60" s="400"/>
      <c r="AH60" s="413"/>
      <c r="AI60" s="400"/>
      <c r="AJ60" s="343"/>
    </row>
    <row r="61" spans="1:59" ht="17.25" hidden="1" customHeight="1">
      <c r="A61" s="396"/>
      <c r="B61" s="160"/>
      <c r="D61" s="337"/>
      <c r="E61" s="390"/>
      <c r="F61" s="390"/>
      <c r="G61" s="390"/>
      <c r="H61" s="390"/>
      <c r="I61" s="390"/>
      <c r="J61" s="390"/>
      <c r="M61" s="342"/>
      <c r="N61" s="399"/>
      <c r="O61" s="399"/>
      <c r="P61" s="399"/>
      <c r="Q61" s="399"/>
      <c r="R61" s="399"/>
      <c r="S61" s="399"/>
      <c r="T61" s="399"/>
      <c r="U61" s="399"/>
      <c r="V61" s="399"/>
      <c r="W61" s="399"/>
      <c r="X61" s="399"/>
      <c r="Y61" s="400"/>
      <c r="Z61" s="400"/>
      <c r="AA61" s="407"/>
      <c r="AB61" s="407"/>
      <c r="AC61" s="407"/>
      <c r="AD61" s="407"/>
      <c r="AE61" s="407"/>
      <c r="AF61" s="407"/>
      <c r="AG61" s="400"/>
      <c r="AH61" s="413"/>
      <c r="AI61" s="400"/>
      <c r="AJ61" s="343"/>
    </row>
    <row r="62" spans="1:59" ht="17.25" hidden="1" customHeight="1">
      <c r="A62" s="396"/>
      <c r="B62" s="160"/>
      <c r="D62" s="337"/>
      <c r="E62" s="390"/>
      <c r="F62" s="390"/>
      <c r="G62" s="390"/>
      <c r="H62" s="390"/>
      <c r="I62" s="390"/>
      <c r="J62" s="390"/>
      <c r="M62" s="342"/>
      <c r="N62" s="399"/>
      <c r="O62" s="399"/>
      <c r="P62" s="399"/>
      <c r="Q62" s="399"/>
      <c r="R62" s="399"/>
      <c r="S62" s="399"/>
      <c r="T62" s="399"/>
      <c r="U62" s="399"/>
      <c r="V62" s="399"/>
      <c r="W62" s="399"/>
      <c r="X62" s="399"/>
      <c r="Y62" s="400"/>
      <c r="Z62" s="400"/>
      <c r="AA62" s="407"/>
      <c r="AB62" s="407"/>
      <c r="AC62" s="407"/>
      <c r="AD62" s="407"/>
      <c r="AE62" s="407"/>
      <c r="AF62" s="407"/>
      <c r="AG62" s="400"/>
      <c r="AH62" s="413"/>
      <c r="AI62" s="400"/>
      <c r="AJ62" s="343"/>
    </row>
    <row r="63" spans="1:59" ht="17.25" hidden="1" customHeight="1">
      <c r="A63" s="396"/>
      <c r="B63" s="160"/>
      <c r="D63" s="337"/>
      <c r="E63" s="390"/>
      <c r="F63" s="390"/>
      <c r="G63" s="390"/>
      <c r="H63" s="390"/>
      <c r="I63" s="390"/>
      <c r="J63" s="390"/>
      <c r="M63" s="342"/>
      <c r="N63" s="399"/>
      <c r="O63" s="399"/>
      <c r="P63" s="399"/>
      <c r="Q63" s="399"/>
      <c r="R63" s="399"/>
      <c r="S63" s="399"/>
      <c r="T63" s="399"/>
      <c r="U63" s="399"/>
      <c r="V63" s="399"/>
      <c r="W63" s="399"/>
      <c r="X63" s="399"/>
      <c r="Y63" s="400"/>
      <c r="Z63" s="400"/>
      <c r="AA63" s="407"/>
      <c r="AB63" s="407"/>
      <c r="AC63" s="407"/>
      <c r="AD63" s="407"/>
      <c r="AE63" s="407"/>
      <c r="AF63" s="407"/>
      <c r="AG63" s="400"/>
      <c r="AH63" s="413"/>
      <c r="AI63" s="400"/>
      <c r="AJ63" s="343"/>
    </row>
    <row r="64" spans="1:59" ht="17.25" hidden="1" customHeight="1">
      <c r="A64" s="396"/>
      <c r="B64" s="160"/>
      <c r="D64" s="337"/>
      <c r="E64" s="390"/>
      <c r="F64" s="390"/>
      <c r="G64" s="390"/>
      <c r="H64" s="390"/>
      <c r="I64" s="390"/>
      <c r="J64" s="390"/>
      <c r="M64" s="342"/>
      <c r="N64" s="399"/>
      <c r="O64" s="399"/>
      <c r="P64" s="399"/>
      <c r="Q64" s="399"/>
      <c r="R64" s="399"/>
      <c r="S64" s="399"/>
      <c r="T64" s="399"/>
      <c r="U64" s="399"/>
      <c r="V64" s="399"/>
      <c r="W64" s="399"/>
      <c r="X64" s="399"/>
      <c r="Y64" s="400"/>
      <c r="Z64" s="400"/>
      <c r="AA64" s="407"/>
      <c r="AB64" s="407"/>
      <c r="AC64" s="407"/>
      <c r="AD64" s="407"/>
      <c r="AE64" s="407"/>
      <c r="AF64" s="407"/>
      <c r="AG64" s="400"/>
      <c r="AH64" s="413"/>
      <c r="AI64" s="400"/>
      <c r="AJ64" s="343"/>
    </row>
    <row r="65" spans="1:36" ht="17.25" hidden="1" customHeight="1">
      <c r="A65" s="396"/>
      <c r="B65" s="160"/>
      <c r="D65" s="337"/>
      <c r="E65" s="390"/>
      <c r="F65" s="390"/>
      <c r="G65" s="390"/>
      <c r="H65" s="390"/>
      <c r="I65" s="390"/>
      <c r="J65" s="390"/>
      <c r="M65" s="342"/>
      <c r="N65" s="399"/>
      <c r="O65" s="399"/>
      <c r="P65" s="399"/>
      <c r="Q65" s="399"/>
      <c r="R65" s="399"/>
      <c r="S65" s="399"/>
      <c r="T65" s="399"/>
      <c r="U65" s="399"/>
      <c r="V65" s="399"/>
      <c r="W65" s="399"/>
      <c r="X65" s="399"/>
      <c r="Y65" s="400"/>
      <c r="Z65" s="400"/>
      <c r="AA65" s="407"/>
      <c r="AB65" s="407"/>
      <c r="AC65" s="407"/>
      <c r="AD65" s="407"/>
      <c r="AE65" s="407"/>
      <c r="AF65" s="407"/>
      <c r="AG65" s="400"/>
      <c r="AH65" s="413"/>
      <c r="AI65" s="400"/>
      <c r="AJ65" s="343"/>
    </row>
    <row r="66" spans="1:36" ht="17.25" hidden="1" customHeight="1">
      <c r="A66" s="396"/>
      <c r="B66" s="160"/>
      <c r="D66" s="337"/>
      <c r="E66" s="390"/>
      <c r="F66" s="390"/>
      <c r="G66" s="390"/>
      <c r="H66" s="390"/>
      <c r="I66" s="390"/>
      <c r="J66" s="390"/>
      <c r="M66" s="342"/>
      <c r="N66" s="399"/>
      <c r="O66" s="399"/>
      <c r="P66" s="399"/>
      <c r="Q66" s="399"/>
      <c r="R66" s="399"/>
      <c r="S66" s="399"/>
      <c r="T66" s="399"/>
      <c r="U66" s="399"/>
      <c r="V66" s="399"/>
      <c r="W66" s="399"/>
      <c r="X66" s="399"/>
      <c r="Y66" s="400"/>
      <c r="Z66" s="400"/>
      <c r="AA66" s="407"/>
      <c r="AB66" s="407"/>
      <c r="AC66" s="407"/>
      <c r="AD66" s="407"/>
      <c r="AE66" s="407"/>
      <c r="AF66" s="407"/>
      <c r="AG66" s="400"/>
      <c r="AH66" s="413"/>
      <c r="AI66" s="400"/>
      <c r="AJ66" s="343"/>
    </row>
    <row r="67" spans="1:36" ht="17.25" hidden="1" customHeight="1">
      <c r="A67" s="396"/>
      <c r="B67" s="160"/>
      <c r="D67" s="337"/>
      <c r="E67" s="390"/>
      <c r="F67" s="390"/>
      <c r="G67" s="390"/>
      <c r="H67" s="390"/>
      <c r="I67" s="390"/>
      <c r="J67" s="390"/>
      <c r="M67" s="342"/>
      <c r="N67" s="399"/>
      <c r="O67" s="399"/>
      <c r="P67" s="399"/>
      <c r="Q67" s="399"/>
      <c r="R67" s="399"/>
      <c r="S67" s="399"/>
      <c r="T67" s="399"/>
      <c r="U67" s="399"/>
      <c r="V67" s="399"/>
      <c r="W67" s="399"/>
      <c r="X67" s="399"/>
      <c r="Y67" s="400"/>
      <c r="Z67" s="400"/>
      <c r="AA67" s="407"/>
      <c r="AB67" s="407"/>
      <c r="AC67" s="407"/>
      <c r="AD67" s="407"/>
      <c r="AE67" s="407"/>
      <c r="AF67" s="407"/>
      <c r="AG67" s="400"/>
      <c r="AH67" s="413"/>
      <c r="AI67" s="400"/>
      <c r="AJ67" s="343"/>
    </row>
    <row r="68" spans="1:36" ht="15.75" hidden="1" customHeight="1">
      <c r="B68" s="337"/>
      <c r="D68" s="337"/>
      <c r="E68" s="337"/>
      <c r="F68" s="337"/>
      <c r="G68" s="337"/>
      <c r="H68" s="337"/>
      <c r="I68" s="337"/>
      <c r="J68" s="337"/>
      <c r="M68" s="342"/>
      <c r="N68" s="399"/>
      <c r="O68" s="399"/>
      <c r="P68" s="399"/>
      <c r="Q68" s="399"/>
      <c r="R68" s="399"/>
      <c r="S68" s="399"/>
      <c r="T68" s="399"/>
      <c r="U68" s="399"/>
      <c r="V68" s="399"/>
      <c r="W68" s="399"/>
      <c r="X68" s="399"/>
      <c r="Y68" s="400"/>
      <c r="Z68" s="400"/>
      <c r="AA68" s="400"/>
      <c r="AB68" s="400"/>
      <c r="AC68" s="400"/>
      <c r="AD68" s="400"/>
      <c r="AE68" s="400"/>
      <c r="AF68" s="400"/>
      <c r="AG68" s="400"/>
      <c r="AH68" s="413"/>
      <c r="AI68" s="400"/>
      <c r="AJ68" s="343"/>
    </row>
    <row r="69" spans="1:36" ht="36.75" customHeight="1">
      <c r="D69" s="337"/>
      <c r="E69" s="337"/>
      <c r="F69" s="337"/>
      <c r="G69" s="337"/>
      <c r="H69" s="337"/>
      <c r="I69" s="337"/>
      <c r="J69" s="337"/>
      <c r="M69" s="342"/>
      <c r="N69" s="399"/>
      <c r="O69" s="399"/>
      <c r="P69" s="399"/>
      <c r="Q69" s="399"/>
      <c r="R69" s="399"/>
      <c r="S69" s="399"/>
      <c r="T69" s="399"/>
      <c r="U69" s="399"/>
      <c r="V69" s="399"/>
      <c r="W69" s="399"/>
      <c r="X69" s="399"/>
      <c r="Y69" s="400"/>
      <c r="Z69" s="400"/>
      <c r="AA69" s="400"/>
      <c r="AB69" s="400"/>
      <c r="AC69" s="400"/>
      <c r="AD69" s="400"/>
      <c r="AE69" s="400"/>
      <c r="AF69" s="401"/>
      <c r="AG69" s="400"/>
      <c r="AH69" s="414">
        <f>IF(W40&gt;20,"wycena indiwidualna",IF(U48="ano",IF(AF71&lt;(_xlfn.MINIFS(AA58:AE58,AA58:AE58,"&gt;"&amp;0)),IF(AF71=0,_xlfn.MINIFS(AA58:AE58,AA58:AE58,"&gt;"&amp;0),AF71),_xlfn.MINIFS(AA58:AE58,AA58:AE58,"&gt;"&amp;0)),"zbyt duże wymiary"))</f>
        <v>0</v>
      </c>
      <c r="AI69" s="415"/>
      <c r="AJ69" s="343"/>
    </row>
    <row r="70" spans="1:36" ht="15" customHeight="1" thickBot="1">
      <c r="D70" s="337"/>
      <c r="E70" s="389"/>
      <c r="F70" s="389"/>
      <c r="G70" s="389"/>
      <c r="H70" s="337"/>
      <c r="I70" s="337"/>
      <c r="J70" s="337"/>
      <c r="M70" s="342"/>
      <c r="N70" s="399"/>
      <c r="O70" s="399"/>
      <c r="P70" s="399"/>
      <c r="Q70" s="399"/>
      <c r="R70" s="399"/>
      <c r="S70" s="399"/>
      <c r="T70" s="399"/>
      <c r="U70" s="399"/>
      <c r="V70" s="399"/>
      <c r="W70" s="399"/>
      <c r="X70" s="399"/>
      <c r="Y70" s="400"/>
      <c r="Z70" s="400" t="str">
        <f>IF(AA70="NE","Nelze přihodit A do C","A lze přihodit do C")</f>
        <v>A lze přihodit do C</v>
      </c>
      <c r="AA70" s="374" t="str">
        <f>IF(AND(O42="balík B",AC55&gt;=AA54),"ANO","NE")</f>
        <v>ANO</v>
      </c>
      <c r="AB70" s="400"/>
      <c r="AC70" s="400"/>
      <c r="AD70" s="400"/>
      <c r="AE70" s="400"/>
      <c r="AF70" s="400"/>
      <c r="AG70" s="400"/>
      <c r="AH70" s="413"/>
      <c r="AI70" s="400"/>
      <c r="AJ70" s="343"/>
    </row>
    <row r="71" spans="1:36" ht="15" customHeight="1">
      <c r="D71" s="337"/>
      <c r="E71" s="390"/>
      <c r="F71" s="390"/>
      <c r="G71" s="390"/>
      <c r="H71" s="390"/>
      <c r="I71" s="390"/>
      <c r="J71" s="390"/>
      <c r="M71" s="342"/>
      <c r="N71" s="399"/>
      <c r="O71" s="399"/>
      <c r="P71" s="399"/>
      <c r="Q71" s="399"/>
      <c r="R71" s="399"/>
      <c r="S71" s="399"/>
      <c r="T71" s="399"/>
      <c r="U71" s="399"/>
      <c r="V71" s="399"/>
      <c r="W71" s="399"/>
      <c r="X71" s="399"/>
      <c r="Y71" s="400"/>
      <c r="Z71" s="400"/>
      <c r="AA71" s="375">
        <f>AD71*AA38</f>
        <v>0</v>
      </c>
      <c r="AB71" s="376"/>
      <c r="AC71" s="376" t="s">
        <v>4328</v>
      </c>
      <c r="AD71" s="377">
        <f>IF((IF(SUMIFS(W42:W47,V42:V47,"paleta")&gt;0,"paleta",0))="paleta",0,IF(AA70="NE",AA49,AA56))</f>
        <v>0</v>
      </c>
      <c r="AE71" s="378" t="s">
        <v>4323</v>
      </c>
      <c r="AF71" s="786">
        <f>AA71+AA72</f>
        <v>0</v>
      </c>
      <c r="AG71" s="400"/>
      <c r="AH71" s="413"/>
      <c r="AI71" s="400"/>
      <c r="AJ71" s="343"/>
    </row>
    <row r="72" spans="1:36" ht="15.75" customHeight="1" thickBot="1">
      <c r="E72" s="337"/>
      <c r="F72" s="337"/>
      <c r="G72" s="337"/>
      <c r="H72" s="390"/>
      <c r="I72" s="390"/>
      <c r="J72" s="390"/>
      <c r="M72" s="342"/>
      <c r="N72" s="399"/>
      <c r="O72" s="399"/>
      <c r="P72" s="399"/>
      <c r="Q72" s="399"/>
      <c r="R72" s="399"/>
      <c r="S72" s="399"/>
      <c r="T72" s="399"/>
      <c r="U72" s="399"/>
      <c r="V72" s="399"/>
      <c r="W72" s="399"/>
      <c r="X72" s="399"/>
      <c r="Y72" s="400"/>
      <c r="Z72" s="400"/>
      <c r="AA72" s="379">
        <f>AD72*AC38</f>
        <v>0</v>
      </c>
      <c r="AB72" s="380"/>
      <c r="AC72" s="380" t="s">
        <v>4379</v>
      </c>
      <c r="AD72" s="380">
        <f>IF((IF(SUMIFS(W42:W47,V42:V47,"paleta")&gt;0,"paleta",0))="paleta",0,IF(AA70="NE",AC49,AC56))</f>
        <v>0</v>
      </c>
      <c r="AE72" s="381" t="s">
        <v>4323</v>
      </c>
      <c r="AF72" s="787"/>
      <c r="AG72" s="400"/>
      <c r="AH72" s="413"/>
      <c r="AI72" s="400"/>
      <c r="AJ72" s="343"/>
    </row>
    <row r="73" spans="1:36" ht="16.5" customHeight="1" thickBot="1">
      <c r="D73" s="337"/>
      <c r="E73" s="337"/>
      <c r="F73" s="337"/>
      <c r="G73" s="337"/>
      <c r="H73" s="337"/>
      <c r="I73" s="337"/>
      <c r="J73" s="337"/>
      <c r="M73" s="382"/>
      <c r="N73" s="383"/>
      <c r="O73" s="383"/>
      <c r="P73" s="383"/>
      <c r="Q73" s="383"/>
      <c r="R73" s="383"/>
      <c r="S73" s="383"/>
      <c r="T73" s="383"/>
      <c r="U73" s="383"/>
      <c r="V73" s="383"/>
      <c r="W73" s="383"/>
      <c r="X73" s="383"/>
      <c r="Y73" s="384"/>
      <c r="Z73" s="384"/>
      <c r="AA73" s="384"/>
      <c r="AB73" s="384"/>
      <c r="AC73" s="384"/>
      <c r="AD73" s="384"/>
      <c r="AE73" s="384"/>
      <c r="AF73" s="384"/>
      <c r="AG73" s="384"/>
      <c r="AH73" s="384"/>
      <c r="AI73" s="384"/>
      <c r="AJ73" s="385"/>
    </row>
    <row r="74" spans="1:36" ht="19.5" customHeight="1">
      <c r="D74" s="337"/>
      <c r="E74" s="392"/>
      <c r="F74" s="392"/>
      <c r="G74" s="392"/>
      <c r="H74" s="392"/>
      <c r="I74" s="392"/>
      <c r="J74" s="392"/>
      <c r="U74" s="1"/>
      <c r="V74" s="1"/>
      <c r="W74" s="1"/>
      <c r="X74" s="1"/>
    </row>
    <row r="75" spans="1:36" ht="15.75" customHeight="1">
      <c r="D75" s="337"/>
      <c r="E75" s="337"/>
      <c r="F75" s="337"/>
      <c r="G75" s="337"/>
      <c r="H75" s="337"/>
      <c r="I75" s="337"/>
      <c r="J75" s="337"/>
      <c r="U75" s="1"/>
      <c r="V75" s="1"/>
      <c r="W75" s="1"/>
      <c r="X75" s="1"/>
      <c r="AD75" s="393"/>
    </row>
    <row r="76" spans="1:36" ht="15" outlineLevel="1">
      <c r="E76" s="337"/>
      <c r="F76" s="337"/>
      <c r="G76" s="337"/>
      <c r="H76" s="337"/>
      <c r="I76" s="337"/>
      <c r="J76" s="337"/>
      <c r="Y76" s="12"/>
    </row>
    <row r="77" spans="1:36" ht="23.25" outlineLevel="4">
      <c r="E77" s="337"/>
      <c r="F77" s="337"/>
      <c r="G77" s="337"/>
      <c r="H77" s="337"/>
      <c r="I77" s="337"/>
      <c r="J77" s="337"/>
      <c r="AA77" s="421"/>
      <c r="AB77" s="421"/>
      <c r="AC77" s="421"/>
      <c r="AD77" s="421"/>
      <c r="AE77" s="421"/>
      <c r="AF77" s="421"/>
      <c r="AG77" s="421"/>
    </row>
    <row r="78" spans="1:36" ht="15" outlineLevel="4">
      <c r="E78" s="337"/>
      <c r="F78" s="337"/>
      <c r="G78" s="337"/>
      <c r="H78" s="337"/>
      <c r="I78" s="337"/>
      <c r="J78" s="337"/>
      <c r="AA78" s="228"/>
      <c r="AB78" s="420"/>
      <c r="AC78" s="420"/>
      <c r="AD78" s="420"/>
      <c r="AE78" s="420"/>
      <c r="AF78" s="174"/>
      <c r="AG78" s="174"/>
    </row>
    <row r="79" spans="1:36" ht="15" outlineLevel="4">
      <c r="E79" s="337"/>
      <c r="F79" s="337"/>
      <c r="G79" s="337"/>
      <c r="H79" s="337"/>
      <c r="I79" s="337"/>
      <c r="J79" s="337"/>
      <c r="AA79"/>
      <c r="AB79" s="420"/>
      <c r="AC79" s="420"/>
      <c r="AD79" s="420"/>
      <c r="AE79" s="420"/>
      <c r="AF79" s="174"/>
      <c r="AG79" s="174"/>
    </row>
    <row r="80" spans="1:36" ht="15" outlineLevel="4">
      <c r="E80" s="337"/>
      <c r="F80" s="337"/>
      <c r="G80" s="337"/>
      <c r="H80" s="337"/>
      <c r="I80" s="337"/>
      <c r="J80" s="337"/>
      <c r="AA80"/>
      <c r="AB80"/>
      <c r="AC80"/>
      <c r="AD80"/>
      <c r="AE80"/>
      <c r="AF80"/>
      <c r="AG80" s="174"/>
    </row>
    <row r="81" spans="1:32" ht="15" outlineLevel="4">
      <c r="E81" s="337"/>
      <c r="F81" s="337"/>
      <c r="G81" s="337"/>
      <c r="H81" s="337"/>
      <c r="I81" s="337"/>
      <c r="J81" s="337"/>
    </row>
    <row r="82" spans="1:32" ht="15" outlineLevel="4">
      <c r="E82" s="337"/>
      <c r="F82" s="337"/>
      <c r="G82" s="337"/>
      <c r="H82" s="337"/>
      <c r="I82" s="337"/>
      <c r="J82" s="337"/>
    </row>
    <row r="83" spans="1:32" ht="15" outlineLevel="4">
      <c r="E83" s="337"/>
      <c r="F83" s="337"/>
      <c r="G83" s="337"/>
      <c r="H83" s="337"/>
      <c r="I83" s="337"/>
      <c r="J83" s="337"/>
    </row>
    <row r="84" spans="1:32" ht="15.75" outlineLevel="4">
      <c r="Z84" s="259"/>
    </row>
    <row r="85" spans="1:32" ht="15.75" outlineLevel="4">
      <c r="Y85" s="259"/>
      <c r="AB85" s="419"/>
      <c r="AC85" s="419"/>
      <c r="AD85" s="419"/>
      <c r="AE85" s="419"/>
      <c r="AF85" s="419"/>
    </row>
    <row r="86" spans="1:32" ht="15"/>
    <row r="87" spans="1:32" ht="21">
      <c r="E87" s="386"/>
      <c r="F87" s="386"/>
      <c r="G87" s="386"/>
      <c r="H87" s="387"/>
      <c r="I87" s="387"/>
      <c r="J87" s="387"/>
    </row>
    <row r="88" spans="1:32" ht="26.25" customHeight="1">
      <c r="B88" s="238"/>
      <c r="E88" s="337"/>
      <c r="F88" s="337"/>
      <c r="G88" s="337"/>
      <c r="H88" s="337"/>
      <c r="I88" s="337"/>
      <c r="J88" s="337"/>
      <c r="Z88" s="259"/>
    </row>
    <row r="89" spans="1:32" ht="15">
      <c r="A89" s="396"/>
      <c r="B89" s="160"/>
      <c r="D89" s="337"/>
      <c r="E89" s="389"/>
      <c r="F89" s="389"/>
      <c r="G89" s="389"/>
      <c r="H89" s="389"/>
      <c r="I89" s="389"/>
      <c r="J89" s="389"/>
    </row>
    <row r="90" spans="1:32" ht="18" customHeight="1">
      <c r="A90" s="396"/>
      <c r="B90" s="160"/>
      <c r="D90" s="337"/>
      <c r="E90" s="390"/>
      <c r="F90" s="390"/>
      <c r="G90" s="390"/>
      <c r="H90" s="390"/>
      <c r="I90" s="390"/>
      <c r="J90" s="390"/>
    </row>
    <row r="91" spans="1:32" ht="15">
      <c r="B91" s="337"/>
      <c r="D91" s="337"/>
      <c r="E91" s="337"/>
      <c r="F91" s="337"/>
      <c r="G91" s="337"/>
      <c r="H91" s="337"/>
      <c r="I91" s="337"/>
      <c r="J91" s="337"/>
    </row>
    <row r="92" spans="1:32" ht="15">
      <c r="D92" s="337"/>
      <c r="E92" s="337"/>
      <c r="F92" s="337"/>
      <c r="G92" s="337"/>
      <c r="H92" s="337"/>
      <c r="I92" s="337"/>
      <c r="J92" s="337"/>
    </row>
    <row r="93" spans="1:32" ht="16.5" customHeight="1">
      <c r="D93" s="337"/>
      <c r="E93" s="389"/>
      <c r="F93" s="389"/>
      <c r="G93" s="389"/>
      <c r="H93" s="337"/>
      <c r="I93" s="337"/>
      <c r="J93" s="337"/>
    </row>
    <row r="94" spans="1:32" ht="16.5" customHeight="1">
      <c r="D94" s="337"/>
      <c r="E94" s="390"/>
      <c r="F94" s="390"/>
      <c r="G94" s="390"/>
      <c r="H94" s="390"/>
      <c r="I94" s="390"/>
      <c r="J94" s="390"/>
    </row>
    <row r="95" spans="1:32" ht="15">
      <c r="E95" s="337"/>
      <c r="F95" s="337"/>
      <c r="G95" s="337"/>
      <c r="H95" s="390"/>
      <c r="I95" s="390"/>
      <c r="J95" s="390"/>
    </row>
    <row r="96" spans="1:32" ht="15">
      <c r="D96" s="337"/>
      <c r="E96" s="337"/>
      <c r="F96" s="337"/>
      <c r="G96" s="337"/>
      <c r="H96" s="337"/>
      <c r="I96" s="337"/>
      <c r="J96" s="337"/>
    </row>
    <row r="97" spans="1:10" ht="18.75">
      <c r="D97" s="337"/>
      <c r="E97" s="392"/>
      <c r="F97" s="392"/>
      <c r="G97" s="392"/>
      <c r="H97" s="392"/>
      <c r="I97" s="392"/>
      <c r="J97" s="392"/>
    </row>
    <row r="98" spans="1:10" ht="15">
      <c r="D98" s="337"/>
      <c r="E98" s="337"/>
      <c r="F98" s="337"/>
      <c r="G98" s="337"/>
      <c r="H98" s="337"/>
      <c r="I98" s="337"/>
      <c r="J98" s="337"/>
    </row>
    <row r="99" spans="1:10" ht="15">
      <c r="E99" s="337"/>
      <c r="F99" s="337"/>
      <c r="G99" s="337"/>
      <c r="H99" s="337"/>
      <c r="I99" s="337"/>
      <c r="J99" s="337"/>
    </row>
    <row r="100" spans="1:10" ht="15">
      <c r="E100" s="337"/>
      <c r="F100" s="337"/>
      <c r="G100" s="337"/>
      <c r="H100" s="337"/>
      <c r="I100" s="337"/>
      <c r="J100" s="337"/>
    </row>
    <row r="101" spans="1:10" ht="15">
      <c r="E101" s="337"/>
      <c r="F101" s="337"/>
      <c r="G101" s="337"/>
      <c r="H101" s="337"/>
      <c r="I101" s="337"/>
      <c r="J101" s="337"/>
    </row>
    <row r="102" spans="1:10" ht="15">
      <c r="E102" s="337"/>
      <c r="F102" s="337"/>
      <c r="G102" s="337"/>
      <c r="H102" s="337"/>
      <c r="I102" s="337"/>
      <c r="J102" s="337"/>
    </row>
    <row r="103" spans="1:10" ht="15">
      <c r="E103" s="337"/>
      <c r="F103" s="337"/>
      <c r="G103" s="337"/>
      <c r="H103" s="337"/>
      <c r="I103" s="337"/>
      <c r="J103" s="337"/>
    </row>
    <row r="104" spans="1:10" ht="15">
      <c r="E104" s="337"/>
      <c r="F104" s="337"/>
      <c r="G104" s="337"/>
      <c r="H104" s="337"/>
      <c r="I104" s="337"/>
      <c r="J104" s="337"/>
    </row>
    <row r="105" spans="1:10" ht="14.85" customHeight="1">
      <c r="E105" s="337"/>
      <c r="F105" s="337"/>
      <c r="G105" s="337"/>
      <c r="H105" s="337"/>
      <c r="I105" s="337"/>
      <c r="J105" s="337"/>
    </row>
    <row r="106" spans="1:10" ht="14.85" customHeight="1">
      <c r="E106" s="337"/>
      <c r="F106" s="337"/>
      <c r="G106" s="337"/>
      <c r="H106" s="337"/>
      <c r="I106" s="337"/>
      <c r="J106" s="337"/>
    </row>
    <row r="107" spans="1:10" ht="14.85" customHeight="1"/>
    <row r="108" spans="1:10" ht="14.85" customHeight="1"/>
    <row r="109" spans="1:10" ht="14.85" customHeight="1"/>
    <row r="110" spans="1:10" ht="27" customHeight="1">
      <c r="E110" s="386"/>
      <c r="F110" s="386"/>
      <c r="G110" s="386"/>
      <c r="H110" s="387"/>
      <c r="I110" s="387"/>
      <c r="J110" s="387"/>
    </row>
    <row r="111" spans="1:10" ht="18" customHeight="1">
      <c r="B111" s="238"/>
      <c r="E111" s="337"/>
      <c r="F111" s="337"/>
      <c r="G111" s="337"/>
      <c r="H111" s="337"/>
      <c r="I111" s="337"/>
      <c r="J111" s="337"/>
    </row>
    <row r="112" spans="1:10" ht="14.85" customHeight="1">
      <c r="A112" s="396"/>
      <c r="B112" s="160"/>
      <c r="D112" s="337"/>
      <c r="E112" s="389"/>
      <c r="F112" s="389"/>
      <c r="G112" s="389"/>
      <c r="H112" s="389"/>
      <c r="I112" s="389"/>
      <c r="J112" s="389"/>
    </row>
    <row r="113" spans="1:10" ht="14.85" customHeight="1">
      <c r="A113" s="396"/>
      <c r="B113" s="160"/>
      <c r="D113" s="337"/>
      <c r="E113" s="390"/>
      <c r="F113" s="390"/>
      <c r="G113" s="390"/>
      <c r="H113" s="390"/>
      <c r="I113" s="390"/>
      <c r="J113" s="390"/>
    </row>
    <row r="114" spans="1:10" ht="14.85" customHeight="1">
      <c r="B114" s="337"/>
      <c r="D114" s="337"/>
      <c r="E114" s="337"/>
      <c r="F114" s="337"/>
      <c r="G114" s="337"/>
      <c r="H114" s="337"/>
      <c r="I114" s="337"/>
      <c r="J114" s="337"/>
    </row>
    <row r="115" spans="1:10" ht="14.85" customHeight="1">
      <c r="D115" s="337"/>
      <c r="E115" s="337"/>
      <c r="F115" s="337"/>
      <c r="G115" s="337"/>
      <c r="H115" s="337"/>
      <c r="I115" s="337"/>
      <c r="J115" s="337"/>
    </row>
    <row r="116" spans="1:10" ht="14.85" customHeight="1">
      <c r="D116" s="337"/>
      <c r="E116" s="389"/>
      <c r="F116" s="389"/>
      <c r="G116" s="389"/>
      <c r="H116" s="337"/>
      <c r="I116" s="337"/>
      <c r="J116" s="337"/>
    </row>
    <row r="117" spans="1:10" ht="14.85" customHeight="1">
      <c r="D117" s="337"/>
      <c r="E117" s="390"/>
      <c r="F117" s="390"/>
      <c r="G117" s="390"/>
      <c r="H117" s="390"/>
      <c r="I117" s="390"/>
      <c r="J117" s="390"/>
    </row>
    <row r="118" spans="1:10" ht="14.85" customHeight="1">
      <c r="E118" s="337"/>
      <c r="F118" s="337"/>
      <c r="G118" s="337"/>
      <c r="H118" s="390"/>
      <c r="I118" s="390"/>
      <c r="J118" s="390"/>
    </row>
    <row r="119" spans="1:10" ht="14.85" customHeight="1">
      <c r="D119" s="337"/>
      <c r="E119" s="337"/>
      <c r="F119" s="337"/>
      <c r="G119" s="337"/>
      <c r="H119" s="337"/>
      <c r="I119" s="337"/>
      <c r="J119" s="337"/>
    </row>
    <row r="120" spans="1:10" ht="14.85" customHeight="1">
      <c r="D120" s="337"/>
      <c r="E120" s="392"/>
      <c r="F120" s="392"/>
      <c r="G120" s="392"/>
      <c r="H120" s="392"/>
      <c r="I120" s="392"/>
      <c r="J120" s="392"/>
    </row>
    <row r="121" spans="1:10" ht="14.85" customHeight="1">
      <c r="D121" s="337"/>
      <c r="E121" s="337"/>
      <c r="F121" s="337"/>
      <c r="G121" s="337"/>
      <c r="H121" s="337"/>
      <c r="I121" s="337"/>
      <c r="J121" s="337"/>
    </row>
    <row r="122" spans="1:10" ht="14.85" customHeight="1">
      <c r="E122" s="337"/>
      <c r="F122" s="337"/>
      <c r="G122" s="337"/>
      <c r="H122" s="337"/>
      <c r="I122" s="337"/>
      <c r="J122" s="337"/>
    </row>
    <row r="123" spans="1:10" ht="14.85" customHeight="1">
      <c r="E123" s="337"/>
      <c r="F123" s="337"/>
      <c r="G123" s="337"/>
      <c r="H123" s="337"/>
      <c r="I123" s="337"/>
      <c r="J123" s="337"/>
    </row>
    <row r="124" spans="1:10" ht="14.85" customHeight="1">
      <c r="E124" s="337"/>
      <c r="F124" s="337"/>
      <c r="G124" s="337"/>
      <c r="H124" s="337"/>
      <c r="I124" s="337"/>
      <c r="J124" s="337"/>
    </row>
    <row r="125" spans="1:10" ht="14.85" customHeight="1">
      <c r="E125" s="337"/>
      <c r="F125" s="337"/>
      <c r="G125" s="337"/>
      <c r="H125" s="337"/>
      <c r="I125" s="337"/>
      <c r="J125" s="337"/>
    </row>
    <row r="126" spans="1:10" ht="14.85" customHeight="1">
      <c r="E126" s="337"/>
      <c r="F126" s="337"/>
      <c r="G126" s="337"/>
      <c r="H126" s="337"/>
      <c r="I126" s="337"/>
      <c r="J126" s="337"/>
    </row>
    <row r="127" spans="1:10" ht="14.85" customHeight="1">
      <c r="E127" s="337"/>
      <c r="F127" s="337"/>
      <c r="G127" s="337"/>
      <c r="H127" s="337"/>
      <c r="I127" s="337"/>
      <c r="J127" s="337"/>
    </row>
    <row r="128" spans="1:10" ht="14.85" customHeight="1">
      <c r="E128" s="337"/>
      <c r="F128" s="337"/>
      <c r="G128" s="337"/>
      <c r="H128" s="337"/>
      <c r="I128" s="337"/>
      <c r="J128" s="337"/>
    </row>
    <row r="129" spans="1:10" ht="14.85" customHeight="1">
      <c r="E129" s="337"/>
      <c r="F129" s="337"/>
      <c r="G129" s="337"/>
      <c r="H129" s="337"/>
      <c r="I129" s="337"/>
      <c r="J129" s="337"/>
    </row>
    <row r="130" spans="1:10" ht="14.85" customHeight="1"/>
    <row r="131" spans="1:10" ht="14.85" customHeight="1"/>
    <row r="132" spans="1:10" ht="14.85" customHeight="1"/>
    <row r="133" spans="1:10" ht="18.75" customHeight="1">
      <c r="E133" s="386"/>
      <c r="F133" s="386"/>
      <c r="G133" s="386"/>
      <c r="H133" s="387"/>
      <c r="I133" s="387"/>
      <c r="J133" s="387"/>
    </row>
    <row r="134" spans="1:10" ht="19.5" customHeight="1">
      <c r="B134" s="238"/>
      <c r="E134" s="337"/>
      <c r="F134" s="337"/>
      <c r="G134" s="337"/>
      <c r="H134" s="337"/>
      <c r="I134" s="337"/>
      <c r="J134" s="337"/>
    </row>
    <row r="135" spans="1:10" ht="14.85" customHeight="1">
      <c r="A135" s="396"/>
      <c r="B135" s="160"/>
      <c r="D135" s="337"/>
      <c r="E135" s="389"/>
      <c r="F135" s="389"/>
      <c r="G135" s="389"/>
      <c r="H135" s="389"/>
      <c r="I135" s="389"/>
      <c r="J135" s="389"/>
    </row>
    <row r="136" spans="1:10" ht="14.85" customHeight="1">
      <c r="A136" s="396"/>
      <c r="B136" s="160"/>
      <c r="D136" s="337"/>
      <c r="E136" s="390"/>
      <c r="F136" s="390"/>
      <c r="G136" s="390"/>
      <c r="H136" s="390"/>
      <c r="I136" s="390"/>
      <c r="J136" s="390"/>
    </row>
    <row r="137" spans="1:10" ht="14.85" customHeight="1">
      <c r="B137" s="337"/>
      <c r="D137" s="337"/>
      <c r="E137" s="337"/>
      <c r="F137" s="337"/>
      <c r="G137" s="337"/>
      <c r="H137" s="337"/>
      <c r="I137" s="337"/>
      <c r="J137" s="337"/>
    </row>
    <row r="138" spans="1:10" ht="14.85" customHeight="1">
      <c r="D138" s="337"/>
      <c r="E138" s="337"/>
      <c r="F138" s="337"/>
      <c r="G138" s="337"/>
      <c r="H138" s="337"/>
      <c r="I138" s="337"/>
      <c r="J138" s="337"/>
    </row>
    <row r="139" spans="1:10" ht="14.85" customHeight="1">
      <c r="D139" s="337"/>
      <c r="E139" s="389"/>
      <c r="F139" s="389"/>
      <c r="G139" s="389"/>
      <c r="H139" s="337"/>
      <c r="I139" s="337"/>
      <c r="J139" s="337"/>
    </row>
    <row r="140" spans="1:10" ht="14.85" customHeight="1">
      <c r="D140" s="337"/>
      <c r="E140" s="390"/>
      <c r="F140" s="390"/>
      <c r="G140" s="390"/>
      <c r="H140" s="390"/>
      <c r="I140" s="390"/>
      <c r="J140" s="390"/>
    </row>
    <row r="141" spans="1:10" ht="14.85" customHeight="1">
      <c r="E141" s="337"/>
      <c r="F141" s="337"/>
      <c r="G141" s="337"/>
      <c r="H141" s="390"/>
      <c r="I141" s="390"/>
      <c r="J141" s="390"/>
    </row>
    <row r="142" spans="1:10" ht="14.85" customHeight="1">
      <c r="D142" s="337"/>
      <c r="E142" s="337"/>
      <c r="F142" s="337"/>
      <c r="G142" s="337"/>
      <c r="H142" s="337"/>
      <c r="I142" s="337"/>
      <c r="J142" s="337"/>
    </row>
    <row r="143" spans="1:10" ht="14.85" customHeight="1">
      <c r="D143" s="337"/>
      <c r="E143" s="392"/>
      <c r="F143" s="392"/>
      <c r="G143" s="392"/>
      <c r="H143" s="392"/>
      <c r="I143" s="392"/>
      <c r="J143" s="392"/>
    </row>
    <row r="144" spans="1:10" ht="14.85" customHeight="1">
      <c r="D144" s="337"/>
      <c r="E144" s="337"/>
      <c r="F144" s="337"/>
      <c r="G144" s="337"/>
      <c r="H144" s="337"/>
      <c r="I144" s="337"/>
      <c r="J144" s="337"/>
    </row>
    <row r="145" spans="1:10" ht="14.85" customHeight="1">
      <c r="E145" s="337"/>
      <c r="F145" s="337"/>
      <c r="G145" s="337"/>
      <c r="H145" s="337"/>
      <c r="I145" s="337"/>
      <c r="J145" s="337"/>
    </row>
    <row r="146" spans="1:10" ht="14.85" customHeight="1">
      <c r="E146" s="337"/>
      <c r="F146" s="337"/>
      <c r="G146" s="337"/>
      <c r="H146" s="337"/>
      <c r="I146" s="337"/>
      <c r="J146" s="337"/>
    </row>
    <row r="147" spans="1:10" ht="14.85" customHeight="1">
      <c r="E147" s="337"/>
      <c r="F147" s="337"/>
      <c r="G147" s="337"/>
      <c r="H147" s="337"/>
      <c r="I147" s="337"/>
      <c r="J147" s="337"/>
    </row>
    <row r="148" spans="1:10" ht="14.85" customHeight="1">
      <c r="E148" s="337"/>
      <c r="F148" s="337"/>
      <c r="G148" s="337"/>
      <c r="H148" s="337"/>
      <c r="I148" s="337"/>
      <c r="J148" s="337"/>
    </row>
    <row r="149" spans="1:10" ht="14.85" customHeight="1">
      <c r="E149" s="337"/>
      <c r="F149" s="337"/>
      <c r="G149" s="337"/>
      <c r="H149" s="337"/>
      <c r="I149" s="337"/>
      <c r="J149" s="337"/>
    </row>
    <row r="150" spans="1:10" ht="14.85" customHeight="1">
      <c r="E150" s="337"/>
      <c r="F150" s="337"/>
      <c r="G150" s="337"/>
      <c r="H150" s="337"/>
      <c r="I150" s="337"/>
      <c r="J150" s="337"/>
    </row>
    <row r="151" spans="1:10" ht="14.85" customHeight="1">
      <c r="E151" s="337"/>
      <c r="F151" s="337"/>
      <c r="G151" s="337"/>
      <c r="H151" s="337"/>
      <c r="I151" s="337"/>
      <c r="J151" s="337"/>
    </row>
    <row r="152" spans="1:10" ht="14.85" customHeight="1">
      <c r="E152" s="337"/>
      <c r="F152" s="337"/>
      <c r="G152" s="337"/>
      <c r="H152" s="337"/>
      <c r="I152" s="337"/>
      <c r="J152" s="337"/>
    </row>
    <row r="153" spans="1:10" ht="14.85" customHeight="1"/>
    <row r="154" spans="1:10" ht="14.85" customHeight="1"/>
    <row r="155" spans="1:10" ht="14.85" customHeight="1"/>
    <row r="156" spans="1:10" ht="23.25" customHeight="1">
      <c r="E156" s="386"/>
      <c r="F156" s="386"/>
      <c r="G156" s="386"/>
      <c r="H156" s="387"/>
      <c r="I156" s="387"/>
      <c r="J156" s="387"/>
    </row>
    <row r="157" spans="1:10" ht="14.85" customHeight="1">
      <c r="B157" s="238"/>
      <c r="E157" s="337"/>
      <c r="F157" s="337"/>
      <c r="G157" s="337"/>
      <c r="H157" s="337"/>
      <c r="I157" s="337"/>
      <c r="J157" s="337"/>
    </row>
    <row r="158" spans="1:10" ht="14.85" customHeight="1">
      <c r="A158" s="396"/>
      <c r="B158" s="160"/>
      <c r="D158" s="337"/>
      <c r="E158" s="389"/>
      <c r="F158" s="389"/>
      <c r="G158" s="389"/>
      <c r="H158" s="389"/>
      <c r="I158" s="389"/>
      <c r="J158" s="389"/>
    </row>
    <row r="159" spans="1:10" ht="14.85" customHeight="1">
      <c r="A159" s="396"/>
      <c r="B159" s="160"/>
      <c r="D159" s="337"/>
      <c r="E159" s="390"/>
      <c r="F159" s="390"/>
      <c r="G159" s="390"/>
      <c r="H159" s="390"/>
      <c r="I159" s="390"/>
      <c r="J159" s="390"/>
    </row>
    <row r="160" spans="1:10" ht="14.85" customHeight="1">
      <c r="B160" s="337"/>
      <c r="D160" s="337"/>
      <c r="E160" s="337"/>
      <c r="F160" s="337"/>
      <c r="G160" s="337"/>
      <c r="H160" s="337"/>
      <c r="I160" s="337"/>
      <c r="J160" s="337"/>
    </row>
    <row r="161" spans="4:10" ht="14.85" customHeight="1">
      <c r="D161" s="337"/>
      <c r="E161" s="337"/>
      <c r="F161" s="337"/>
      <c r="G161" s="337"/>
      <c r="H161" s="337"/>
      <c r="I161" s="337"/>
      <c r="J161" s="337"/>
    </row>
    <row r="162" spans="4:10" ht="14.85" customHeight="1">
      <c r="D162" s="337"/>
      <c r="E162" s="389"/>
      <c r="F162" s="389"/>
      <c r="G162" s="389"/>
      <c r="H162" s="337"/>
      <c r="I162" s="337"/>
      <c r="J162" s="337"/>
    </row>
    <row r="163" spans="4:10" ht="14.85" customHeight="1">
      <c r="D163" s="337"/>
      <c r="E163" s="390"/>
      <c r="F163" s="390"/>
      <c r="G163" s="390"/>
      <c r="H163" s="390"/>
      <c r="I163" s="390"/>
      <c r="J163" s="390"/>
    </row>
    <row r="164" spans="4:10" ht="14.85" customHeight="1">
      <c r="E164" s="337"/>
      <c r="F164" s="337"/>
      <c r="G164" s="337"/>
      <c r="H164" s="390"/>
      <c r="I164" s="390"/>
      <c r="J164" s="390"/>
    </row>
    <row r="165" spans="4:10" ht="14.85" customHeight="1">
      <c r="D165" s="337"/>
      <c r="E165" s="337"/>
      <c r="F165" s="337"/>
      <c r="G165" s="337"/>
      <c r="H165" s="337"/>
      <c r="I165" s="337"/>
      <c r="J165" s="337"/>
    </row>
    <row r="166" spans="4:10" ht="14.85" customHeight="1">
      <c r="D166" s="337"/>
      <c r="E166" s="392"/>
      <c r="F166" s="392"/>
      <c r="G166" s="392"/>
      <c r="H166" s="392"/>
      <c r="I166" s="392"/>
      <c r="J166" s="392"/>
    </row>
    <row r="167" spans="4:10" ht="14.85" customHeight="1">
      <c r="D167" s="337"/>
      <c r="E167" s="337"/>
      <c r="F167" s="337"/>
      <c r="G167" s="337"/>
      <c r="H167" s="337"/>
      <c r="I167" s="337"/>
      <c r="J167" s="337"/>
    </row>
    <row r="168" spans="4:10" ht="14.85" customHeight="1">
      <c r="E168" s="337"/>
      <c r="F168" s="337"/>
      <c r="G168" s="337"/>
      <c r="H168" s="337"/>
      <c r="I168" s="337"/>
      <c r="J168" s="337"/>
    </row>
    <row r="169" spans="4:10" ht="14.85" customHeight="1">
      <c r="E169" s="337"/>
      <c r="F169" s="337"/>
      <c r="G169" s="337"/>
      <c r="H169" s="337"/>
      <c r="I169" s="337"/>
      <c r="J169" s="337"/>
    </row>
    <row r="170" spans="4:10" ht="14.85" customHeight="1">
      <c r="E170" s="337"/>
      <c r="F170" s="337"/>
      <c r="G170" s="337"/>
      <c r="H170" s="337"/>
      <c r="I170" s="337"/>
      <c r="J170" s="337"/>
    </row>
    <row r="171" spans="4:10" ht="14.85" customHeight="1">
      <c r="E171" s="337"/>
      <c r="F171" s="337"/>
      <c r="G171" s="337"/>
      <c r="H171" s="337"/>
      <c r="I171" s="337"/>
      <c r="J171" s="337"/>
    </row>
    <row r="172" spans="4:10" ht="14.85" customHeight="1">
      <c r="E172" s="337"/>
      <c r="F172" s="337"/>
      <c r="G172" s="337"/>
      <c r="H172" s="337"/>
      <c r="I172" s="337"/>
      <c r="J172" s="337"/>
    </row>
    <row r="173" spans="4:10" ht="14.85" customHeight="1">
      <c r="E173" s="337"/>
      <c r="F173" s="337"/>
      <c r="G173" s="337"/>
      <c r="H173" s="337"/>
      <c r="I173" s="337"/>
      <c r="J173" s="337"/>
    </row>
    <row r="174" spans="4:10" ht="14.85" customHeight="1">
      <c r="E174" s="337"/>
      <c r="F174" s="337"/>
      <c r="G174" s="337"/>
      <c r="H174" s="337"/>
      <c r="I174" s="337"/>
      <c r="J174" s="337"/>
    </row>
    <row r="175" spans="4:10" ht="14.85" customHeight="1">
      <c r="E175" s="337"/>
      <c r="F175" s="337"/>
      <c r="G175" s="337"/>
      <c r="H175" s="337"/>
      <c r="I175" s="337"/>
      <c r="J175" s="337"/>
    </row>
    <row r="176" spans="4:10"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32.85" customHeight="1"/>
    <row r="188" ht="14.85" customHeight="1"/>
    <row r="189" ht="14.85" customHeight="1"/>
    <row r="190" ht="14.85" customHeight="1"/>
  </sheetData>
  <sheetProtection selectLockedCells="1"/>
  <mergeCells count="7">
    <mergeCell ref="B14:B15"/>
    <mergeCell ref="AF71:AF72"/>
    <mergeCell ref="AA5:AC5"/>
    <mergeCell ref="AD5:AF5"/>
    <mergeCell ref="C9:C10"/>
    <mergeCell ref="AD11:AF11"/>
    <mergeCell ref="AD33:AE33"/>
  </mergeCells>
  <conditionalFormatting sqref="E143">
    <cfRule type="expression" dxfId="91" priority="66">
      <formula>$E$133=$E$143</formula>
    </cfRule>
  </conditionalFormatting>
  <conditionalFormatting sqref="E166">
    <cfRule type="expression" dxfId="90" priority="46">
      <formula>$E$133=$E$143</formula>
    </cfRule>
  </conditionalFormatting>
  <conditionalFormatting sqref="E141:G141">
    <cfRule type="containsText" dxfId="89" priority="53" operator="containsText" text="balík">
      <formula>NOT(ISERROR(SEARCH("balík",E141)))</formula>
    </cfRule>
  </conditionalFormatting>
  <conditionalFormatting sqref="E164:G164">
    <cfRule type="containsText" dxfId="88" priority="41" operator="containsText" text="balík">
      <formula>NOT(ISERROR(SEARCH("balík",E164)))</formula>
    </cfRule>
  </conditionalFormatting>
  <conditionalFormatting sqref="E83:J83 F84">
    <cfRule type="containsText" dxfId="87" priority="92" operator="containsText" text="výsledn">
      <formula>NOT(ISERROR(SEARCH("výsledn",E83)))</formula>
    </cfRule>
  </conditionalFormatting>
  <conditionalFormatting sqref="E91:J91">
    <cfRule type="containsText" dxfId="86" priority="62" operator="containsText" text="paleta">
      <formula>NOT(ISERROR(SEARCH("paleta",E91)))</formula>
    </cfRule>
    <cfRule type="containsText" dxfId="85" priority="63" operator="containsText" text="balík">
      <formula>NOT(ISERROR(SEARCH("balík",E91)))</formula>
    </cfRule>
  </conditionalFormatting>
  <conditionalFormatting sqref="E129:J129">
    <cfRule type="containsText" dxfId="84" priority="77" operator="containsText" text="výsledn">
      <formula>NOT(ISERROR(SEARCH("výsledn",E129)))</formula>
    </cfRule>
  </conditionalFormatting>
  <conditionalFormatting sqref="E137:J137">
    <cfRule type="containsText" dxfId="83" priority="51" operator="containsText" text="paleta">
      <formula>NOT(ISERROR(SEARCH("paleta",E137)))</formula>
    </cfRule>
    <cfRule type="containsText" dxfId="82" priority="52" operator="containsText" text="balík">
      <formula>NOT(ISERROR(SEARCH("balík",E137)))</formula>
    </cfRule>
  </conditionalFormatting>
  <conditionalFormatting sqref="E152:J152">
    <cfRule type="containsText" dxfId="81" priority="70" operator="containsText" text="výsledn">
      <formula>NOT(ISERROR(SEARCH("výsledn",E152)))</formula>
    </cfRule>
  </conditionalFormatting>
  <conditionalFormatting sqref="E160:J160">
    <cfRule type="containsText" dxfId="80" priority="39" operator="containsText" text="paleta">
      <formula>NOT(ISERROR(SEARCH("paleta",E160)))</formula>
    </cfRule>
    <cfRule type="containsText" dxfId="79" priority="40" operator="containsText" text="balík">
      <formula>NOT(ISERROR(SEARCH("balík",E160)))</formula>
    </cfRule>
  </conditionalFormatting>
  <conditionalFormatting sqref="E175:J175">
    <cfRule type="containsText" dxfId="78" priority="50" operator="containsText" text="výsledn">
      <formula>NOT(ISERROR(SEARCH("výsledn",E175)))</formula>
    </cfRule>
  </conditionalFormatting>
  <conditionalFormatting sqref="F82">
    <cfRule type="expression" dxfId="77" priority="83">
      <formula>F83="výsledná zásilka"</formula>
    </cfRule>
  </conditionalFormatting>
  <conditionalFormatting sqref="F128">
    <cfRule type="expression" dxfId="76" priority="71">
      <formula>F129="výsledná zásilka"</formula>
    </cfRule>
  </conditionalFormatting>
  <conditionalFormatting sqref="F143">
    <cfRule type="expression" dxfId="75" priority="69">
      <formula>$F$133=$F$143</formula>
    </cfRule>
  </conditionalFormatting>
  <conditionalFormatting sqref="F166">
    <cfRule type="expression" dxfId="74" priority="49">
      <formula>$F$133=$F$143</formula>
    </cfRule>
  </conditionalFormatting>
  <conditionalFormatting sqref="F174">
    <cfRule type="expression" dxfId="73" priority="44">
      <formula>F175="výsledná zásilka"</formula>
    </cfRule>
  </conditionalFormatting>
  <conditionalFormatting sqref="G143">
    <cfRule type="expression" dxfId="72" priority="65">
      <formula>$G$133=$G$143</formula>
    </cfRule>
  </conditionalFormatting>
  <conditionalFormatting sqref="G166">
    <cfRule type="expression" dxfId="71" priority="43">
      <formula>$G$133=$G$143</formula>
    </cfRule>
  </conditionalFormatting>
  <conditionalFormatting sqref="H82">
    <cfRule type="expression" dxfId="70" priority="84">
      <formula>H83="výsledná zásilka"</formula>
    </cfRule>
  </conditionalFormatting>
  <conditionalFormatting sqref="H128">
    <cfRule type="expression" dxfId="69" priority="72">
      <formula>H129="výsledná zásilka"</formula>
    </cfRule>
  </conditionalFormatting>
  <conditionalFormatting sqref="H143">
    <cfRule type="expression" dxfId="68" priority="68">
      <formula>$H$143=$H$133</formula>
    </cfRule>
  </conditionalFormatting>
  <conditionalFormatting sqref="H166">
    <cfRule type="expression" dxfId="67" priority="48">
      <formula>$H$143=$H$133</formula>
    </cfRule>
  </conditionalFormatting>
  <conditionalFormatting sqref="H174">
    <cfRule type="expression" dxfId="66" priority="45">
      <formula>H175="výsledná zásilka"</formula>
    </cfRule>
  </conditionalFormatting>
  <conditionalFormatting sqref="I143">
    <cfRule type="expression" dxfId="65" priority="64">
      <formula>$I$133=$I$143</formula>
    </cfRule>
  </conditionalFormatting>
  <conditionalFormatting sqref="I166">
    <cfRule type="expression" dxfId="64" priority="42">
      <formula>$I$133=$I$143</formula>
    </cfRule>
  </conditionalFormatting>
  <conditionalFormatting sqref="J143">
    <cfRule type="expression" dxfId="63" priority="67">
      <formula>$J$74=$J$54</formula>
    </cfRule>
  </conditionalFormatting>
  <conditionalFormatting sqref="J166">
    <cfRule type="expression" dxfId="62" priority="47">
      <formula>$J$74=$J$54</formula>
    </cfRule>
  </conditionalFormatting>
  <conditionalFormatting sqref="N42:R47">
    <cfRule type="cellIs" dxfId="61" priority="1" operator="equal">
      <formula>"ne"</formula>
    </cfRule>
  </conditionalFormatting>
  <conditionalFormatting sqref="U42:U47">
    <cfRule type="containsText" dxfId="60" priority="2" operator="containsText" text="pale">
      <formula>NOT(ISERROR(SEARCH("pale",U42)))</formula>
    </cfRule>
  </conditionalFormatting>
  <conditionalFormatting sqref="W39">
    <cfRule type="cellIs" dxfId="59" priority="9" operator="lessThan">
      <formula>0</formula>
    </cfRule>
    <cfRule type="cellIs" dxfId="58" priority="10" operator="greaterThan">
      <formula>0</formula>
    </cfRule>
  </conditionalFormatting>
  <conditionalFormatting sqref="W42:W47">
    <cfRule type="cellIs" dxfId="57" priority="5" operator="equal">
      <formula>0</formula>
    </cfRule>
  </conditionalFormatting>
  <conditionalFormatting sqref="X39">
    <cfRule type="containsText" dxfId="56" priority="11" operator="containsText" text="pře">
      <formula>NOT(ISERROR(SEARCH("pře",X39)))</formula>
    </cfRule>
  </conditionalFormatting>
  <conditionalFormatting sqref="AA58">
    <cfRule type="expression" dxfId="55" priority="16">
      <formula>$AA$58=$AG$58</formula>
    </cfRule>
  </conditionalFormatting>
  <conditionalFormatting sqref="AA42:AF42 AA43:AA47 AC43:AF47">
    <cfRule type="duplicateValues" dxfId="54" priority="26"/>
  </conditionalFormatting>
  <conditionalFormatting sqref="AA42:AF47">
    <cfRule type="cellIs" dxfId="53" priority="20" operator="equal">
      <formula>0</formula>
    </cfRule>
  </conditionalFormatting>
  <conditionalFormatting sqref="AA43:AF43 AA44:AA47">
    <cfRule type="duplicateValues" dxfId="52" priority="25"/>
  </conditionalFormatting>
  <conditionalFormatting sqref="AA44:AF44 AA45:AA47">
    <cfRule type="duplicateValues" dxfId="51" priority="24"/>
  </conditionalFormatting>
  <conditionalFormatting sqref="AA45:AF45">
    <cfRule type="duplicateValues" dxfId="50" priority="23"/>
  </conditionalFormatting>
  <conditionalFormatting sqref="AA46:AF46">
    <cfRule type="duplicateValues" dxfId="49" priority="22"/>
  </conditionalFormatting>
  <conditionalFormatting sqref="AA47:AF47">
    <cfRule type="duplicateValues" dxfId="48" priority="21"/>
  </conditionalFormatting>
  <conditionalFormatting sqref="AA58:AF58">
    <cfRule type="cellIs" dxfId="47" priority="17" operator="equal">
      <formula>0</formula>
    </cfRule>
  </conditionalFormatting>
  <conditionalFormatting sqref="AC58">
    <cfRule type="expression" dxfId="46" priority="15">
      <formula>$AC$58=$AG$58</formula>
    </cfRule>
  </conditionalFormatting>
  <conditionalFormatting sqref="AD58">
    <cfRule type="expression" dxfId="45" priority="768">
      <formula>$AD$58=$AH$69</formula>
    </cfRule>
    <cfRule type="expression" dxfId="44" priority="769">
      <formula>$AD$58=$AG$58</formula>
    </cfRule>
  </conditionalFormatting>
  <conditionalFormatting sqref="AE58">
    <cfRule type="expression" dxfId="43" priority="770">
      <formula>$AE$58=$AH$69</formula>
    </cfRule>
    <cfRule type="expression" dxfId="42" priority="771">
      <formula>$AE$58=$AG$58</formula>
    </cfRule>
  </conditionalFormatting>
  <conditionalFormatting sqref="AF58">
    <cfRule type="expression" dxfId="41" priority="772">
      <formula>$AF$58=$AH$69</formula>
    </cfRule>
    <cfRule type="expression" dxfId="40" priority="773">
      <formula>$AF$58=$AG$58</formula>
    </cfRule>
  </conditionalFormatting>
  <conditionalFormatting sqref="AF71:AF72">
    <cfRule type="cellIs" dxfId="39" priority="774" operator="equal">
      <formula>0</formula>
    </cfRule>
    <cfRule type="cellIs" dxfId="38" priority="775" operator="equal">
      <formula>$AH$69</formula>
    </cfRule>
  </conditionalFormatting>
  <conditionalFormatting sqref="AH77:AH82">
    <cfRule type="colorScale" priority="36">
      <colorScale>
        <cfvo type="min"/>
        <cfvo type="percentile" val="50"/>
        <cfvo type="max"/>
        <color rgb="FF63BE7B"/>
        <color rgb="FFFFEB84"/>
        <color rgb="FFF8696B"/>
      </colorScale>
    </cfRule>
  </conditionalFormatting>
  <conditionalFormatting sqref="AQ37:AS37">
    <cfRule type="containsText" dxfId="37" priority="31" operator="containsText" text="balík">
      <formula>NOT(ISERROR(SEARCH("balík",AQ37)))</formula>
    </cfRule>
  </conditionalFormatting>
  <conditionalFormatting sqref="AQ33:AV33">
    <cfRule type="containsText" dxfId="36" priority="32" operator="containsText" text="paleta">
      <formula>NOT(ISERROR(SEARCH("paleta",AQ33)))</formula>
    </cfRule>
    <cfRule type="containsText" dxfId="35" priority="33" operator="containsText" text="balík">
      <formula>NOT(ISERROR(SEARCH("balík",AQ33)))</formula>
    </cfRule>
  </conditionalFormatting>
  <conditionalFormatting sqref="AQ50:AV50">
    <cfRule type="containsText" dxfId="34" priority="35" operator="containsText" text="výsledn">
      <formula>NOT(ISERROR(SEARCH("výsledn",AQ50)))</formula>
    </cfRule>
  </conditionalFormatting>
  <conditionalFormatting sqref="BB37:BD37">
    <cfRule type="containsText" dxfId="33" priority="28" operator="containsText" text="balík">
      <formula>NOT(ISERROR(SEARCH("balík",BB37)))</formula>
    </cfRule>
  </conditionalFormatting>
  <conditionalFormatting sqref="BB33:BG33">
    <cfRule type="containsText" dxfId="32" priority="29" operator="containsText" text="paleta">
      <formula>NOT(ISERROR(SEARCH("paleta",BB33)))</formula>
    </cfRule>
    <cfRule type="containsText" dxfId="31" priority="30" operator="containsText" text="balík">
      <formula>NOT(ISERROR(SEARCH("balík",BB33)))</formula>
    </cfRule>
  </conditionalFormatting>
  <conditionalFormatting sqref="BB50:BG50">
    <cfRule type="containsText" dxfId="30" priority="27" operator="containsText" text="výsledn">
      <formula>NOT(ISERROR(SEARCH("výsledn",BB50)))</formula>
    </cfRule>
  </conditionalFormatting>
  <pageMargins left="0.7" right="0.7" top="0.78740157499999996" bottom="0.78740157499999996" header="0.3" footer="0.3"/>
  <pageSetup paperSize="9" scale="70" fitToHeight="6" orientation="landscape"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41AA-8C6F-4AD1-8B7E-6C6A44E2E35C}">
  <sheetPr codeName="List32">
    <tabColor rgb="FF92D050"/>
  </sheetPr>
  <dimension ref="A1:BF116"/>
  <sheetViews>
    <sheetView workbookViewId="0"/>
  </sheetViews>
  <sheetFormatPr defaultColWidth="8.5703125" defaultRowHeight="0" customHeight="1" zeroHeight="1" outlineLevelRow="4"/>
  <cols>
    <col min="1" max="8" width="3.28515625" style="1" customWidth="1"/>
    <col min="9" max="12" width="3.28515625" style="12" customWidth="1"/>
    <col min="13" max="14" width="11.7109375" style="12" customWidth="1"/>
    <col min="15" max="16" width="7.5703125" style="12" bestFit="1" customWidth="1"/>
    <col min="17" max="17" width="7.7109375" style="12" bestFit="1" customWidth="1"/>
    <col min="18" max="18" width="7.42578125" style="12" bestFit="1" customWidth="1"/>
    <col min="19" max="19" width="5.140625" style="12" bestFit="1" customWidth="1"/>
    <col min="20" max="20" width="9.5703125" style="12" customWidth="1"/>
    <col min="21" max="21" width="11.85546875" style="12" customWidth="1"/>
    <col min="22" max="22" width="8.5703125" style="12" customWidth="1"/>
    <col min="23" max="23" width="10.7109375" style="12" bestFit="1" customWidth="1"/>
    <col min="24" max="24" width="10.7109375" style="1" bestFit="1" customWidth="1"/>
    <col min="25" max="25" width="19.42578125" style="1" customWidth="1"/>
    <col min="26" max="26" width="21" style="1" hidden="1" customWidth="1"/>
    <col min="27" max="27" width="16.42578125" style="1" hidden="1" customWidth="1"/>
    <col min="28" max="28" width="22.140625" style="1" hidden="1" customWidth="1"/>
    <col min="29" max="29" width="12.85546875" style="1" customWidth="1"/>
    <col min="30" max="30" width="20.5703125" style="1" customWidth="1"/>
    <col min="31" max="31" width="18.140625" style="1" customWidth="1"/>
    <col min="32" max="32" width="3" style="1" bestFit="1" customWidth="1"/>
    <col min="33" max="33" width="16" style="1" customWidth="1"/>
    <col min="34" max="34" width="36.5703125" style="1" customWidth="1"/>
    <col min="35" max="38" width="8.5703125" style="1"/>
    <col min="39" max="39" width="149.42578125" style="1" customWidth="1"/>
    <col min="40" max="40" width="8.5703125" style="1"/>
    <col min="41" max="41" width="17.140625" style="1" customWidth="1"/>
    <col min="42" max="47" width="20.140625" style="1" customWidth="1"/>
    <col min="48" max="49" width="7.7109375" style="1" customWidth="1"/>
    <col min="50" max="50" width="11.5703125" style="1" customWidth="1"/>
    <col min="51" max="51" width="7.7109375" style="1" customWidth="1"/>
    <col min="52" max="52" width="18.28515625" style="1" customWidth="1"/>
    <col min="53" max="60" width="37.7109375" style="1" customWidth="1"/>
    <col min="61" max="16384" width="8.5703125" style="1"/>
  </cols>
  <sheetData>
    <row r="1" spans="1:32" ht="15.75" customHeight="1">
      <c r="D1" s="337"/>
      <c r="E1" s="337"/>
      <c r="F1" s="337"/>
      <c r="G1" s="337"/>
      <c r="H1" s="337"/>
      <c r="I1" s="337"/>
      <c r="J1" s="337"/>
      <c r="T1" s="1"/>
      <c r="U1" s="1"/>
      <c r="V1" s="1"/>
      <c r="W1" s="1"/>
      <c r="AC1" s="393"/>
    </row>
    <row r="2" spans="1:32" ht="15.75" outlineLevel="1" thickBot="1">
      <c r="E2" s="337"/>
      <c r="F2" s="337"/>
      <c r="G2" s="337"/>
      <c r="H2" s="337"/>
      <c r="I2" s="337"/>
      <c r="J2" s="337"/>
      <c r="M2" s="12">
        <f>IF(Zakaznik!K23="Dostawa na adres",Hlavní!V39,0)</f>
        <v>0</v>
      </c>
      <c r="X2" s="12"/>
    </row>
    <row r="3" spans="1:32" ht="24" outlineLevel="4" thickBot="1">
      <c r="E3" s="337"/>
      <c r="F3" s="337"/>
      <c r="G3" s="337"/>
      <c r="H3" s="337"/>
      <c r="I3" s="337"/>
      <c r="J3" s="337"/>
      <c r="O3" s="789"/>
      <c r="P3" s="789"/>
      <c r="Y3" s="311"/>
      <c r="AC3" s="422" t="s">
        <v>3541</v>
      </c>
      <c r="AD3" s="423"/>
      <c r="AE3" s="424"/>
    </row>
    <row r="4" spans="1:32" ht="15" outlineLevel="4">
      <c r="E4" s="337"/>
      <c r="F4" s="337"/>
      <c r="G4" s="337"/>
      <c r="H4" s="337"/>
      <c r="I4" s="337"/>
      <c r="J4" s="337"/>
      <c r="Y4" s="450"/>
      <c r="AC4" s="334" t="s">
        <v>3542</v>
      </c>
      <c r="AD4" s="460" t="s">
        <v>4375</v>
      </c>
      <c r="AE4" s="335" t="s">
        <v>4376</v>
      </c>
    </row>
    <row r="5" spans="1:32" ht="15" outlineLevel="4">
      <c r="E5" s="337"/>
      <c r="F5" s="337"/>
      <c r="G5" s="337"/>
      <c r="H5" s="337"/>
      <c r="I5" s="337"/>
      <c r="J5" s="337"/>
      <c r="Y5" s="10"/>
      <c r="AC5" s="332" t="s">
        <v>3556</v>
      </c>
      <c r="AD5" s="329" t="s">
        <v>4374</v>
      </c>
      <c r="AE5" s="336" t="s">
        <v>4380</v>
      </c>
    </row>
    <row r="6" spans="1:32" ht="15.75" outlineLevel="4" thickBot="1">
      <c r="E6" s="337"/>
      <c r="F6" s="337"/>
      <c r="G6" s="337"/>
      <c r="H6" s="337"/>
      <c r="I6" s="337"/>
      <c r="J6" s="337"/>
      <c r="Y6" s="10"/>
      <c r="AC6" s="315" t="s">
        <v>4290</v>
      </c>
      <c r="AD6" s="418" t="s">
        <v>4329</v>
      </c>
      <c r="AE6" s="333" t="s">
        <v>4330</v>
      </c>
    </row>
    <row r="7" spans="1:32" ht="15" outlineLevel="4">
      <c r="E7" s="337"/>
      <c r="F7" s="337"/>
      <c r="G7" s="337"/>
      <c r="H7" s="337"/>
      <c r="I7" s="337"/>
      <c r="J7" s="337"/>
    </row>
    <row r="8" spans="1:32" ht="15" outlineLevel="4">
      <c r="E8" s="337"/>
      <c r="F8" s="337"/>
      <c r="G8" s="337"/>
      <c r="H8" s="337"/>
      <c r="I8" s="337"/>
      <c r="J8" s="337"/>
    </row>
    <row r="9" spans="1:32" ht="15" outlineLevel="4">
      <c r="E9" s="337"/>
      <c r="F9" s="337"/>
      <c r="G9" s="337"/>
      <c r="H9" s="337"/>
      <c r="I9" s="337"/>
      <c r="J9" s="337"/>
      <c r="Z9" s="337"/>
      <c r="AA9" s="337"/>
      <c r="AB9" s="337"/>
      <c r="AC9" s="337"/>
      <c r="AD9" s="337"/>
    </row>
    <row r="10" spans="1:32" ht="15" outlineLevel="4">
      <c r="Z10" s="426"/>
      <c r="AA10" s="426"/>
      <c r="AB10" s="426"/>
      <c r="AC10" s="426">
        <v>1400</v>
      </c>
      <c r="AD10" s="426">
        <v>2850</v>
      </c>
    </row>
    <row r="11" spans="1:32" ht="15.75" outlineLevel="4">
      <c r="Y11" s="259"/>
      <c r="Z11" s="426"/>
      <c r="AA11" s="426"/>
      <c r="AB11" s="426"/>
      <c r="AC11" s="426">
        <v>0</v>
      </c>
      <c r="AD11" s="426">
        <v>1401</v>
      </c>
    </row>
    <row r="12" spans="1:32" ht="15.75">
      <c r="X12" s="259"/>
      <c r="Y12" s="1" t="s">
        <v>4294</v>
      </c>
      <c r="Z12" s="427"/>
      <c r="AA12" s="427"/>
      <c r="AB12" s="427"/>
      <c r="AC12" s="427">
        <v>35</v>
      </c>
      <c r="AD12" s="427">
        <v>71</v>
      </c>
    </row>
    <row r="13" spans="1:32" ht="21">
      <c r="E13" s="386"/>
      <c r="F13" s="386"/>
      <c r="G13" s="386"/>
      <c r="H13" s="387"/>
      <c r="I13" s="387"/>
      <c r="J13" s="387"/>
      <c r="V13" s="12">
        <f>V14-20</f>
        <v>-20</v>
      </c>
      <c r="W13" s="12" t="str">
        <f>IF(V13&gt;0,"přebývá!","")</f>
        <v/>
      </c>
      <c r="Z13" s="428"/>
      <c r="AA13" s="428"/>
      <c r="AB13" s="428"/>
      <c r="AC13" s="428" t="s">
        <v>4325</v>
      </c>
      <c r="AD13" s="428" t="s">
        <v>4326</v>
      </c>
    </row>
    <row r="14" spans="1:32" ht="26.25" customHeight="1">
      <c r="B14" s="238"/>
      <c r="E14" s="337"/>
      <c r="F14" s="337"/>
      <c r="G14" s="337"/>
      <c r="H14" s="337"/>
      <c r="I14" s="337"/>
      <c r="J14" s="337"/>
      <c r="T14" s="790" t="s">
        <v>4304</v>
      </c>
      <c r="V14" s="12">
        <f>SUM(V16:V21)</f>
        <v>0</v>
      </c>
      <c r="Y14" s="1" t="s">
        <v>4300</v>
      </c>
      <c r="Z14" s="337"/>
      <c r="AA14" s="337"/>
      <c r="AB14" s="337"/>
      <c r="AC14" s="337">
        <v>12</v>
      </c>
      <c r="AD14" s="337">
        <v>6</v>
      </c>
      <c r="AF14" s="1">
        <v>14</v>
      </c>
    </row>
    <row r="15" spans="1:32" ht="15.75">
      <c r="A15" s="396"/>
      <c r="B15" s="160"/>
      <c r="D15" s="337"/>
      <c r="E15" s="389"/>
      <c r="F15" s="389"/>
      <c r="G15" s="389"/>
      <c r="H15" s="389"/>
      <c r="I15" s="389"/>
      <c r="J15" s="389"/>
      <c r="M15" s="12" t="s">
        <v>4301</v>
      </c>
      <c r="S15" s="12" t="s">
        <v>4331</v>
      </c>
      <c r="T15" s="790"/>
      <c r="V15" s="12" t="s">
        <v>4305</v>
      </c>
      <c r="W15" s="12" t="s">
        <v>4306</v>
      </c>
      <c r="X15" s="1" t="s">
        <v>4306</v>
      </c>
      <c r="Y15" s="259" t="s">
        <v>4334</v>
      </c>
      <c r="AC15" s="1">
        <f>CEILING(SUM(AC16:AC21)/AC14,1)</f>
        <v>0</v>
      </c>
      <c r="AD15" s="1">
        <f>CEILING(SUM(AD16:AD21)/AD14,1)</f>
        <v>0</v>
      </c>
      <c r="AF15" s="1">
        <v>15</v>
      </c>
    </row>
    <row r="16" spans="1:32" ht="18" customHeight="1">
      <c r="A16" s="396"/>
      <c r="B16" s="160"/>
      <c r="D16" s="337"/>
      <c r="E16" s="390"/>
      <c r="F16" s="390"/>
      <c r="G16" s="390"/>
      <c r="H16" s="390"/>
      <c r="I16" s="390"/>
      <c r="J16" s="390"/>
      <c r="M16" s="12" t="s">
        <v>4307</v>
      </c>
      <c r="N16" s="12" t="str">
        <f>IF(AND(S16&gt;$AC$11,S16&lt;=$AC$10),"tubus A","ne")</f>
        <v>ne</v>
      </c>
      <c r="O16" s="12" t="str">
        <f>IF(AND(S16&gt;$AC$11,S16&lt;=$AD$10),"tubus B","ne")</f>
        <v>ne</v>
      </c>
      <c r="S16" s="12">
        <f>MAX(W16:X16)</f>
        <v>0</v>
      </c>
      <c r="T16" s="12" t="str">
        <f>IF(N16&lt;&gt;"ne",N16,IF(O16&lt;&gt;"NE",O16,"ne"))</f>
        <v>ne</v>
      </c>
      <c r="U16" s="12" t="e">
        <f>_xlfn.TEXTBEFORE(T16," ")</f>
        <v>#N/A</v>
      </c>
      <c r="V16" s="12">
        <f>Ram_1!$H$28</f>
        <v>0</v>
      </c>
      <c r="W16" s="12">
        <f>Ram_1!$AI$30</f>
        <v>0</v>
      </c>
      <c r="X16" s="1">
        <f>Ram_1!$AR$14</f>
        <v>0</v>
      </c>
      <c r="Y16" s="8" t="s">
        <v>4307</v>
      </c>
      <c r="Z16" s="8"/>
      <c r="AA16" s="8"/>
      <c r="AB16" s="8"/>
      <c r="AC16" s="8">
        <f t="shared" ref="AC16:AC21" si="0">IF($M$2&lt;&gt;3,0,IFERROR((IF(T16=$AC$13,V16,0)),0))</f>
        <v>0</v>
      </c>
      <c r="AD16" s="8">
        <f t="shared" ref="AD16:AD21" si="1">IF($M$2&lt;&gt;3,0,IFERROR((IF(T16=$AD$13,V16,0)),0))</f>
        <v>0</v>
      </c>
      <c r="AE16" s="12" t="s">
        <v>4307</v>
      </c>
      <c r="AF16" s="1">
        <v>16</v>
      </c>
    </row>
    <row r="17" spans="1:58" ht="15">
      <c r="B17" s="337"/>
      <c r="D17" s="337"/>
      <c r="E17" s="337"/>
      <c r="F17" s="337"/>
      <c r="G17" s="337"/>
      <c r="H17" s="337"/>
      <c r="I17" s="337"/>
      <c r="J17" s="337"/>
      <c r="M17" s="12" t="s">
        <v>4308</v>
      </c>
      <c r="N17" s="12" t="str">
        <f t="shared" ref="N17:N21" si="2">IF(AND(S17&gt;$AC$11,S17&lt;=$AC$10),"tubus A","ne")</f>
        <v>ne</v>
      </c>
      <c r="O17" s="12" t="str">
        <f t="shared" ref="O17:O21" si="3">IF(AND(S17&gt;$AC$11,S17&lt;=$AD$10),"tubus B","ne")</f>
        <v>ne</v>
      </c>
      <c r="S17" s="12">
        <f>MAX(W17:X17)</f>
        <v>0</v>
      </c>
      <c r="T17" s="12" t="str">
        <f t="shared" ref="T17:T21" si="4">IF(N17&lt;&gt;"ne",N17,IF(O17&lt;&gt;"NE",O17,"ne"))</f>
        <v>ne</v>
      </c>
      <c r="U17" s="12" t="e">
        <f t="shared" ref="U17:U21" si="5">_xlfn.TEXTBEFORE(T17," ")</f>
        <v>#N/A</v>
      </c>
      <c r="V17" s="12">
        <f>Ram_2!$H$28</f>
        <v>0</v>
      </c>
      <c r="W17" s="12">
        <f>Ram_2!$AI$30</f>
        <v>0</v>
      </c>
      <c r="X17" s="1">
        <f>Ram_2!$AR$14</f>
        <v>0</v>
      </c>
      <c r="Y17" s="8" t="s">
        <v>4308</v>
      </c>
      <c r="Z17" s="8"/>
      <c r="AA17" s="8"/>
      <c r="AB17" s="8"/>
      <c r="AC17" s="8">
        <f t="shared" si="0"/>
        <v>0</v>
      </c>
      <c r="AD17" s="8">
        <f t="shared" si="1"/>
        <v>0</v>
      </c>
      <c r="AE17" s="12" t="s">
        <v>4308</v>
      </c>
      <c r="AF17" s="1">
        <v>17</v>
      </c>
    </row>
    <row r="18" spans="1:58" ht="15">
      <c r="D18" s="337"/>
      <c r="E18" s="337"/>
      <c r="F18" s="337"/>
      <c r="G18" s="337"/>
      <c r="H18" s="337"/>
      <c r="I18" s="337"/>
      <c r="J18" s="337"/>
      <c r="M18" s="12" t="s">
        <v>4309</v>
      </c>
      <c r="N18" s="12" t="str">
        <f t="shared" si="2"/>
        <v>ne</v>
      </c>
      <c r="O18" s="12" t="str">
        <f t="shared" si="3"/>
        <v>ne</v>
      </c>
      <c r="S18" s="12">
        <f t="shared" ref="S18:S20" si="6">MAX(W18:X18)</f>
        <v>0</v>
      </c>
      <c r="T18" s="12" t="str">
        <f t="shared" si="4"/>
        <v>ne</v>
      </c>
      <c r="U18" s="12" t="e">
        <f t="shared" si="5"/>
        <v>#N/A</v>
      </c>
      <c r="V18" s="12">
        <f>Ram_3!$H$28</f>
        <v>0</v>
      </c>
      <c r="W18" s="12">
        <f>Ram_3!$AI$30</f>
        <v>0</v>
      </c>
      <c r="X18" s="1">
        <f>Ram_3!$AR$14</f>
        <v>0</v>
      </c>
      <c r="Y18" s="8" t="s">
        <v>4309</v>
      </c>
      <c r="Z18" s="8"/>
      <c r="AA18" s="8"/>
      <c r="AB18" s="8"/>
      <c r="AC18" s="8">
        <f t="shared" si="0"/>
        <v>0</v>
      </c>
      <c r="AD18" s="8">
        <f t="shared" si="1"/>
        <v>0</v>
      </c>
      <c r="AE18" s="12" t="s">
        <v>4309</v>
      </c>
      <c r="AF18" s="1">
        <v>18</v>
      </c>
    </row>
    <row r="19" spans="1:58" ht="16.5" customHeight="1">
      <c r="D19" s="337"/>
      <c r="E19" s="389"/>
      <c r="F19" s="389"/>
      <c r="G19" s="389"/>
      <c r="H19" s="337"/>
      <c r="I19" s="337"/>
      <c r="J19" s="337"/>
      <c r="M19" s="12" t="s">
        <v>4310</v>
      </c>
      <c r="N19" s="12" t="str">
        <f t="shared" si="2"/>
        <v>ne</v>
      </c>
      <c r="O19" s="12" t="str">
        <f t="shared" si="3"/>
        <v>ne</v>
      </c>
      <c r="S19" s="12">
        <f t="shared" si="6"/>
        <v>0</v>
      </c>
      <c r="T19" s="12" t="str">
        <f t="shared" si="4"/>
        <v>ne</v>
      </c>
      <c r="U19" s="12" t="e">
        <f t="shared" si="5"/>
        <v>#N/A</v>
      </c>
      <c r="V19" s="12">
        <f>Ram_4!$H$28</f>
        <v>0</v>
      </c>
      <c r="W19" s="12">
        <f>Ram_4!$AI$30</f>
        <v>0</v>
      </c>
      <c r="X19" s="1">
        <f>Ram_4!$AR$14</f>
        <v>0</v>
      </c>
      <c r="Y19" s="8" t="s">
        <v>4310</v>
      </c>
      <c r="Z19" s="8"/>
      <c r="AA19" s="8"/>
      <c r="AB19" s="8"/>
      <c r="AC19" s="8">
        <f t="shared" si="0"/>
        <v>0</v>
      </c>
      <c r="AD19" s="8">
        <f t="shared" si="1"/>
        <v>0</v>
      </c>
      <c r="AE19" s="12" t="s">
        <v>4310</v>
      </c>
      <c r="AF19" s="1">
        <v>19</v>
      </c>
    </row>
    <row r="20" spans="1:58" ht="16.5" customHeight="1">
      <c r="D20" s="337"/>
      <c r="E20" s="390"/>
      <c r="F20" s="390"/>
      <c r="G20" s="390"/>
      <c r="H20" s="390"/>
      <c r="I20" s="390"/>
      <c r="J20" s="390"/>
      <c r="M20" s="12" t="s">
        <v>4311</v>
      </c>
      <c r="N20" s="12" t="str">
        <f t="shared" si="2"/>
        <v>ne</v>
      </c>
      <c r="O20" s="12" t="str">
        <f t="shared" si="3"/>
        <v>ne</v>
      </c>
      <c r="S20" s="12">
        <f t="shared" si="6"/>
        <v>0</v>
      </c>
      <c r="T20" s="12" t="str">
        <f t="shared" si="4"/>
        <v>ne</v>
      </c>
      <c r="U20" s="12" t="e">
        <f t="shared" si="5"/>
        <v>#N/A</v>
      </c>
      <c r="V20" s="12">
        <f>Ram_5!$H$28</f>
        <v>0</v>
      </c>
      <c r="W20" s="12">
        <f>Ram_5!$AI$30</f>
        <v>0</v>
      </c>
      <c r="X20" s="1">
        <f>Ram_5!$AR$14</f>
        <v>0</v>
      </c>
      <c r="Y20" s="8" t="s">
        <v>4311</v>
      </c>
      <c r="Z20" s="8"/>
      <c r="AA20" s="8"/>
      <c r="AB20" s="8"/>
      <c r="AC20" s="8">
        <f t="shared" si="0"/>
        <v>0</v>
      </c>
      <c r="AD20" s="8">
        <f t="shared" si="1"/>
        <v>0</v>
      </c>
      <c r="AE20" s="12" t="s">
        <v>4311</v>
      </c>
      <c r="AF20" s="1">
        <v>20</v>
      </c>
    </row>
    <row r="21" spans="1:58" ht="15">
      <c r="E21" s="337"/>
      <c r="F21" s="337"/>
      <c r="G21" s="337"/>
      <c r="H21" s="390"/>
      <c r="I21" s="390"/>
      <c r="J21" s="390"/>
      <c r="M21" s="12" t="s">
        <v>4312</v>
      </c>
      <c r="N21" s="12" t="str">
        <f t="shared" si="2"/>
        <v>ne</v>
      </c>
      <c r="O21" s="12" t="str">
        <f t="shared" si="3"/>
        <v>ne</v>
      </c>
      <c r="S21" s="12">
        <f>MAX(W21:X21)</f>
        <v>0</v>
      </c>
      <c r="T21" s="12" t="str">
        <f t="shared" si="4"/>
        <v>ne</v>
      </c>
      <c r="U21" s="12" t="e">
        <f t="shared" si="5"/>
        <v>#N/A</v>
      </c>
      <c r="V21" s="12">
        <f>Ram_6!$H$28</f>
        <v>0</v>
      </c>
      <c r="W21" s="12">
        <f>Ram_6!$AI$30</f>
        <v>0</v>
      </c>
      <c r="X21" s="1">
        <f>Ram_6!$AR$14</f>
        <v>0</v>
      </c>
      <c r="Y21" s="8" t="s">
        <v>4312</v>
      </c>
      <c r="Z21" s="8"/>
      <c r="AA21" s="8"/>
      <c r="AB21" s="8"/>
      <c r="AC21" s="8">
        <f t="shared" si="0"/>
        <v>0</v>
      </c>
      <c r="AD21" s="8">
        <f t="shared" si="1"/>
        <v>0</v>
      </c>
      <c r="AE21" s="12" t="s">
        <v>4312</v>
      </c>
      <c r="AF21" s="1">
        <v>21</v>
      </c>
    </row>
    <row r="22" spans="1:58" ht="15">
      <c r="D22" s="337"/>
      <c r="E22" s="337"/>
      <c r="F22" s="337"/>
      <c r="G22" s="337"/>
      <c r="H22" s="337"/>
      <c r="I22" s="337"/>
      <c r="J22" s="337"/>
      <c r="AC22" s="1">
        <f>SUM(AC16:AC21)</f>
        <v>0</v>
      </c>
      <c r="AD22" s="1">
        <f>SUM(AD16:AD21)</f>
        <v>0</v>
      </c>
      <c r="AE22" s="1" t="s">
        <v>4332</v>
      </c>
      <c r="AF22" s="1">
        <v>22</v>
      </c>
    </row>
    <row r="23" spans="1:58" s="12" customFormat="1" ht="18.75">
      <c r="A23" s="1"/>
      <c r="B23" s="1"/>
      <c r="C23" s="1"/>
      <c r="D23" s="337"/>
      <c r="E23" s="392"/>
      <c r="F23" s="392"/>
      <c r="G23" s="392"/>
      <c r="H23" s="392"/>
      <c r="I23" s="392"/>
      <c r="J23" s="392"/>
      <c r="X23" s="1"/>
      <c r="Y23" s="1"/>
      <c r="Z23" s="1"/>
      <c r="AA23" s="1"/>
      <c r="AB23" s="1"/>
      <c r="AC23" s="1"/>
      <c r="AD23" s="1">
        <f>IF(AD22=0,0,$AD$14*AD15-AD22)</f>
        <v>0</v>
      </c>
      <c r="AE23" s="1" t="s">
        <v>4320</v>
      </c>
      <c r="AF23" s="1">
        <v>23</v>
      </c>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s="12" customFormat="1" ht="15">
      <c r="A24" s="1"/>
      <c r="B24" s="1"/>
      <c r="C24" s="1"/>
      <c r="D24" s="337"/>
      <c r="E24" s="337"/>
      <c r="F24" s="337"/>
      <c r="G24" s="337"/>
      <c r="H24" s="337"/>
      <c r="I24" s="337"/>
      <c r="J24" s="337"/>
      <c r="X24" s="1"/>
      <c r="Y24" s="1"/>
      <c r="Z24" s="1"/>
      <c r="AA24" s="1"/>
      <c r="AB24" s="1"/>
      <c r="AC24" s="1">
        <f>IF(AD22=0,AC22,IF(AD23&gt;=AC22,0,AC22-AD23))</f>
        <v>0</v>
      </c>
      <c r="AD24" s="1">
        <f>IF(AD23&gt;=AC22,AC22+AD22,AD23+AD22)</f>
        <v>0</v>
      </c>
      <c r="AE24" s="1" t="s">
        <v>4333</v>
      </c>
      <c r="AF24" s="1">
        <v>24</v>
      </c>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row>
    <row r="25" spans="1:58" s="12" customFormat="1" ht="15">
      <c r="A25" s="1"/>
      <c r="B25" s="1"/>
      <c r="C25" s="1"/>
      <c r="D25" s="1"/>
      <c r="E25" s="337"/>
      <c r="F25" s="337"/>
      <c r="G25" s="337"/>
      <c r="H25" s="337"/>
      <c r="I25" s="337"/>
      <c r="J25" s="337"/>
      <c r="X25" s="1"/>
      <c r="Y25" s="1"/>
      <c r="Z25" s="1"/>
      <c r="AA25" s="1"/>
      <c r="AB25" s="1"/>
      <c r="AC25" s="1">
        <f>CEILING(AC24/AC14,1)</f>
        <v>0</v>
      </c>
      <c r="AD25" s="1">
        <f>CEILING(AD24/AD14,1)</f>
        <v>0</v>
      </c>
      <c r="AE25" s="1" t="s">
        <v>4335</v>
      </c>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s="12" customFormat="1" ht="15">
      <c r="A26" s="1"/>
      <c r="B26" s="1"/>
      <c r="C26" s="1"/>
      <c r="D26" s="1"/>
      <c r="E26" s="337"/>
      <c r="F26" s="337"/>
      <c r="G26" s="337"/>
      <c r="H26" s="337"/>
      <c r="I26" s="337"/>
      <c r="J26" s="337"/>
      <c r="X26" s="1"/>
      <c r="Y26" s="1"/>
      <c r="Z26" s="1"/>
      <c r="AA26" s="1"/>
      <c r="AB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row>
    <row r="27" spans="1:58" s="12" customFormat="1" ht="15">
      <c r="A27" s="1"/>
      <c r="B27" s="1"/>
      <c r="C27" s="1"/>
      <c r="D27" s="1"/>
      <c r="E27" s="337"/>
      <c r="F27" s="337"/>
      <c r="G27" s="337"/>
      <c r="H27" s="337"/>
      <c r="I27" s="337"/>
      <c r="J27" s="337"/>
      <c r="X27" s="1"/>
      <c r="Y27" s="1"/>
      <c r="Z27" s="1"/>
      <c r="AA27" s="1"/>
      <c r="AB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1:58" s="12" customFormat="1" ht="15">
      <c r="A28" s="1"/>
      <c r="B28" s="1"/>
      <c r="C28" s="1"/>
      <c r="D28" s="1"/>
      <c r="E28" s="337"/>
      <c r="F28" s="337"/>
      <c r="G28" s="337"/>
      <c r="H28" s="337"/>
      <c r="I28" s="337"/>
      <c r="J28" s="337"/>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row>
    <row r="29" spans="1:58" s="12" customFormat="1" ht="15">
      <c r="A29" s="1"/>
      <c r="B29" s="1"/>
      <c r="C29" s="1"/>
      <c r="D29" s="1"/>
      <c r="E29" s="337"/>
      <c r="F29" s="337"/>
      <c r="G29" s="337"/>
      <c r="H29" s="337"/>
      <c r="I29" s="337"/>
      <c r="J29" s="337"/>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s="12" customFormat="1" ht="15">
      <c r="A30" s="1"/>
      <c r="B30" s="1"/>
      <c r="C30" s="1"/>
      <c r="D30" s="1"/>
      <c r="E30" s="337"/>
      <c r="F30" s="337"/>
      <c r="G30" s="337"/>
      <c r="H30" s="337"/>
      <c r="I30" s="337"/>
      <c r="J30" s="337"/>
      <c r="X30" s="1"/>
      <c r="Y30" s="1"/>
      <c r="Z30" s="1"/>
      <c r="AA30" s="1"/>
      <c r="AB30" s="1"/>
      <c r="AC30" s="1">
        <f>AC25*AC12</f>
        <v>0</v>
      </c>
      <c r="AD30" s="1">
        <f>AD25*AD12</f>
        <v>0</v>
      </c>
      <c r="AE30" s="1" t="s">
        <v>3556</v>
      </c>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s="12" customFormat="1" ht="14.85" customHeight="1">
      <c r="A31" s="1"/>
      <c r="B31" s="1"/>
      <c r="C31" s="1"/>
      <c r="D31" s="1"/>
      <c r="E31" s="337"/>
      <c r="F31" s="337"/>
      <c r="G31" s="337"/>
      <c r="H31" s="337"/>
      <c r="I31" s="337"/>
      <c r="J31" s="337"/>
      <c r="X31" s="1"/>
      <c r="Y31" s="1"/>
      <c r="Z31" s="1"/>
      <c r="AA31" s="1"/>
      <c r="AB31" s="1"/>
      <c r="AC31" s="1"/>
      <c r="AD31" s="1">
        <f>SUM(AC30:AD30)</f>
        <v>0</v>
      </c>
      <c r="AE31" s="1" t="s">
        <v>4336</v>
      </c>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1:58" s="12" customFormat="1" ht="14.85" customHeight="1">
      <c r="A32" s="1"/>
      <c r="B32" s="1"/>
      <c r="C32" s="1"/>
      <c r="D32" s="1"/>
      <c r="E32" s="337"/>
      <c r="F32" s="337"/>
      <c r="G32" s="337"/>
      <c r="H32" s="337"/>
      <c r="I32" s="337"/>
      <c r="J32" s="337"/>
      <c r="X32" s="1"/>
      <c r="Y32" s="1"/>
      <c r="Z32" s="1"/>
      <c r="AA32" s="1"/>
      <c r="AB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s="12" customFormat="1" ht="14.85" customHeight="1">
      <c r="A33" s="1"/>
      <c r="B33" s="1"/>
      <c r="C33" s="1"/>
      <c r="D33" s="1"/>
      <c r="E33" s="1"/>
      <c r="F33" s="1"/>
      <c r="G33" s="1"/>
      <c r="H33" s="1"/>
      <c r="X33" s="1"/>
      <c r="Y33" s="1"/>
      <c r="Z33" s="1"/>
      <c r="AB33" s="1"/>
      <c r="AC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1:58" s="12" customFormat="1" ht="14.85" customHeight="1">
      <c r="A34" s="1"/>
      <c r="B34" s="1"/>
      <c r="C34" s="1"/>
      <c r="D34" s="1"/>
      <c r="E34" s="1"/>
      <c r="F34" s="1"/>
      <c r="G34" s="1"/>
      <c r="H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s="12" customFormat="1" ht="14.85" customHeight="1">
      <c r="A35" s="1"/>
      <c r="B35" s="1"/>
      <c r="C35" s="1"/>
      <c r="D35" s="1"/>
      <c r="E35" s="1"/>
      <c r="F35" s="1"/>
      <c r="G35" s="1"/>
      <c r="H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row>
    <row r="36" spans="1:58" s="12" customFormat="1" ht="27" customHeight="1">
      <c r="A36" s="1"/>
      <c r="B36" s="1"/>
      <c r="C36" s="1"/>
      <c r="D36" s="1"/>
      <c r="E36" s="386"/>
      <c r="F36" s="386"/>
      <c r="G36" s="386"/>
      <c r="H36" s="387"/>
      <c r="I36" s="387"/>
      <c r="J36" s="387"/>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s="12" customFormat="1" ht="18" customHeight="1">
      <c r="A37" s="1"/>
      <c r="B37" s="238"/>
      <c r="C37" s="1"/>
      <c r="D37" s="1"/>
      <c r="E37" s="337"/>
      <c r="F37" s="337"/>
      <c r="G37" s="337"/>
      <c r="H37" s="337"/>
      <c r="I37" s="337"/>
      <c r="J37" s="337"/>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row>
    <row r="38" spans="1:58" s="12" customFormat="1" ht="14.85" customHeight="1">
      <c r="A38" s="396"/>
      <c r="B38" s="160"/>
      <c r="C38" s="1"/>
      <c r="D38" s="337"/>
      <c r="E38" s="389"/>
      <c r="F38" s="389"/>
      <c r="G38" s="389"/>
      <c r="H38" s="389"/>
      <c r="I38" s="389"/>
      <c r="J38" s="389"/>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1:58" s="12" customFormat="1" ht="14.85" customHeight="1">
      <c r="A39" s="396"/>
      <c r="B39" s="160"/>
      <c r="C39" s="1"/>
      <c r="D39" s="337"/>
      <c r="E39" s="390"/>
      <c r="F39" s="390"/>
      <c r="G39" s="390"/>
      <c r="H39" s="390"/>
      <c r="I39" s="390"/>
      <c r="J39" s="390"/>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row>
    <row r="40" spans="1:58" s="12" customFormat="1" ht="14.85" customHeight="1">
      <c r="A40" s="1"/>
      <c r="B40" s="337"/>
      <c r="C40" s="1"/>
      <c r="D40" s="337"/>
      <c r="E40" s="337"/>
      <c r="F40" s="337"/>
      <c r="G40" s="337"/>
      <c r="H40" s="337"/>
      <c r="I40" s="337"/>
      <c r="J40" s="337"/>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s="12" customFormat="1" ht="14.85" customHeight="1">
      <c r="A41" s="1"/>
      <c r="B41" s="1"/>
      <c r="C41" s="1"/>
      <c r="D41" s="337"/>
      <c r="E41" s="337"/>
      <c r="F41" s="337"/>
      <c r="G41" s="337"/>
      <c r="H41" s="337"/>
      <c r="I41" s="337"/>
      <c r="J41" s="337"/>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row>
    <row r="42" spans="1:58" s="12" customFormat="1" ht="14.85" customHeight="1">
      <c r="A42" s="1"/>
      <c r="B42" s="1"/>
      <c r="C42" s="1"/>
      <c r="D42" s="337"/>
      <c r="E42" s="389"/>
      <c r="F42" s="389"/>
      <c r="G42" s="389"/>
      <c r="H42" s="337"/>
      <c r="I42" s="337"/>
      <c r="J42" s="337"/>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row>
    <row r="43" spans="1:58" s="12" customFormat="1" ht="14.85" customHeight="1">
      <c r="A43" s="1"/>
      <c r="B43" s="1"/>
      <c r="C43" s="1"/>
      <c r="D43" s="337"/>
      <c r="E43" s="390"/>
      <c r="F43" s="390"/>
      <c r="G43" s="390"/>
      <c r="H43" s="390"/>
      <c r="I43" s="390"/>
      <c r="J43" s="390"/>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row>
    <row r="44" spans="1:58" s="12" customFormat="1" ht="14.85" customHeight="1">
      <c r="A44" s="1"/>
      <c r="B44" s="1"/>
      <c r="C44" s="1"/>
      <c r="D44" s="1"/>
      <c r="E44" s="337"/>
      <c r="F44" s="337"/>
      <c r="G44" s="337"/>
      <c r="H44" s="390"/>
      <c r="I44" s="390"/>
      <c r="J44" s="390"/>
      <c r="X44" s="1"/>
      <c r="Y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row>
    <row r="45" spans="1:58" s="12" customFormat="1" ht="14.85" customHeight="1">
      <c r="A45" s="1"/>
      <c r="B45" s="1"/>
      <c r="C45" s="1"/>
      <c r="D45" s="337"/>
      <c r="E45" s="337"/>
      <c r="F45" s="337"/>
      <c r="G45" s="337"/>
      <c r="H45" s="337"/>
      <c r="I45" s="337"/>
      <c r="J45" s="337"/>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1:58" s="12" customFormat="1" ht="14.85" customHeight="1">
      <c r="A46" s="1"/>
      <c r="B46" s="1"/>
      <c r="C46" s="1"/>
      <c r="D46" s="337"/>
      <c r="E46" s="392"/>
      <c r="F46" s="392"/>
      <c r="G46" s="392"/>
      <c r="H46" s="392"/>
      <c r="I46" s="392"/>
      <c r="J46" s="392"/>
      <c r="X46" s="1"/>
      <c r="Y46" s="1"/>
      <c r="Z46" s="1"/>
      <c r="AA46" s="1"/>
      <c r="AB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1:58" s="12" customFormat="1" ht="14.85" customHeight="1">
      <c r="A47" s="1"/>
      <c r="B47" s="1"/>
      <c r="C47" s="1"/>
      <c r="D47" s="337"/>
      <c r="E47" s="337"/>
      <c r="F47" s="337"/>
      <c r="G47" s="337"/>
      <c r="H47" s="337"/>
      <c r="I47" s="337"/>
      <c r="J47" s="337"/>
      <c r="X47" s="1"/>
      <c r="Y47" s="1"/>
      <c r="Z47" s="1"/>
      <c r="AA47" s="1"/>
      <c r="AB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48" spans="1:58" s="12" customFormat="1" ht="14.85" customHeight="1">
      <c r="A48" s="1"/>
      <c r="B48" s="1"/>
      <c r="C48" s="1"/>
      <c r="D48" s="1"/>
      <c r="E48" s="337"/>
      <c r="F48" s="337"/>
      <c r="G48" s="337"/>
      <c r="H48" s="337"/>
      <c r="I48" s="337"/>
      <c r="J48" s="337"/>
      <c r="X48" s="1"/>
      <c r="Y48" s="1"/>
      <c r="Z48" s="1"/>
      <c r="AA48" s="1"/>
      <c r="AB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s="12" customFormat="1" ht="14.85" customHeight="1">
      <c r="A49" s="1"/>
      <c r="B49" s="1"/>
      <c r="C49" s="1"/>
      <c r="D49" s="1"/>
      <c r="E49" s="337"/>
      <c r="F49" s="337"/>
      <c r="G49" s="337"/>
      <c r="H49" s="337"/>
      <c r="I49" s="337"/>
      <c r="J49" s="337"/>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row>
    <row r="50" spans="1:58" s="12" customFormat="1" ht="14.85" customHeight="1">
      <c r="A50" s="1"/>
      <c r="B50" s="1"/>
      <c r="C50" s="1"/>
      <c r="D50" s="1"/>
      <c r="E50" s="337"/>
      <c r="F50" s="337"/>
      <c r="G50" s="337"/>
      <c r="H50" s="337"/>
      <c r="I50" s="337"/>
      <c r="J50" s="337"/>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row>
    <row r="51" spans="1:58" s="12" customFormat="1" ht="14.85" customHeight="1">
      <c r="A51" s="1"/>
      <c r="B51" s="1"/>
      <c r="C51" s="1"/>
      <c r="D51" s="1"/>
      <c r="E51" s="337"/>
      <c r="F51" s="337"/>
      <c r="G51" s="337"/>
      <c r="H51" s="337"/>
      <c r="I51" s="337"/>
      <c r="J51" s="337"/>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row>
    <row r="52" spans="1:58" s="12" customFormat="1" ht="14.85" customHeight="1">
      <c r="A52" s="1"/>
      <c r="B52" s="1"/>
      <c r="C52" s="1"/>
      <c r="D52" s="1"/>
      <c r="E52" s="337"/>
      <c r="F52" s="337"/>
      <c r="G52" s="337"/>
      <c r="H52" s="337"/>
      <c r="I52" s="337"/>
      <c r="J52" s="337"/>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s="12" customFormat="1" ht="14.85" customHeight="1">
      <c r="A53" s="1"/>
      <c r="B53" s="1"/>
      <c r="C53" s="1"/>
      <c r="D53" s="1"/>
      <c r="E53" s="337"/>
      <c r="F53" s="337"/>
      <c r="G53" s="337"/>
      <c r="H53" s="337"/>
      <c r="I53" s="337"/>
      <c r="J53" s="337"/>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row>
    <row r="54" spans="1:58" s="12" customFormat="1" ht="14.85" customHeight="1">
      <c r="A54" s="1"/>
      <c r="B54" s="1"/>
      <c r="C54" s="1"/>
      <c r="D54" s="1"/>
      <c r="E54" s="337"/>
      <c r="F54" s="337"/>
      <c r="G54" s="337"/>
      <c r="H54" s="337"/>
      <c r="I54" s="337"/>
      <c r="J54" s="337"/>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row>
    <row r="55" spans="1:58" s="12" customFormat="1" ht="14.85" customHeight="1">
      <c r="A55" s="1"/>
      <c r="B55" s="1"/>
      <c r="C55" s="1"/>
      <c r="D55" s="1"/>
      <c r="E55" s="337"/>
      <c r="F55" s="337"/>
      <c r="G55" s="337"/>
      <c r="H55" s="337"/>
      <c r="I55" s="337"/>
      <c r="J55" s="337"/>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row>
    <row r="56" spans="1:58" s="12" customFormat="1" ht="14.85" customHeight="1">
      <c r="A56" s="1"/>
      <c r="B56" s="1"/>
      <c r="C56" s="1"/>
      <c r="D56" s="1"/>
      <c r="E56" s="1"/>
      <c r="F56" s="1"/>
      <c r="G56" s="1"/>
      <c r="H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row>
    <row r="57" spans="1:58" s="12" customFormat="1" ht="14.85" customHeight="1">
      <c r="A57" s="1"/>
      <c r="B57" s="1"/>
      <c r="C57" s="1"/>
      <c r="D57" s="1"/>
      <c r="E57" s="1"/>
      <c r="F57" s="1"/>
      <c r="G57" s="1"/>
      <c r="H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row>
    <row r="58" spans="1:58" s="12" customFormat="1" ht="14.85" customHeight="1">
      <c r="A58" s="1"/>
      <c r="B58" s="1"/>
      <c r="C58" s="1"/>
      <c r="D58" s="1"/>
      <c r="E58" s="1"/>
      <c r="F58" s="1"/>
      <c r="G58" s="1"/>
      <c r="H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row>
    <row r="59" spans="1:58" s="12" customFormat="1" ht="18.75" customHeight="1">
      <c r="A59" s="1"/>
      <c r="B59" s="1"/>
      <c r="C59" s="1"/>
      <c r="D59" s="1"/>
      <c r="E59" s="386"/>
      <c r="F59" s="386"/>
      <c r="G59" s="386"/>
      <c r="H59" s="387"/>
      <c r="I59" s="387"/>
      <c r="J59" s="387"/>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row>
    <row r="60" spans="1:58" s="12" customFormat="1" ht="19.5" customHeight="1">
      <c r="A60" s="1"/>
      <c r="B60" s="238"/>
      <c r="C60" s="1"/>
      <c r="D60" s="1"/>
      <c r="E60" s="337"/>
      <c r="F60" s="337"/>
      <c r="G60" s="337"/>
      <c r="H60" s="337"/>
      <c r="I60" s="337"/>
      <c r="J60" s="337"/>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row>
    <row r="61" spans="1:58" s="12" customFormat="1" ht="14.85" customHeight="1">
      <c r="A61" s="396"/>
      <c r="B61" s="160"/>
      <c r="C61" s="1"/>
      <c r="D61" s="337"/>
      <c r="E61" s="389"/>
      <c r="F61" s="389"/>
      <c r="G61" s="389"/>
      <c r="H61" s="389"/>
      <c r="I61" s="389"/>
      <c r="J61" s="389"/>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row>
    <row r="62" spans="1:58" s="12" customFormat="1" ht="14.85" customHeight="1">
      <c r="A62" s="396"/>
      <c r="B62" s="160"/>
      <c r="C62" s="1"/>
      <c r="D62" s="337"/>
      <c r="E62" s="390"/>
      <c r="F62" s="390"/>
      <c r="G62" s="390"/>
      <c r="H62" s="390"/>
      <c r="I62" s="390"/>
      <c r="J62" s="390"/>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row>
    <row r="63" spans="1:58" s="12" customFormat="1" ht="14.85" customHeight="1">
      <c r="A63" s="1"/>
      <c r="B63" s="337"/>
      <c r="C63" s="1"/>
      <c r="D63" s="337"/>
      <c r="E63" s="337"/>
      <c r="F63" s="337"/>
      <c r="G63" s="337"/>
      <c r="H63" s="337"/>
      <c r="I63" s="337"/>
      <c r="J63" s="337"/>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row>
    <row r="64" spans="1:58" s="12" customFormat="1" ht="14.85" customHeight="1">
      <c r="A64" s="1"/>
      <c r="B64" s="1"/>
      <c r="C64" s="1"/>
      <c r="D64" s="337"/>
      <c r="E64" s="337"/>
      <c r="F64" s="337"/>
      <c r="G64" s="337"/>
      <c r="H64" s="337"/>
      <c r="I64" s="337"/>
      <c r="J64" s="337"/>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row>
    <row r="65" spans="1:58" s="12" customFormat="1" ht="14.85" customHeight="1">
      <c r="A65" s="1"/>
      <c r="B65" s="1"/>
      <c r="C65" s="1"/>
      <c r="D65" s="337"/>
      <c r="E65" s="389"/>
      <c r="F65" s="389"/>
      <c r="G65" s="389"/>
      <c r="H65" s="337"/>
      <c r="I65" s="337"/>
      <c r="J65" s="337"/>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row>
    <row r="66" spans="1:58" s="12" customFormat="1" ht="14.85" customHeight="1">
      <c r="A66" s="1"/>
      <c r="B66" s="1"/>
      <c r="C66" s="1"/>
      <c r="D66" s="337"/>
      <c r="E66" s="390"/>
      <c r="F66" s="390"/>
      <c r="G66" s="390"/>
      <c r="H66" s="390"/>
      <c r="I66" s="390"/>
      <c r="J66" s="390"/>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row>
    <row r="67" spans="1:58" s="12" customFormat="1" ht="14.85" customHeight="1">
      <c r="A67" s="1"/>
      <c r="B67" s="1"/>
      <c r="C67" s="1"/>
      <c r="D67" s="1"/>
      <c r="E67" s="337"/>
      <c r="F67" s="337"/>
      <c r="G67" s="337"/>
      <c r="H67" s="390"/>
      <c r="I67" s="390"/>
      <c r="J67" s="390"/>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row>
    <row r="68" spans="1:58" s="12" customFormat="1" ht="14.85" customHeight="1">
      <c r="A68" s="1"/>
      <c r="B68" s="1"/>
      <c r="C68" s="1"/>
      <c r="D68" s="337"/>
      <c r="E68" s="337"/>
      <c r="F68" s="337"/>
      <c r="G68" s="337"/>
      <c r="H68" s="337"/>
      <c r="I68" s="337"/>
      <c r="J68" s="337"/>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row>
    <row r="69" spans="1:58" s="12" customFormat="1" ht="14.85" customHeight="1">
      <c r="A69" s="1"/>
      <c r="B69" s="1"/>
      <c r="C69" s="1"/>
      <c r="D69" s="337"/>
      <c r="E69" s="392"/>
      <c r="F69" s="392"/>
      <c r="G69" s="392"/>
      <c r="H69" s="392"/>
      <c r="I69" s="392"/>
      <c r="J69" s="392"/>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row>
    <row r="70" spans="1:58" s="12" customFormat="1" ht="14.85" customHeight="1">
      <c r="A70" s="1"/>
      <c r="B70" s="1"/>
      <c r="C70" s="1"/>
      <c r="D70" s="337"/>
      <c r="E70" s="337"/>
      <c r="F70" s="337"/>
      <c r="G70" s="337"/>
      <c r="H70" s="337"/>
      <c r="I70" s="337"/>
      <c r="J70" s="337"/>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row>
    <row r="71" spans="1:58" s="12" customFormat="1" ht="14.85" customHeight="1">
      <c r="A71" s="1"/>
      <c r="B71" s="1"/>
      <c r="C71" s="1"/>
      <c r="D71" s="1"/>
      <c r="E71" s="337"/>
      <c r="F71" s="337"/>
      <c r="G71" s="337"/>
      <c r="H71" s="337"/>
      <c r="I71" s="337"/>
      <c r="J71" s="337"/>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row>
    <row r="72" spans="1:58" s="12" customFormat="1" ht="14.85" customHeight="1">
      <c r="A72" s="1"/>
      <c r="B72" s="1"/>
      <c r="C72" s="1"/>
      <c r="D72" s="1"/>
      <c r="E72" s="337"/>
      <c r="F72" s="337"/>
      <c r="G72" s="337"/>
      <c r="H72" s="337"/>
      <c r="I72" s="337"/>
      <c r="J72" s="337"/>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row>
    <row r="73" spans="1:58" s="12" customFormat="1" ht="14.85" customHeight="1">
      <c r="A73" s="1"/>
      <c r="B73" s="1"/>
      <c r="C73" s="1"/>
      <c r="D73" s="1"/>
      <c r="E73" s="337"/>
      <c r="F73" s="337"/>
      <c r="G73" s="337"/>
      <c r="H73" s="337"/>
      <c r="I73" s="337"/>
      <c r="J73" s="337"/>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row>
    <row r="74" spans="1:58" s="12" customFormat="1" ht="14.85" customHeight="1">
      <c r="A74" s="1"/>
      <c r="B74" s="1"/>
      <c r="C74" s="1"/>
      <c r="D74" s="1"/>
      <c r="E74" s="337"/>
      <c r="F74" s="337"/>
      <c r="G74" s="337"/>
      <c r="H74" s="337"/>
      <c r="I74" s="337"/>
      <c r="J74" s="337"/>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row>
    <row r="75" spans="1:58" s="12" customFormat="1" ht="14.85" customHeight="1">
      <c r="A75" s="1"/>
      <c r="B75" s="1"/>
      <c r="C75" s="1"/>
      <c r="D75" s="1"/>
      <c r="E75" s="337"/>
      <c r="F75" s="337"/>
      <c r="G75" s="337"/>
      <c r="H75" s="337"/>
      <c r="I75" s="337"/>
      <c r="J75" s="337"/>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row>
    <row r="76" spans="1:58" s="12" customFormat="1" ht="14.85" customHeight="1">
      <c r="A76" s="1"/>
      <c r="B76" s="1"/>
      <c r="C76" s="1"/>
      <c r="D76" s="1"/>
      <c r="E76" s="337"/>
      <c r="F76" s="337"/>
      <c r="G76" s="337"/>
      <c r="H76" s="337"/>
      <c r="I76" s="337"/>
      <c r="J76" s="337"/>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row>
    <row r="77" spans="1:58" s="12" customFormat="1" ht="14.85" customHeight="1">
      <c r="A77" s="1"/>
      <c r="B77" s="1"/>
      <c r="C77" s="1"/>
      <c r="D77" s="1"/>
      <c r="E77" s="337"/>
      <c r="F77" s="337"/>
      <c r="G77" s="337"/>
      <c r="H77" s="337"/>
      <c r="I77" s="337"/>
      <c r="J77" s="337"/>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row>
    <row r="78" spans="1:58" s="12" customFormat="1" ht="14.85" customHeight="1">
      <c r="A78" s="1"/>
      <c r="B78" s="1"/>
      <c r="C78" s="1"/>
      <c r="D78" s="1"/>
      <c r="E78" s="337"/>
      <c r="F78" s="337"/>
      <c r="G78" s="337"/>
      <c r="H78" s="337"/>
      <c r="I78" s="337"/>
      <c r="J78" s="337"/>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row>
    <row r="79" spans="1:58" s="12" customFormat="1" ht="14.85" customHeight="1">
      <c r="A79" s="1"/>
      <c r="B79" s="1"/>
      <c r="C79" s="1"/>
      <c r="D79" s="1"/>
      <c r="E79" s="1"/>
      <c r="F79" s="1"/>
      <c r="G79" s="1"/>
      <c r="H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row>
    <row r="80" spans="1:58" s="12" customFormat="1" ht="14.85" customHeight="1">
      <c r="A80" s="1"/>
      <c r="B80" s="1"/>
      <c r="C80" s="1"/>
      <c r="D80" s="1"/>
      <c r="E80" s="1"/>
      <c r="F80" s="1"/>
      <c r="G80" s="1"/>
      <c r="H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row>
    <row r="81" spans="1:58" s="12" customFormat="1" ht="14.85" customHeight="1">
      <c r="A81" s="1"/>
      <c r="B81" s="1"/>
      <c r="C81" s="1"/>
      <c r="D81" s="1"/>
      <c r="E81" s="1"/>
      <c r="F81" s="1"/>
      <c r="G81" s="1"/>
      <c r="H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row>
    <row r="82" spans="1:58" s="12" customFormat="1" ht="23.25" customHeight="1">
      <c r="A82" s="1"/>
      <c r="B82" s="1"/>
      <c r="C82" s="1"/>
      <c r="D82" s="1"/>
      <c r="E82" s="386"/>
      <c r="F82" s="386"/>
      <c r="G82" s="386"/>
      <c r="H82" s="387"/>
      <c r="I82" s="387"/>
      <c r="J82" s="387"/>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row>
    <row r="83" spans="1:58" s="12" customFormat="1" ht="14.85" customHeight="1">
      <c r="A83" s="1"/>
      <c r="B83" s="238"/>
      <c r="C83" s="1"/>
      <c r="D83" s="1"/>
      <c r="E83" s="337"/>
      <c r="F83" s="337"/>
      <c r="G83" s="337"/>
      <c r="H83" s="337"/>
      <c r="I83" s="337"/>
      <c r="J83" s="337"/>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row>
    <row r="84" spans="1:58" s="12" customFormat="1" ht="14.85" customHeight="1">
      <c r="A84" s="396"/>
      <c r="B84" s="160"/>
      <c r="C84" s="1"/>
      <c r="D84" s="337"/>
      <c r="E84" s="389"/>
      <c r="F84" s="389"/>
      <c r="G84" s="389"/>
      <c r="H84" s="389"/>
      <c r="I84" s="389"/>
      <c r="J84" s="389"/>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row>
    <row r="85" spans="1:58" s="12" customFormat="1" ht="14.85" customHeight="1">
      <c r="A85" s="396"/>
      <c r="B85" s="160"/>
      <c r="C85" s="1"/>
      <c r="D85" s="337"/>
      <c r="E85" s="390"/>
      <c r="F85" s="390"/>
      <c r="G85" s="390"/>
      <c r="H85" s="390"/>
      <c r="I85" s="390"/>
      <c r="J85" s="390"/>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row>
    <row r="86" spans="1:58" s="12" customFormat="1" ht="14.85" customHeight="1">
      <c r="A86" s="1"/>
      <c r="B86" s="337"/>
      <c r="C86" s="1"/>
      <c r="D86" s="337"/>
      <c r="E86" s="337"/>
      <c r="F86" s="337"/>
      <c r="G86" s="337"/>
      <c r="H86" s="337"/>
      <c r="I86" s="337"/>
      <c r="J86" s="337"/>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row>
    <row r="87" spans="1:58" s="12" customFormat="1" ht="14.85" customHeight="1">
      <c r="A87" s="1"/>
      <c r="B87" s="1"/>
      <c r="C87" s="1"/>
      <c r="D87" s="337"/>
      <c r="E87" s="337"/>
      <c r="F87" s="337"/>
      <c r="G87" s="337"/>
      <c r="H87" s="337"/>
      <c r="I87" s="337"/>
      <c r="J87" s="337"/>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row>
    <row r="88" spans="1:58" s="12" customFormat="1" ht="14.85" customHeight="1">
      <c r="A88" s="1"/>
      <c r="B88" s="1"/>
      <c r="C88" s="1"/>
      <c r="D88" s="337"/>
      <c r="E88" s="389"/>
      <c r="F88" s="389"/>
      <c r="G88" s="389"/>
      <c r="H88" s="337"/>
      <c r="I88" s="337"/>
      <c r="J88" s="337"/>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row>
    <row r="89" spans="1:58" s="12" customFormat="1" ht="14.85" customHeight="1">
      <c r="A89" s="1"/>
      <c r="B89" s="1"/>
      <c r="C89" s="1"/>
      <c r="D89" s="337"/>
      <c r="E89" s="390"/>
      <c r="F89" s="390"/>
      <c r="G89" s="390"/>
      <c r="H89" s="390"/>
      <c r="I89" s="390"/>
      <c r="J89" s="390"/>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row>
    <row r="90" spans="1:58" s="12" customFormat="1" ht="14.85" customHeight="1">
      <c r="A90" s="1"/>
      <c r="B90" s="1"/>
      <c r="C90" s="1"/>
      <c r="D90" s="1"/>
      <c r="E90" s="337"/>
      <c r="F90" s="337"/>
      <c r="G90" s="337"/>
      <c r="H90" s="390"/>
      <c r="I90" s="390"/>
      <c r="J90" s="390"/>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row>
    <row r="91" spans="1:58" s="12" customFormat="1" ht="14.85" customHeight="1">
      <c r="A91" s="1"/>
      <c r="B91" s="1"/>
      <c r="C91" s="1"/>
      <c r="D91" s="337"/>
      <c r="E91" s="337"/>
      <c r="F91" s="337"/>
      <c r="G91" s="337"/>
      <c r="H91" s="337"/>
      <c r="I91" s="337"/>
      <c r="J91" s="337"/>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row>
    <row r="92" spans="1:58" s="12" customFormat="1" ht="14.85" customHeight="1">
      <c r="A92" s="1"/>
      <c r="B92" s="1"/>
      <c r="C92" s="1"/>
      <c r="D92" s="337"/>
      <c r="E92" s="392"/>
      <c r="F92" s="392"/>
      <c r="G92" s="392"/>
      <c r="H92" s="392"/>
      <c r="I92" s="392"/>
      <c r="J92" s="392"/>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row>
    <row r="93" spans="1:58" s="12" customFormat="1" ht="14.85" customHeight="1">
      <c r="A93" s="1"/>
      <c r="B93" s="1"/>
      <c r="C93" s="1"/>
      <c r="D93" s="337"/>
      <c r="E93" s="337"/>
      <c r="F93" s="337"/>
      <c r="G93" s="337"/>
      <c r="H93" s="337"/>
      <c r="I93" s="337"/>
      <c r="J93" s="337"/>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row>
    <row r="94" spans="1:58" s="12" customFormat="1" ht="14.85" customHeight="1">
      <c r="A94" s="1"/>
      <c r="B94" s="1"/>
      <c r="C94" s="1"/>
      <c r="D94" s="1"/>
      <c r="E94" s="337"/>
      <c r="F94" s="337"/>
      <c r="G94" s="337"/>
      <c r="H94" s="337"/>
      <c r="I94" s="337"/>
      <c r="J94" s="337"/>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row>
    <row r="95" spans="1:58" s="12" customFormat="1" ht="14.85" customHeight="1">
      <c r="A95" s="1"/>
      <c r="B95" s="1"/>
      <c r="C95" s="1"/>
      <c r="D95" s="1"/>
      <c r="E95" s="337"/>
      <c r="F95" s="337"/>
      <c r="G95" s="337"/>
      <c r="H95" s="337"/>
      <c r="I95" s="337"/>
      <c r="J95" s="337"/>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row>
    <row r="96" spans="1:58" s="12" customFormat="1" ht="14.85" customHeight="1">
      <c r="A96" s="1"/>
      <c r="B96" s="1"/>
      <c r="C96" s="1"/>
      <c r="D96" s="1"/>
      <c r="E96" s="337"/>
      <c r="F96" s="337"/>
      <c r="G96" s="337"/>
      <c r="H96" s="337"/>
      <c r="I96" s="337"/>
      <c r="J96" s="337"/>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row>
    <row r="97" spans="1:58" s="12" customFormat="1" ht="14.85" customHeight="1">
      <c r="A97" s="1"/>
      <c r="B97" s="1"/>
      <c r="C97" s="1"/>
      <c r="D97" s="1"/>
      <c r="E97" s="337"/>
      <c r="F97" s="337"/>
      <c r="G97" s="337"/>
      <c r="H97" s="337"/>
      <c r="I97" s="337"/>
      <c r="J97" s="337"/>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row>
    <row r="98" spans="1:58" s="12" customFormat="1" ht="14.85" customHeight="1">
      <c r="A98" s="1"/>
      <c r="B98" s="1"/>
      <c r="C98" s="1"/>
      <c r="D98" s="1"/>
      <c r="E98" s="337"/>
      <c r="F98" s="337"/>
      <c r="G98" s="337"/>
      <c r="H98" s="337"/>
      <c r="I98" s="337"/>
      <c r="J98" s="337"/>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row>
    <row r="99" spans="1:58" s="12" customFormat="1" ht="14.85" customHeight="1">
      <c r="A99" s="1"/>
      <c r="B99" s="1"/>
      <c r="C99" s="1"/>
      <c r="D99" s="1"/>
      <c r="E99" s="337"/>
      <c r="F99" s="337"/>
      <c r="G99" s="337"/>
      <c r="H99" s="337"/>
      <c r="I99" s="337"/>
      <c r="J99" s="337"/>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row>
    <row r="100" spans="1:58" s="12" customFormat="1" ht="14.85" customHeight="1">
      <c r="A100" s="1"/>
      <c r="B100" s="1"/>
      <c r="C100" s="1"/>
      <c r="D100" s="1"/>
      <c r="E100" s="337"/>
      <c r="F100" s="337"/>
      <c r="G100" s="337"/>
      <c r="H100" s="337"/>
      <c r="I100" s="337"/>
      <c r="J100" s="337"/>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row>
    <row r="101" spans="1:58" s="12" customFormat="1" ht="14.85" customHeight="1">
      <c r="A101" s="1"/>
      <c r="B101" s="1"/>
      <c r="C101" s="1"/>
      <c r="D101" s="1"/>
      <c r="E101" s="337"/>
      <c r="F101" s="337"/>
      <c r="G101" s="337"/>
      <c r="H101" s="337"/>
      <c r="I101" s="337"/>
      <c r="J101" s="337"/>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row>
    <row r="102" spans="1:58" s="12" customFormat="1" ht="14.85" customHeight="1">
      <c r="A102" s="1"/>
      <c r="B102" s="1"/>
      <c r="C102" s="1"/>
      <c r="D102" s="1"/>
      <c r="E102" s="1"/>
      <c r="F102" s="1"/>
      <c r="G102" s="1"/>
      <c r="H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row>
    <row r="103" spans="1:58" ht="14.85" customHeight="1"/>
    <row r="104" spans="1:58" ht="14.85" customHeight="1"/>
    <row r="105" spans="1:58" ht="14.85" customHeight="1"/>
    <row r="106" spans="1:58" ht="14.85" customHeight="1"/>
    <row r="107" spans="1:58" ht="14.85" customHeight="1"/>
    <row r="108" spans="1:58" ht="14.85" customHeight="1"/>
    <row r="109" spans="1:58" ht="14.85" customHeight="1"/>
    <row r="110" spans="1:58" ht="14.85" customHeight="1"/>
    <row r="111" spans="1:58" ht="14.85" customHeight="1"/>
    <row r="112" spans="1:58" ht="14.85" customHeight="1"/>
    <row r="113" ht="32.85" customHeight="1"/>
    <row r="114" ht="14.85" customHeight="1"/>
    <row r="115" ht="14.85" customHeight="1"/>
    <row r="116" ht="14.85" customHeight="1"/>
  </sheetData>
  <sheetProtection selectLockedCells="1"/>
  <mergeCells count="2">
    <mergeCell ref="O3:P3"/>
    <mergeCell ref="T14:T15"/>
  </mergeCells>
  <conditionalFormatting sqref="E69">
    <cfRule type="expression" dxfId="29" priority="45">
      <formula>$E$59=$E$69</formula>
    </cfRule>
  </conditionalFormatting>
  <conditionalFormatting sqref="E92">
    <cfRule type="expression" dxfId="28" priority="33">
      <formula>$E$59=$E$69</formula>
    </cfRule>
  </conditionalFormatting>
  <conditionalFormatting sqref="E67:G67">
    <cfRule type="containsText" dxfId="27" priority="40" operator="containsText" text="balík">
      <formula>NOT(ISERROR(SEARCH("balík",E67)))</formula>
    </cfRule>
  </conditionalFormatting>
  <conditionalFormatting sqref="E90:G90">
    <cfRule type="containsText" dxfId="26" priority="28" operator="containsText" text="balík">
      <formula>NOT(ISERROR(SEARCH("balík",E90)))</formula>
    </cfRule>
  </conditionalFormatting>
  <conditionalFormatting sqref="E9:J9 F10">
    <cfRule type="containsText" dxfId="25" priority="55" operator="containsText" text="výsledn">
      <formula>NOT(ISERROR(SEARCH("výsledn",E9)))</formula>
    </cfRule>
  </conditionalFormatting>
  <conditionalFormatting sqref="E17:J17">
    <cfRule type="containsText" dxfId="24" priority="41" operator="containsText" text="paleta">
      <formula>NOT(ISERROR(SEARCH("paleta",E17)))</formula>
    </cfRule>
    <cfRule type="containsText" dxfId="23" priority="42" operator="containsText" text="balík">
      <formula>NOT(ISERROR(SEARCH("balík",E17)))</formula>
    </cfRule>
  </conditionalFormatting>
  <conditionalFormatting sqref="E55:J55">
    <cfRule type="containsText" dxfId="22" priority="52" operator="containsText" text="výsledn">
      <formula>NOT(ISERROR(SEARCH("výsledn",E55)))</formula>
    </cfRule>
  </conditionalFormatting>
  <conditionalFormatting sqref="E63:J63">
    <cfRule type="containsText" dxfId="21" priority="38" operator="containsText" text="paleta">
      <formula>NOT(ISERROR(SEARCH("paleta",E63)))</formula>
    </cfRule>
    <cfRule type="containsText" dxfId="20" priority="39" operator="containsText" text="balík">
      <formula>NOT(ISERROR(SEARCH("balík",E63)))</formula>
    </cfRule>
  </conditionalFormatting>
  <conditionalFormatting sqref="E78:J78">
    <cfRule type="containsText" dxfId="19" priority="49" operator="containsText" text="výsledn">
      <formula>NOT(ISERROR(SEARCH("výsledn",E78)))</formula>
    </cfRule>
  </conditionalFormatting>
  <conditionalFormatting sqref="E86:J86">
    <cfRule type="containsText" dxfId="18" priority="26" operator="containsText" text="paleta">
      <formula>NOT(ISERROR(SEARCH("paleta",E86)))</formula>
    </cfRule>
    <cfRule type="containsText" dxfId="17" priority="27" operator="containsText" text="balík">
      <formula>NOT(ISERROR(SEARCH("balík",E86)))</formula>
    </cfRule>
  </conditionalFormatting>
  <conditionalFormatting sqref="E101:J101">
    <cfRule type="containsText" dxfId="16" priority="37" operator="containsText" text="výsledn">
      <formula>NOT(ISERROR(SEARCH("výsledn",E101)))</formula>
    </cfRule>
  </conditionalFormatting>
  <conditionalFormatting sqref="F8">
    <cfRule type="expression" dxfId="15" priority="53">
      <formula>F9="výsledná zásilka"</formula>
    </cfRule>
  </conditionalFormatting>
  <conditionalFormatting sqref="F54">
    <cfRule type="expression" dxfId="14" priority="50">
      <formula>F55="výsledná zásilka"</formula>
    </cfRule>
  </conditionalFormatting>
  <conditionalFormatting sqref="F69">
    <cfRule type="expression" dxfId="13" priority="48">
      <formula>$F$59=$F$69</formula>
    </cfRule>
  </conditionalFormatting>
  <conditionalFormatting sqref="F92">
    <cfRule type="expression" dxfId="12" priority="36">
      <formula>$F$59=$F$69</formula>
    </cfRule>
  </conditionalFormatting>
  <conditionalFormatting sqref="F100">
    <cfRule type="expression" dxfId="11" priority="31">
      <formula>F101="výsledná zásilka"</formula>
    </cfRule>
  </conditionalFormatting>
  <conditionalFormatting sqref="G69">
    <cfRule type="expression" dxfId="10" priority="44">
      <formula>$G$59=$G$69</formula>
    </cfRule>
  </conditionalFormatting>
  <conditionalFormatting sqref="G92">
    <cfRule type="expression" dxfId="9" priority="30">
      <formula>$G$59=$G$69</formula>
    </cfRule>
  </conditionalFormatting>
  <conditionalFormatting sqref="H8">
    <cfRule type="expression" dxfId="8" priority="54">
      <formula>H9="výsledná zásilka"</formula>
    </cfRule>
  </conditionalFormatting>
  <conditionalFormatting sqref="H54">
    <cfRule type="expression" dxfId="7" priority="51">
      <formula>H55="výsledná zásilka"</formula>
    </cfRule>
  </conditionalFormatting>
  <conditionalFormatting sqref="H69">
    <cfRule type="expression" dxfId="6" priority="47">
      <formula>$H$69=$H$59</formula>
    </cfRule>
  </conditionalFormatting>
  <conditionalFormatting sqref="H92">
    <cfRule type="expression" dxfId="5" priority="35">
      <formula>$H$69=$H$59</formula>
    </cfRule>
  </conditionalFormatting>
  <conditionalFormatting sqref="H100">
    <cfRule type="expression" dxfId="4" priority="32">
      <formula>H101="výsledná zásilka"</formula>
    </cfRule>
  </conditionalFormatting>
  <conditionalFormatting sqref="I69">
    <cfRule type="expression" dxfId="3" priority="43">
      <formula>$I$59=$I$69</formula>
    </cfRule>
  </conditionalFormatting>
  <conditionalFormatting sqref="I92">
    <cfRule type="expression" dxfId="2" priority="29">
      <formula>$I$59=$I$69</formula>
    </cfRule>
  </conditionalFormatting>
  <conditionalFormatting sqref="J69">
    <cfRule type="expression" dxfId="1" priority="46">
      <formula>#REF!=#REF!</formula>
    </cfRule>
  </conditionalFormatting>
  <conditionalFormatting sqref="J92">
    <cfRule type="expression" dxfId="0" priority="34">
      <formula>#REF!=#REF!</formula>
    </cfRule>
  </conditionalFormatting>
  <conditionalFormatting sqref="AG3:AG8 AF3">
    <cfRule type="colorScale" priority="25">
      <colorScale>
        <cfvo type="min"/>
        <cfvo type="percentile" val="50"/>
        <cfvo type="max"/>
        <color rgb="FF63BE7B"/>
        <color rgb="FFFFEB84"/>
        <color rgb="FFF8696B"/>
      </colorScale>
    </cfRule>
  </conditionalFormatting>
  <pageMargins left="0.7" right="0.7" top="0.78740157499999996" bottom="0.78740157499999996" header="0.3" footer="0.3"/>
  <pageSetup paperSize="9" scale="70" fitToHeight="6"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cacabe1-a925-4c8e-93ad-bc3cc27619b4">
      <Terms xmlns="http://schemas.microsoft.com/office/infopath/2007/PartnerControls"/>
    </lcf76f155ced4ddcb4097134ff3c332f>
    <Asana xmlns="9cacabe1-a925-4c8e-93ad-bc3cc27619b4">
      <Url xsi:nil="true"/>
      <Description xsi:nil="true"/>
    </Asana>
    <TaxCatchAll xmlns="cd5ff2c2-d0f5-469d-bf4e-c27dd00b986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CAEFDBDA0FCC94190EFE398F08066E3" ma:contentTypeVersion="24" ma:contentTypeDescription="Vytvoří nový dokument" ma:contentTypeScope="" ma:versionID="df696fceff1b5af9b6a8c167a2e85ccd">
  <xsd:schema xmlns:xsd="http://www.w3.org/2001/XMLSchema" xmlns:xs="http://www.w3.org/2001/XMLSchema" xmlns:p="http://schemas.microsoft.com/office/2006/metadata/properties" xmlns:ns2="9cacabe1-a925-4c8e-93ad-bc3cc27619b4" xmlns:ns3="cd5ff2c2-d0f5-469d-bf4e-c27dd00b986b" targetNamespace="http://schemas.microsoft.com/office/2006/metadata/properties" ma:root="true" ma:fieldsID="584a3d37de871b69982f4d0436ad91b5" ns2:_="" ns3:_="">
    <xsd:import namespace="9cacabe1-a925-4c8e-93ad-bc3cc27619b4"/>
    <xsd:import namespace="cd5ff2c2-d0f5-469d-bf4e-c27dd00b986b"/>
    <xsd:element name="properties">
      <xsd:complexType>
        <xsd:sequence>
          <xsd:element name="documentManagement">
            <xsd:complexType>
              <xsd:all>
                <xsd:element ref="ns2:Asana"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acabe1-a925-4c8e-93ad-bc3cc27619b4" elementFormDefault="qualified">
    <xsd:import namespace="http://schemas.microsoft.com/office/2006/documentManagement/types"/>
    <xsd:import namespace="http://schemas.microsoft.com/office/infopath/2007/PartnerControls"/>
    <xsd:element name="Asana" ma:index="3" nillable="true" ma:displayName="Asana" ma:description="Odkaz na položku roadmapy do Asany" ma:format="Hyperlink" ma:internalName="Asana"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lcf76f155ced4ddcb4097134ff3c332f" ma:index="11" nillable="true" ma:taxonomy="true" ma:internalName="lcf76f155ced4ddcb4097134ff3c332f" ma:taxonomyFieldName="MediaServiceImageTags" ma:displayName="Značky obrázků" ma:readOnly="false" ma:fieldId="{5cf76f15-5ced-4ddc-b409-7134ff3c332f}" ma:taxonomyMulti="true" ma:sspId="10562387-14bd-4f08-aca0-9d80027227e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9" nillable="true" ma:displayName="Location" ma:hidden="true"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ff2c2-d0f5-469d-bf4e-c27dd00b986b" elementFormDefault="qualified">
    <xsd:import namespace="http://schemas.microsoft.com/office/2006/documentManagement/types"/>
    <xsd:import namespace="http://schemas.microsoft.com/office/infopath/2007/PartnerControls"/>
    <xsd:element name="SharedWithUsers" ma:index="4" nillable="true" ma:displayName="Sdílí se s"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dílené s podrobnostmi" ma:hidden="true" ma:internalName="SharedWithDetails" ma:readOnly="true">
      <xsd:simpleType>
        <xsd:restriction base="dms:Note"/>
      </xsd:simpleType>
    </xsd:element>
    <xsd:element name="TaxCatchAll" ma:index="12" nillable="true" ma:displayName="Taxonomy Catch All Column" ma:hidden="true" ma:list="{864a384c-dde1-4814-9aab-284c87304fd8}" ma:internalName="TaxCatchAll" ma:readOnly="false" ma:showField="CatchAllData" ma:web="cd5ff2c2-d0f5-469d-bf4e-c27dd00b98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83E9FC-7A4F-40D8-8A52-81C734DA3A8D}">
  <ds:schemaRefs>
    <ds:schemaRef ds:uri="9cacabe1-a925-4c8e-93ad-bc3cc27619b4"/>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infopath/2007/PartnerControls"/>
    <ds:schemaRef ds:uri="cd5ff2c2-d0f5-469d-bf4e-c27dd00b986b"/>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2EA7E17-C0BD-4045-81E1-6A248CB0A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acabe1-a925-4c8e-93ad-bc3cc27619b4"/>
    <ds:schemaRef ds:uri="cd5ff2c2-d0f5-469d-bf4e-c27dd00b98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3DC5C0-9A8E-44A5-8971-A70FA6400C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28</vt:i4>
      </vt:variant>
      <vt:variant>
        <vt:lpstr>Pojmenované oblasti</vt:lpstr>
      </vt:variant>
      <vt:variant>
        <vt:i4>104</vt:i4>
      </vt:variant>
    </vt:vector>
  </HeadingPairs>
  <TitlesOfParts>
    <vt:vector size="132" baseType="lpstr">
      <vt:lpstr>Hlavní</vt:lpstr>
      <vt:lpstr>Zakaznik</vt:lpstr>
      <vt:lpstr>cennik transportu PL</vt:lpstr>
      <vt:lpstr>Sklo</vt:lpstr>
      <vt:lpstr>rozpad závěsů bez prázdn. řádků</vt:lpstr>
      <vt:lpstr>Translate&amp;Prices&amp;Logo</vt:lpstr>
      <vt:lpstr>Potvrzení</vt:lpstr>
      <vt:lpstr>závěsy dle výklopu</vt:lpstr>
      <vt:lpstr>Ram_1</vt:lpstr>
      <vt:lpstr>kombinace_1</vt:lpstr>
      <vt:lpstr>Ram_2</vt:lpstr>
      <vt:lpstr>kombinace_2</vt:lpstr>
      <vt:lpstr>Ram_3</vt:lpstr>
      <vt:lpstr>kombinace_3</vt:lpstr>
      <vt:lpstr>Ram_4</vt:lpstr>
      <vt:lpstr>kombinace_4</vt:lpstr>
      <vt:lpstr>Ram_5</vt:lpstr>
      <vt:lpstr>kombinace_5</vt:lpstr>
      <vt:lpstr>Ram_6</vt:lpstr>
      <vt:lpstr>kombinace_6</vt:lpstr>
      <vt:lpstr>Posuv</vt:lpstr>
      <vt:lpstr>Doprava Posun</vt:lpstr>
      <vt:lpstr>Typy profilů</vt:lpstr>
      <vt:lpstr>_souhrn</vt:lpstr>
      <vt:lpstr>Barevnice</vt:lpstr>
      <vt:lpstr>_souhrn (2)</vt:lpstr>
      <vt:lpstr>kalkulace dopravy</vt:lpstr>
      <vt:lpstr>doprava demont</vt:lpstr>
      <vt:lpstr>_1</vt:lpstr>
      <vt:lpstr>_2</vt:lpstr>
      <vt:lpstr>_2_strany</vt:lpstr>
      <vt:lpstr>_3</vt:lpstr>
      <vt:lpstr>_4_strany</vt:lpstr>
      <vt:lpstr>_A1</vt:lpstr>
      <vt:lpstr>_A2</vt:lpstr>
      <vt:lpstr>_A3</vt:lpstr>
      <vt:lpstr>_corleone</vt:lpstr>
      <vt:lpstr>_kombinovane_profily</vt:lpstr>
      <vt:lpstr>_N1</vt:lpstr>
      <vt:lpstr>_N2</vt:lpstr>
      <vt:lpstr>_N3</vt:lpstr>
      <vt:lpstr>_profily_síťka</vt:lpstr>
      <vt:lpstr>_ramena_HL</vt:lpstr>
      <vt:lpstr>_Salice_naložený</vt:lpstr>
      <vt:lpstr>_strong_vzpera_horni</vt:lpstr>
      <vt:lpstr>_stronglift_klopna</vt:lpstr>
      <vt:lpstr>_široký_BLUM_naložený</vt:lpstr>
      <vt:lpstr>_široký_BLUM_polonaložený</vt:lpstr>
      <vt:lpstr>_široký_BLUM_vložený</vt:lpstr>
      <vt:lpstr>_široký_HETTICH_naložený</vt:lpstr>
      <vt:lpstr>_široký_HETTICH_polonaložený</vt:lpstr>
      <vt:lpstr>_široký_HETTICH_vložený</vt:lpstr>
      <vt:lpstr>_široký_STRONGHINGESS3_naložený</vt:lpstr>
      <vt:lpstr>_široký_STRONGHINGESS3_polonaložený</vt:lpstr>
      <vt:lpstr>_široký_STRONGHINGESS3_vložený</vt:lpstr>
      <vt:lpstr>_široký_STRONGHINGESS5_naložený</vt:lpstr>
      <vt:lpstr>_široký_STRONGHINGESS5_polonaložený</vt:lpstr>
      <vt:lpstr>_široký_STRONGHINGESS5_vložený</vt:lpstr>
      <vt:lpstr>_úzký_BLUM_naložený</vt:lpstr>
      <vt:lpstr>_úzký_BLUM_naložený_Rocca</vt:lpstr>
      <vt:lpstr>_úzký_BLUM_polonaložený</vt:lpstr>
      <vt:lpstr>_úzký_BLUM_polonaložený_Rocca</vt:lpstr>
      <vt:lpstr>_úzký_BLUM_vložený</vt:lpstr>
      <vt:lpstr>_úzký_BLUM_vložený_Rocca</vt:lpstr>
      <vt:lpstr>_úzký_HETTICH_naložený</vt:lpstr>
      <vt:lpstr>_úzký_HETTICH_polonaložený</vt:lpstr>
      <vt:lpstr>_úzký_HETTICH_vložený</vt:lpstr>
      <vt:lpstr>_úzký_STRONGHINGESS3_naložený</vt:lpstr>
      <vt:lpstr>_úzký_STRONGHINGESS5_naložený</vt:lpstr>
      <vt:lpstr>_vše_profily</vt:lpstr>
      <vt:lpstr>kombinace_2!_vyklopy_blum</vt:lpstr>
      <vt:lpstr>kombinace_3!_vyklopy_blum</vt:lpstr>
      <vt:lpstr>kombinace_4!_vyklopy_blum</vt:lpstr>
      <vt:lpstr>kombinace_5!_vyklopy_blum</vt:lpstr>
      <vt:lpstr>kombinace_6!_vyklopy_blum</vt:lpstr>
      <vt:lpstr>_vyklopy_blum</vt:lpstr>
      <vt:lpstr>_vyklopy_blum_kombo</vt:lpstr>
      <vt:lpstr>kombinace_2!_vyklopy_hettich</vt:lpstr>
      <vt:lpstr>kombinace_3!_vyklopy_hettich</vt:lpstr>
      <vt:lpstr>kombinace_4!_vyklopy_hettich</vt:lpstr>
      <vt:lpstr>kombinace_5!_vyklopy_hettich</vt:lpstr>
      <vt:lpstr>kombinace_6!_vyklopy_hettich</vt:lpstr>
      <vt:lpstr>_vyklopy_hettich</vt:lpstr>
      <vt:lpstr>kombinace_2!_vyklopy_italiana</vt:lpstr>
      <vt:lpstr>kombinace_3!_vyklopy_italiana</vt:lpstr>
      <vt:lpstr>kombinace_4!_vyklopy_italiana</vt:lpstr>
      <vt:lpstr>kombinace_5!_vyklopy_italiana</vt:lpstr>
      <vt:lpstr>kombinace_6!_vyklopy_italiana</vt:lpstr>
      <vt:lpstr>_vyklopy_italiana</vt:lpstr>
      <vt:lpstr>kombinace_2!_vyklopy_kesse</vt:lpstr>
      <vt:lpstr>kombinace_3!_vyklopy_kesse</vt:lpstr>
      <vt:lpstr>kombinace_4!_vyklopy_kesse</vt:lpstr>
      <vt:lpstr>kombinace_5!_vyklopy_kesse</vt:lpstr>
      <vt:lpstr>kombinace_6!_vyklopy_kesse</vt:lpstr>
      <vt:lpstr>_vyklopy_kesse</vt:lpstr>
      <vt:lpstr>_vyklopy_kesse_kombo</vt:lpstr>
      <vt:lpstr>kombinace_2!_vyklopy_strong</vt:lpstr>
      <vt:lpstr>kombinace_3!_vyklopy_strong</vt:lpstr>
      <vt:lpstr>kombinace_4!_vyklopy_strong</vt:lpstr>
      <vt:lpstr>kombinace_5!_vyklopy_strong</vt:lpstr>
      <vt:lpstr>kombinace_6!_vyklopy_strong</vt:lpstr>
      <vt:lpstr>_vyklopy_stronglift</vt:lpstr>
      <vt:lpstr>kombinace_2!_zavesy_blum</vt:lpstr>
      <vt:lpstr>kombinace_3!_zavesy_blum</vt:lpstr>
      <vt:lpstr>kombinace_4!_zavesy_blum</vt:lpstr>
      <vt:lpstr>kombinace_5!_zavesy_blum</vt:lpstr>
      <vt:lpstr>kombinace_6!_zavesy_blum</vt:lpstr>
      <vt:lpstr>_zavesy_blum</vt:lpstr>
      <vt:lpstr>kombinace_2!_zavesy_hettich</vt:lpstr>
      <vt:lpstr>kombinace_3!_zavesy_hettich</vt:lpstr>
      <vt:lpstr>kombinace_4!_zavesy_hettich</vt:lpstr>
      <vt:lpstr>kombinace_5!_zavesy_hettich</vt:lpstr>
      <vt:lpstr>kombinace_6!_zavesy_hettich</vt:lpstr>
      <vt:lpstr>_zavesy_hettich</vt:lpstr>
      <vt:lpstr>_zavesy_kombo</vt:lpstr>
      <vt:lpstr>kombinace_2!_zavesy_strong</vt:lpstr>
      <vt:lpstr>kombinace_3!_zavesy_strong</vt:lpstr>
      <vt:lpstr>kombinace_4!_zavesy_strong</vt:lpstr>
      <vt:lpstr>kombinace_5!_zavesy_strong</vt:lpstr>
      <vt:lpstr>kombinace_6!_zavesy_strong</vt:lpstr>
      <vt:lpstr>_zavesy_stronghingesS5</vt:lpstr>
      <vt:lpstr>_znacka_vyklopy</vt:lpstr>
      <vt:lpstr>_znacka_zavesy</vt:lpstr>
      <vt:lpstr>_znacka_zavesy_proROMA</vt:lpstr>
      <vt:lpstr>_souhrn!Oblast_tisku</vt:lpstr>
      <vt:lpstr>'_souhrn (2)'!Oblast_tisku</vt:lpstr>
      <vt:lpstr>Ram_1!Oblast_tisku</vt:lpstr>
      <vt:lpstr>Ram_2!Oblast_tisku</vt:lpstr>
      <vt:lpstr>Ram_3!Oblast_tisku</vt:lpstr>
      <vt:lpstr>Ram_4!Oblast_tisku</vt:lpstr>
      <vt:lpstr>Ram_5!Oblast_tisku</vt:lpstr>
      <vt:lpstr>Ram_6!Oblast_tisku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ladislav.neuwirth@demos-trade.com</dc:creator>
  <cp:lastModifiedBy>Slaběňák Jiří</cp:lastModifiedBy>
  <cp:lastPrinted>2026-03-27T12:38:13Z</cp:lastPrinted>
  <dcterms:created xsi:type="dcterms:W3CDTF">2008-11-20T10:06:03Z</dcterms:created>
  <dcterms:modified xsi:type="dcterms:W3CDTF">2026-10-27T09:56:08Z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0x0101008CAEFDBDA0FCC94190EFE398F08066E3</vt:lpwstr>
  </property>
  <property fmtid="{D5CDD505-2E9C-101B-9397-08002B2CF9AE}" pid="3" name="MediaServiceImageTags">
    <vt:lpwstr/>
  </property>
</Properties>
</file>